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pivotTables/pivotTable149.xml" ContentType="application/vnd.openxmlformats-officedocument.spreadsheetml.pivotTable+xml"/>
  <Override PartName="/xl/pivotTables/pivotTable150.xml" ContentType="application/vnd.openxmlformats-officedocument.spreadsheetml.pivotTable+xml"/>
  <Override PartName="/xl/pivotTables/pivotTable151.xml" ContentType="application/vnd.openxmlformats-officedocument.spreadsheetml.pivotTable+xml"/>
  <Override PartName="/xl/pivotTables/pivotTable152.xml" ContentType="application/vnd.openxmlformats-officedocument.spreadsheetml.pivotTable+xml"/>
  <Override PartName="/xl/pivotTables/pivotTable153.xml" ContentType="application/vnd.openxmlformats-officedocument.spreadsheetml.pivotTab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pivotTables/pivotTable160.xml" ContentType="application/vnd.openxmlformats-officedocument.spreadsheetml.pivotTable+xml"/>
  <Override PartName="/xl/pivotTables/pivotTable161.xml" ContentType="application/vnd.openxmlformats-officedocument.spreadsheetml.pivotTable+xml"/>
  <Override PartName="/xl/pivotTables/pivotTable162.xml" ContentType="application/vnd.openxmlformats-officedocument.spreadsheetml.pivotTable+xml"/>
  <Override PartName="/xl/pivotTables/pivotTable163.xml" ContentType="application/vnd.openxmlformats-officedocument.spreadsheetml.pivotTable+xml"/>
  <Override PartName="/xl/pivotTables/pivotTable164.xml" ContentType="application/vnd.openxmlformats-officedocument.spreadsheetml.pivotTable+xml"/>
  <Override PartName="/xl/pivotTables/pivotTable165.xml" ContentType="application/vnd.openxmlformats-officedocument.spreadsheetml.pivotTable+xml"/>
  <Override PartName="/xl/pivotTables/pivotTable166.xml" ContentType="application/vnd.openxmlformats-officedocument.spreadsheetml.pivotTable+xml"/>
  <Override PartName="/xl/pivotTables/pivotTable167.xml" ContentType="application/vnd.openxmlformats-officedocument.spreadsheetml.pivotTable+xml"/>
  <Override PartName="/xl/pivotTables/pivotTable168.xml" ContentType="application/vnd.openxmlformats-officedocument.spreadsheetml.pivotTable+xml"/>
  <Override PartName="/xl/pivotTables/pivotTable169.xml" ContentType="application/vnd.openxmlformats-officedocument.spreadsheetml.pivotTable+xml"/>
  <Override PartName="/xl/pivotTables/pivotTable170.xml" ContentType="application/vnd.openxmlformats-officedocument.spreadsheetml.pivotTable+xml"/>
  <Override PartName="/xl/pivotTables/pivotTable171.xml" ContentType="application/vnd.openxmlformats-officedocument.spreadsheetml.pivotTable+xml"/>
  <Override PartName="/xl/pivotTables/pivotTable172.xml" ContentType="application/vnd.openxmlformats-officedocument.spreadsheetml.pivotTable+xml"/>
  <Override PartName="/xl/pivotTables/pivotTable173.xml" ContentType="application/vnd.openxmlformats-officedocument.spreadsheetml.pivotTable+xml"/>
  <Override PartName="/xl/pivotTables/pivotTable174.xml" ContentType="application/vnd.openxmlformats-officedocument.spreadsheetml.pivotTable+xml"/>
  <Override PartName="/xl/pivotTables/pivotTable175.xml" ContentType="application/vnd.openxmlformats-officedocument.spreadsheetml.pivotTable+xml"/>
  <Override PartName="/xl/pivotTables/pivotTable176.xml" ContentType="application/vnd.openxmlformats-officedocument.spreadsheetml.pivotTable+xml"/>
  <Override PartName="/xl/pivotTables/pivotTable177.xml" ContentType="application/vnd.openxmlformats-officedocument.spreadsheetml.pivotTable+xml"/>
  <Override PartName="/xl/pivotTables/pivotTable178.xml" ContentType="application/vnd.openxmlformats-officedocument.spreadsheetml.pivotTable+xml"/>
  <Override PartName="/xl/pivotTables/pivotTable179.xml" ContentType="application/vnd.openxmlformats-officedocument.spreadsheetml.pivotTable+xml"/>
  <Override PartName="/xl/pivotTables/pivotTable180.xml" ContentType="application/vnd.openxmlformats-officedocument.spreadsheetml.pivotTable+xml"/>
  <Override PartName="/xl/pivotTables/pivotTable181.xml" ContentType="application/vnd.openxmlformats-officedocument.spreadsheetml.pivotTable+xml"/>
  <Override PartName="/xl/pivotTables/pivotTable182.xml" ContentType="application/vnd.openxmlformats-officedocument.spreadsheetml.pivotTable+xml"/>
  <Override PartName="/xl/pivotTables/pivotTable183.xml" ContentType="application/vnd.openxmlformats-officedocument.spreadsheetml.pivotTable+xml"/>
  <Override PartName="/xl/pivotTables/pivotTable184.xml" ContentType="application/vnd.openxmlformats-officedocument.spreadsheetml.pivotTable+xml"/>
  <Override PartName="/xl/pivotTables/pivotTable185.xml" ContentType="application/vnd.openxmlformats-officedocument.spreadsheetml.pivotTable+xml"/>
  <Override PartName="/xl/pivotTables/pivotTable186.xml" ContentType="application/vnd.openxmlformats-officedocument.spreadsheetml.pivotTable+xml"/>
  <Override PartName="/xl/pivotTables/pivotTable187.xml" ContentType="application/vnd.openxmlformats-officedocument.spreadsheetml.pivotTable+xml"/>
  <Override PartName="/xl/pivotTables/pivotTable188.xml" ContentType="application/vnd.openxmlformats-officedocument.spreadsheetml.pivotTable+xml"/>
  <Override PartName="/xl/pivotTables/pivotTable189.xml" ContentType="application/vnd.openxmlformats-officedocument.spreadsheetml.pivotTable+xml"/>
  <Override PartName="/xl/pivotTables/pivotTable190.xml" ContentType="application/vnd.openxmlformats-officedocument.spreadsheetml.pivotTable+xml"/>
  <Override PartName="/xl/pivotTables/pivotTable191.xml" ContentType="application/vnd.openxmlformats-officedocument.spreadsheetml.pivotTable+xml"/>
  <Override PartName="/xl/pivotTables/pivotTable192.xml" ContentType="application/vnd.openxmlformats-officedocument.spreadsheetml.pivotTable+xml"/>
  <Override PartName="/xl/pivotTables/pivotTable193.xml" ContentType="application/vnd.openxmlformats-officedocument.spreadsheetml.pivotTable+xml"/>
  <Override PartName="/xl/pivotTables/pivotTable194.xml" ContentType="application/vnd.openxmlformats-officedocument.spreadsheetml.pivotTable+xml"/>
  <Override PartName="/xl/pivotTables/pivotTable195.xml" ContentType="application/vnd.openxmlformats-officedocument.spreadsheetml.pivotTable+xml"/>
  <Override PartName="/xl/pivotTables/pivotTable196.xml" ContentType="application/vnd.openxmlformats-officedocument.spreadsheetml.pivotTable+xml"/>
  <Override PartName="/xl/pivotTables/pivotTable197.xml" ContentType="application/vnd.openxmlformats-officedocument.spreadsheetml.pivotTable+xml"/>
  <Override PartName="/xl/pivotTables/pivotTable198.xml" ContentType="application/vnd.openxmlformats-officedocument.spreadsheetml.pivotTable+xml"/>
  <Override PartName="/xl/pivotTables/pivotTable199.xml" ContentType="application/vnd.openxmlformats-officedocument.spreadsheetml.pivotTable+xml"/>
  <Override PartName="/xl/pivotTables/pivotTable200.xml" ContentType="application/vnd.openxmlformats-officedocument.spreadsheetml.pivotTable+xml"/>
  <Override PartName="/xl/pivotTables/pivotTable201.xml" ContentType="application/vnd.openxmlformats-officedocument.spreadsheetml.pivotTable+xml"/>
  <Override PartName="/xl/pivotTables/pivotTable202.xml" ContentType="application/vnd.openxmlformats-officedocument.spreadsheetml.pivotTable+xml"/>
  <Override PartName="/xl/pivotTables/pivotTable203.xml" ContentType="application/vnd.openxmlformats-officedocument.spreadsheetml.pivotTable+xml"/>
  <Override PartName="/xl/pivotTables/pivotTable204.xml" ContentType="application/vnd.openxmlformats-officedocument.spreadsheetml.pivotTable+xml"/>
  <Override PartName="/xl/pivotTables/pivotTable205.xml" ContentType="application/vnd.openxmlformats-officedocument.spreadsheetml.pivotTable+xml"/>
  <Override PartName="/xl/pivotTables/pivotTable206.xml" ContentType="application/vnd.openxmlformats-officedocument.spreadsheetml.pivotTable+xml"/>
  <Override PartName="/xl/pivotTables/pivotTable207.xml" ContentType="application/vnd.openxmlformats-officedocument.spreadsheetml.pivotTable+xml"/>
  <Override PartName="/xl/pivotTables/pivotTable208.xml" ContentType="application/vnd.openxmlformats-officedocument.spreadsheetml.pivotTable+xml"/>
  <Override PartName="/xl/pivotTables/pivotTable209.xml" ContentType="application/vnd.openxmlformats-officedocument.spreadsheetml.pivotTable+xml"/>
  <Override PartName="/xl/pivotTables/pivotTable210.xml" ContentType="application/vnd.openxmlformats-officedocument.spreadsheetml.pivotTable+xml"/>
  <Override PartName="/xl/pivotTables/pivotTable211.xml" ContentType="application/vnd.openxmlformats-officedocument.spreadsheetml.pivotTable+xml"/>
  <Override PartName="/xl/pivotTables/pivotTable212.xml" ContentType="application/vnd.openxmlformats-officedocument.spreadsheetml.pivotTable+xml"/>
  <Override PartName="/xl/pivotTables/pivotTable213.xml" ContentType="application/vnd.openxmlformats-officedocument.spreadsheetml.pivotTable+xml"/>
  <Override PartName="/xl/pivotTables/pivotTable214.xml" ContentType="application/vnd.openxmlformats-officedocument.spreadsheetml.pivotTable+xml"/>
  <Override PartName="/xl/pivotTables/pivotTable215.xml" ContentType="application/vnd.openxmlformats-officedocument.spreadsheetml.pivotTable+xml"/>
  <Override PartName="/xl/pivotTables/pivotTable216.xml" ContentType="application/vnd.openxmlformats-officedocument.spreadsheetml.pivotTable+xml"/>
  <Override PartName="/xl/pivotTables/pivotTable217.xml" ContentType="application/vnd.openxmlformats-officedocument.spreadsheetml.pivotTable+xml"/>
  <Override PartName="/xl/pivotTables/pivotTable218.xml" ContentType="application/vnd.openxmlformats-officedocument.spreadsheetml.pivotTable+xml"/>
  <Override PartName="/xl/pivotTables/pivotTable219.xml" ContentType="application/vnd.openxmlformats-officedocument.spreadsheetml.pivotTable+xml"/>
  <Override PartName="/xl/pivotTables/pivotTable220.xml" ContentType="application/vnd.openxmlformats-officedocument.spreadsheetml.pivotTable+xml"/>
  <Override PartName="/xl/pivotTables/pivotTable221.xml" ContentType="application/vnd.openxmlformats-officedocument.spreadsheetml.pivotTable+xml"/>
  <Override PartName="/xl/pivotTables/pivotTable222.xml" ContentType="application/vnd.openxmlformats-officedocument.spreadsheetml.pivotTable+xml"/>
  <Override PartName="/xl/pivotTables/pivotTable223.xml" ContentType="application/vnd.openxmlformats-officedocument.spreadsheetml.pivotTable+xml"/>
  <Override PartName="/xl/pivotTables/pivotTable224.xml" ContentType="application/vnd.openxmlformats-officedocument.spreadsheetml.pivotTable+xml"/>
  <Override PartName="/xl/pivotTables/pivotTable225.xml" ContentType="application/vnd.openxmlformats-officedocument.spreadsheetml.pivotTable+xml"/>
  <Override PartName="/xl/pivotTables/pivotTable226.xml" ContentType="application/vnd.openxmlformats-officedocument.spreadsheetml.pivotTable+xml"/>
  <Override PartName="/xl/pivotTables/pivotTable227.xml" ContentType="application/vnd.openxmlformats-officedocument.spreadsheetml.pivotTable+xml"/>
  <Override PartName="/xl/pivotTables/pivotTable228.xml" ContentType="application/vnd.openxmlformats-officedocument.spreadsheetml.pivotTable+xml"/>
  <Override PartName="/xl/pivotTables/pivotTable229.xml" ContentType="application/vnd.openxmlformats-officedocument.spreadsheetml.pivotTable+xml"/>
  <Override PartName="/xl/pivotTables/pivotTable230.xml" ContentType="application/vnd.openxmlformats-officedocument.spreadsheetml.pivotTable+xml"/>
  <Override PartName="/xl/pivotTables/pivotTable231.xml" ContentType="application/vnd.openxmlformats-officedocument.spreadsheetml.pivotTable+xml"/>
  <Override PartName="/xl/pivotTables/pivotTable232.xml" ContentType="application/vnd.openxmlformats-officedocument.spreadsheetml.pivotTable+xml"/>
  <Override PartName="/xl/pivotTables/pivotTable233.xml" ContentType="application/vnd.openxmlformats-officedocument.spreadsheetml.pivotTable+xml"/>
  <Override PartName="/xl/pivotTables/pivotTable234.xml" ContentType="application/vnd.openxmlformats-officedocument.spreadsheetml.pivotTable+xml"/>
  <Override PartName="/xl/pivotTables/pivotTable235.xml" ContentType="application/vnd.openxmlformats-officedocument.spreadsheetml.pivotTable+xml"/>
  <Override PartName="/xl/pivotTables/pivotTable236.xml" ContentType="application/vnd.openxmlformats-officedocument.spreadsheetml.pivotTable+xml"/>
  <Override PartName="/xl/pivotTables/pivotTable237.xml" ContentType="application/vnd.openxmlformats-officedocument.spreadsheetml.pivotTable+xml"/>
  <Override PartName="/xl/pivotTables/pivotTable238.xml" ContentType="application/vnd.openxmlformats-officedocument.spreadsheetml.pivotTable+xml"/>
  <Override PartName="/xl/pivotTables/pivotTable239.xml" ContentType="application/vnd.openxmlformats-officedocument.spreadsheetml.pivotTable+xml"/>
  <Override PartName="/xl/pivotTables/pivotTable240.xml" ContentType="application/vnd.openxmlformats-officedocument.spreadsheetml.pivotTable+xml"/>
  <Override PartName="/xl/pivotTables/pivotTable241.xml" ContentType="application/vnd.openxmlformats-officedocument.spreadsheetml.pivotTable+xml"/>
  <Override PartName="/xl/pivotTables/pivotTable242.xml" ContentType="application/vnd.openxmlformats-officedocument.spreadsheetml.pivotTable+xml"/>
  <Override PartName="/xl/pivotTables/pivotTable243.xml" ContentType="application/vnd.openxmlformats-officedocument.spreadsheetml.pivotTable+xml"/>
  <Override PartName="/xl/pivotTables/pivotTable244.xml" ContentType="application/vnd.openxmlformats-officedocument.spreadsheetml.pivotTable+xml"/>
  <Override PartName="/xl/pivotTables/pivotTable245.xml" ContentType="application/vnd.openxmlformats-officedocument.spreadsheetml.pivotTable+xml"/>
  <Override PartName="/xl/pivotTables/pivotTable246.xml" ContentType="application/vnd.openxmlformats-officedocument.spreadsheetml.pivotTable+xml"/>
  <Override PartName="/xl/pivotTables/pivotTable247.xml" ContentType="application/vnd.openxmlformats-officedocument.spreadsheetml.pivotTable+xml"/>
  <Override PartName="/xl/pivotTables/pivotTable248.xml" ContentType="application/vnd.openxmlformats-officedocument.spreadsheetml.pivotTable+xml"/>
  <Override PartName="/xl/pivotTables/pivotTable249.xml" ContentType="application/vnd.openxmlformats-officedocument.spreadsheetml.pivotTable+xml"/>
  <Override PartName="/xl/pivotTables/pivotTable250.xml" ContentType="application/vnd.openxmlformats-officedocument.spreadsheetml.pivotTable+xml"/>
  <Override PartName="/xl/pivotTables/pivotTable251.xml" ContentType="application/vnd.openxmlformats-officedocument.spreadsheetml.pivotTable+xml"/>
  <Override PartName="/xl/pivotTables/pivotTable252.xml" ContentType="application/vnd.openxmlformats-officedocument.spreadsheetml.pivotTable+xml"/>
  <Override PartName="/xl/pivotTables/pivotTable253.xml" ContentType="application/vnd.openxmlformats-officedocument.spreadsheetml.pivotTable+xml"/>
  <Override PartName="/xl/pivotTables/pivotTable254.xml" ContentType="application/vnd.openxmlformats-officedocument.spreadsheetml.pivotTable+xml"/>
  <Override PartName="/xl/pivotTables/pivotTable255.xml" ContentType="application/vnd.openxmlformats-officedocument.spreadsheetml.pivotTable+xml"/>
  <Override PartName="/xl/pivotTables/pivotTable256.xml" ContentType="application/vnd.openxmlformats-officedocument.spreadsheetml.pivotTable+xml"/>
  <Override PartName="/xl/pivotTables/pivotTable257.xml" ContentType="application/vnd.openxmlformats-officedocument.spreadsheetml.pivotTable+xml"/>
  <Override PartName="/xl/pivotTables/pivotTable258.xml" ContentType="application/vnd.openxmlformats-officedocument.spreadsheetml.pivotTable+xml"/>
  <Override PartName="/xl/pivotTables/pivotTable259.xml" ContentType="application/vnd.openxmlformats-officedocument.spreadsheetml.pivotTable+xml"/>
  <Override PartName="/xl/pivotTables/pivotTable260.xml" ContentType="application/vnd.openxmlformats-officedocument.spreadsheetml.pivotTable+xml"/>
  <Override PartName="/xl/pivotTables/pivotTable261.xml" ContentType="application/vnd.openxmlformats-officedocument.spreadsheetml.pivotTable+xml"/>
  <Override PartName="/xl/pivotTables/pivotTable262.xml" ContentType="application/vnd.openxmlformats-officedocument.spreadsheetml.pivotTable+xml"/>
  <Override PartName="/xl/pivotTables/pivotTable263.xml" ContentType="application/vnd.openxmlformats-officedocument.spreadsheetml.pivotTable+xml"/>
  <Override PartName="/xl/pivotTables/pivotTable264.xml" ContentType="application/vnd.openxmlformats-officedocument.spreadsheetml.pivotTable+xml"/>
  <Override PartName="/xl/pivotTables/pivotTable265.xml" ContentType="application/vnd.openxmlformats-officedocument.spreadsheetml.pivotTable+xml"/>
  <Override PartName="/xl/pivotTables/pivotTable266.xml" ContentType="application/vnd.openxmlformats-officedocument.spreadsheetml.pivotTable+xml"/>
  <Override PartName="/xl/pivotTables/pivotTable267.xml" ContentType="application/vnd.openxmlformats-officedocument.spreadsheetml.pivotTable+xml"/>
  <Override PartName="/xl/pivotTables/pivotTable268.xml" ContentType="application/vnd.openxmlformats-officedocument.spreadsheetml.pivotTable+xml"/>
  <Override PartName="/xl/pivotTables/pivotTable269.xml" ContentType="application/vnd.openxmlformats-officedocument.spreadsheetml.pivotTable+xml"/>
  <Override PartName="/xl/pivotTables/pivotTable270.xml" ContentType="application/vnd.openxmlformats-officedocument.spreadsheetml.pivotTable+xml"/>
  <Override PartName="/xl/pivotTables/pivotTable271.xml" ContentType="application/vnd.openxmlformats-officedocument.spreadsheetml.pivotTable+xml"/>
  <Override PartName="/xl/pivotTables/pivotTable272.xml" ContentType="application/vnd.openxmlformats-officedocument.spreadsheetml.pivotTable+xml"/>
  <Override PartName="/xl/pivotTables/pivotTable273.xml" ContentType="application/vnd.openxmlformats-officedocument.spreadsheetml.pivotTable+xml"/>
  <Override PartName="/xl/pivotTables/pivotTable274.xml" ContentType="application/vnd.openxmlformats-officedocument.spreadsheetml.pivotTable+xml"/>
  <Override PartName="/xl/pivotTables/pivotTable275.xml" ContentType="application/vnd.openxmlformats-officedocument.spreadsheetml.pivotTable+xml"/>
  <Override PartName="/xl/pivotTables/pivotTable276.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G:\Mi unidad\ACREDITACIÓN 2021\1008-21 INFORMES\1008-21-04 INFORMES AYA\Electricidad\Autoevaluación\Anexos final junio 2021\"/>
    </mc:Choice>
  </mc:AlternateContent>
  <bookViews>
    <workbookView xWindow="0" yWindow="465" windowWidth="20205" windowHeight="21135" firstSheet="9" activeTab="15"/>
  </bookViews>
  <sheets>
    <sheet name="Ponderación" sheetId="7" r:id="rId1"/>
    <sheet name="RespuestasEST" sheetId="9" r:id="rId2"/>
    <sheet name="Resumen rta estudiantes" sheetId="10" r:id="rId3"/>
    <sheet name="RespuestasDOC" sheetId="11" r:id="rId4"/>
    <sheet name="Resumen rta docentes" sheetId="12" r:id="rId5"/>
    <sheet name="RespuestasADMON" sheetId="13" r:id="rId6"/>
    <sheet name="Resumen rta administrativos" sheetId="14" r:id="rId7"/>
    <sheet name="Respuestas EGRESADOS" sheetId="15" r:id="rId8"/>
    <sheet name="Resumen RTA egresados" sheetId="16" r:id="rId9"/>
    <sheet name="RTA Directivos" sheetId="17" r:id="rId10"/>
    <sheet name="Resumen RTA directivos" sheetId="18" r:id="rId11"/>
    <sheet name="Apreciación" sheetId="1" r:id="rId12"/>
    <sheet name="Integración Apreciación " sheetId="4" r:id="rId13"/>
    <sheet name="Integración Documental" sheetId="6" r:id="rId14"/>
    <sheet name="Estadistica" sheetId="3" r:id="rId15"/>
    <sheet name="Final" sheetId="5" r:id="rId16"/>
  </sheets>
  <definedNames>
    <definedName name="_xlnm._FilterDatabase" localSheetId="11" hidden="1">Apreciación!$A$4:$L$296</definedName>
    <definedName name="_xlnm._FilterDatabase" localSheetId="14" hidden="1">Estadistica!$A$2:$M$271</definedName>
    <definedName name="_xlnm._FilterDatabase" localSheetId="15" hidden="1">Final!$A$1:$AA$257</definedName>
    <definedName name="_xlnm._FilterDatabase" localSheetId="12" hidden="1">'Integración Apreciación '!$A$3:$AA$658</definedName>
    <definedName name="_xlnm._FilterDatabase" localSheetId="13" hidden="1">'Integración Documental'!$A$2:$O$645</definedName>
    <definedName name="_xlnm._FilterDatabase" localSheetId="0" hidden="1">Ponderación!$A$1:$D$41</definedName>
    <definedName name="_xlnm._FilterDatabase" localSheetId="7" hidden="1">'Respuestas EGRESADOS'!$A$1:$AV$79</definedName>
    <definedName name="_xlnm._FilterDatabase" localSheetId="5" hidden="1">RespuestasADMON!$A$1:$AU$115</definedName>
    <definedName name="_xlnm._FilterDatabase" localSheetId="3" hidden="1">RespuestasDOC!$A$1:$CU$42</definedName>
    <definedName name="_xlnm._FilterDatabase" localSheetId="1" hidden="1">RespuestasEST!$A$1:$CZ$215</definedName>
  </definedNames>
  <calcPr calcId="162913"/>
  <pivotCaches>
    <pivotCache cacheId="15" r:id="rId17"/>
    <pivotCache cacheId="16" r:id="rId18"/>
    <pivotCache cacheId="17" r:id="rId19"/>
    <pivotCache cacheId="18" r:id="rId20"/>
    <pivotCache cacheId="19" r:id="rId21"/>
  </pivotCaches>
</workbook>
</file>

<file path=xl/calcChain.xml><?xml version="1.0" encoding="utf-8"?>
<calcChain xmlns="http://schemas.openxmlformats.org/spreadsheetml/2006/main">
  <c r="K257" i="5" l="1"/>
  <c r="I257" i="5"/>
  <c r="H257" i="5"/>
  <c r="G257" i="5"/>
  <c r="K256" i="5"/>
  <c r="J256" i="5"/>
  <c r="I256" i="5"/>
  <c r="H256" i="5"/>
  <c r="G256" i="5"/>
  <c r="K255" i="5"/>
  <c r="J255" i="5"/>
  <c r="I255" i="5"/>
  <c r="H255" i="5"/>
  <c r="G255" i="5"/>
  <c r="K254" i="5"/>
  <c r="J254" i="5"/>
  <c r="I254" i="5"/>
  <c r="H254" i="5"/>
  <c r="G254" i="5"/>
  <c r="N253" i="5"/>
  <c r="L253" i="5"/>
  <c r="K253" i="5"/>
  <c r="J253" i="5"/>
  <c r="I253" i="5"/>
  <c r="H253" i="5"/>
  <c r="G253" i="5"/>
  <c r="K252" i="5"/>
  <c r="J252" i="5"/>
  <c r="I252" i="5"/>
  <c r="H252" i="5"/>
  <c r="G252" i="5"/>
  <c r="K251" i="5"/>
  <c r="J251" i="5"/>
  <c r="I251" i="5"/>
  <c r="H251" i="5"/>
  <c r="G251" i="5"/>
  <c r="K250" i="5"/>
  <c r="J250" i="5"/>
  <c r="I250" i="5"/>
  <c r="H250" i="5"/>
  <c r="G250" i="5"/>
  <c r="K249" i="5"/>
  <c r="J249" i="5"/>
  <c r="I249" i="5"/>
  <c r="H249" i="5"/>
  <c r="G249" i="5"/>
  <c r="K248" i="5"/>
  <c r="J248" i="5"/>
  <c r="I248" i="5"/>
  <c r="H248" i="5"/>
  <c r="G248" i="5"/>
  <c r="K247" i="5"/>
  <c r="J247" i="5"/>
  <c r="I247" i="5"/>
  <c r="H247" i="5"/>
  <c r="G247" i="5"/>
  <c r="K246" i="5"/>
  <c r="J246" i="5"/>
  <c r="I246" i="5"/>
  <c r="H246" i="5"/>
  <c r="G246" i="5"/>
  <c r="N245" i="5"/>
  <c r="L245" i="5"/>
  <c r="K245" i="5"/>
  <c r="J245" i="5"/>
  <c r="I245" i="5"/>
  <c r="H245" i="5"/>
  <c r="G245" i="5"/>
  <c r="K244" i="5"/>
  <c r="J244" i="5"/>
  <c r="I244" i="5"/>
  <c r="H244" i="5"/>
  <c r="G244" i="5"/>
  <c r="K243" i="5"/>
  <c r="J243" i="5"/>
  <c r="I243" i="5"/>
  <c r="H243" i="5"/>
  <c r="G243" i="5"/>
  <c r="K242" i="5"/>
  <c r="J242" i="5"/>
  <c r="I242" i="5"/>
  <c r="H242" i="5"/>
  <c r="G242" i="5"/>
  <c r="K241" i="5"/>
  <c r="J241" i="5"/>
  <c r="I241" i="5"/>
  <c r="H241" i="5"/>
  <c r="G241" i="5"/>
  <c r="O240" i="5"/>
  <c r="N240" i="5"/>
  <c r="M240" i="5"/>
  <c r="L240" i="5"/>
  <c r="K240" i="5"/>
  <c r="J240" i="5"/>
  <c r="I240" i="5"/>
  <c r="H240" i="5"/>
  <c r="G240" i="5"/>
  <c r="K239" i="5"/>
  <c r="J239" i="5"/>
  <c r="I239" i="5"/>
  <c r="H239" i="5"/>
  <c r="G239" i="5"/>
  <c r="K238" i="5"/>
  <c r="J238" i="5"/>
  <c r="I238" i="5"/>
  <c r="H238" i="5"/>
  <c r="G238" i="5"/>
  <c r="K237" i="5"/>
  <c r="J237" i="5"/>
  <c r="I237" i="5"/>
  <c r="H237" i="5"/>
  <c r="G237" i="5"/>
  <c r="N236" i="5"/>
  <c r="L236" i="5"/>
  <c r="K236" i="5"/>
  <c r="J236" i="5"/>
  <c r="I236" i="5"/>
  <c r="H236" i="5"/>
  <c r="G236" i="5"/>
  <c r="K235" i="5"/>
  <c r="J235" i="5"/>
  <c r="I235" i="5"/>
  <c r="H235" i="5"/>
  <c r="G235" i="5"/>
  <c r="K234" i="5"/>
  <c r="J234" i="5"/>
  <c r="I234" i="5"/>
  <c r="H234" i="5"/>
  <c r="G234" i="5"/>
  <c r="K233" i="5"/>
  <c r="J233" i="5"/>
  <c r="I233" i="5"/>
  <c r="H233" i="5"/>
  <c r="G233" i="5"/>
  <c r="K232" i="5"/>
  <c r="J232" i="5"/>
  <c r="I232" i="5"/>
  <c r="H232" i="5"/>
  <c r="G232" i="5"/>
  <c r="K231" i="5"/>
  <c r="J231" i="5"/>
  <c r="I231" i="5"/>
  <c r="H231" i="5"/>
  <c r="G231" i="5"/>
  <c r="K230" i="5"/>
  <c r="J230" i="5"/>
  <c r="I230" i="5"/>
  <c r="H230" i="5"/>
  <c r="G230" i="5"/>
  <c r="K229" i="5"/>
  <c r="J229" i="5"/>
  <c r="I229" i="5"/>
  <c r="H229" i="5"/>
  <c r="G229" i="5"/>
  <c r="O228" i="5"/>
  <c r="N228" i="5"/>
  <c r="M228" i="5"/>
  <c r="L228" i="5"/>
  <c r="K228" i="5"/>
  <c r="J228" i="5"/>
  <c r="I228" i="5"/>
  <c r="H228" i="5"/>
  <c r="G228" i="5"/>
  <c r="K227" i="5"/>
  <c r="J227" i="5"/>
  <c r="I227" i="5"/>
  <c r="H227" i="5"/>
  <c r="G227" i="5"/>
  <c r="K226" i="5"/>
  <c r="J226" i="5"/>
  <c r="I226" i="5"/>
  <c r="H226" i="5"/>
  <c r="G226" i="5"/>
  <c r="K225" i="5"/>
  <c r="J225" i="5"/>
  <c r="I225" i="5"/>
  <c r="H225" i="5"/>
  <c r="G225" i="5"/>
  <c r="N224" i="5"/>
  <c r="L224" i="5"/>
  <c r="K224" i="5"/>
  <c r="J224" i="5"/>
  <c r="I224" i="5"/>
  <c r="H224" i="5"/>
  <c r="G224" i="5"/>
  <c r="K223" i="5"/>
  <c r="J223" i="5"/>
  <c r="I223" i="5"/>
  <c r="H223" i="5"/>
  <c r="G223" i="5"/>
  <c r="K222" i="5"/>
  <c r="J222" i="5"/>
  <c r="I222" i="5"/>
  <c r="H222" i="5"/>
  <c r="G222" i="5"/>
  <c r="K221" i="5"/>
  <c r="J221" i="5"/>
  <c r="I221" i="5"/>
  <c r="H221" i="5"/>
  <c r="G221" i="5"/>
  <c r="K220" i="5"/>
  <c r="J220" i="5"/>
  <c r="I220" i="5"/>
  <c r="H220" i="5"/>
  <c r="G220" i="5"/>
  <c r="K219" i="5"/>
  <c r="J219" i="5"/>
  <c r="I219" i="5"/>
  <c r="H219" i="5"/>
  <c r="G219" i="5"/>
  <c r="K218" i="5"/>
  <c r="J218" i="5"/>
  <c r="I218" i="5"/>
  <c r="H218" i="5"/>
  <c r="G218" i="5"/>
  <c r="K217" i="5"/>
  <c r="J217" i="5"/>
  <c r="I217" i="5"/>
  <c r="H217" i="5"/>
  <c r="G217" i="5"/>
  <c r="K216" i="5"/>
  <c r="J216" i="5"/>
  <c r="I216" i="5"/>
  <c r="H216" i="5"/>
  <c r="G216" i="5"/>
  <c r="L215" i="5"/>
  <c r="K215" i="5"/>
  <c r="J215" i="5"/>
  <c r="I215" i="5"/>
  <c r="H215" i="5"/>
  <c r="G215" i="5"/>
  <c r="K214" i="5"/>
  <c r="J214" i="5"/>
  <c r="I214" i="5"/>
  <c r="H214" i="5"/>
  <c r="G214" i="5"/>
  <c r="K213" i="5"/>
  <c r="J213" i="5"/>
  <c r="I213" i="5"/>
  <c r="H213" i="5"/>
  <c r="G213" i="5"/>
  <c r="K212" i="5"/>
  <c r="J212" i="5"/>
  <c r="I212" i="5"/>
  <c r="H212" i="5"/>
  <c r="G212" i="5"/>
  <c r="K211" i="5"/>
  <c r="J211" i="5"/>
  <c r="I211" i="5"/>
  <c r="H211" i="5"/>
  <c r="G211" i="5"/>
  <c r="K210" i="5"/>
  <c r="J210" i="5"/>
  <c r="I210" i="5"/>
  <c r="H210" i="5"/>
  <c r="G210" i="5"/>
  <c r="K209" i="5"/>
  <c r="J209" i="5"/>
  <c r="I209" i="5"/>
  <c r="H209" i="5"/>
  <c r="G209" i="5"/>
  <c r="K208" i="5"/>
  <c r="J208" i="5"/>
  <c r="I208" i="5"/>
  <c r="H208" i="5"/>
  <c r="G208" i="5"/>
  <c r="O207" i="5"/>
  <c r="M207" i="5"/>
  <c r="L207" i="5"/>
  <c r="K207" i="5"/>
  <c r="J207" i="5"/>
  <c r="I207" i="5"/>
  <c r="H207" i="5"/>
  <c r="G207" i="5"/>
  <c r="K206" i="5"/>
  <c r="J206" i="5"/>
  <c r="I206" i="5"/>
  <c r="H206" i="5"/>
  <c r="G206" i="5"/>
  <c r="K205" i="5"/>
  <c r="J205" i="5"/>
  <c r="I205" i="5"/>
  <c r="H205" i="5"/>
  <c r="G205" i="5"/>
  <c r="N204" i="5"/>
  <c r="L204" i="5"/>
  <c r="K204" i="5"/>
  <c r="J204" i="5"/>
  <c r="I204" i="5"/>
  <c r="H204" i="5"/>
  <c r="G204" i="5"/>
  <c r="K203" i="5"/>
  <c r="I203" i="5"/>
  <c r="H203" i="5"/>
  <c r="G203" i="5"/>
  <c r="K202" i="5"/>
  <c r="J202" i="5"/>
  <c r="I202" i="5"/>
  <c r="H202" i="5"/>
  <c r="G202" i="5"/>
  <c r="K201" i="5"/>
  <c r="J201" i="5"/>
  <c r="I201" i="5"/>
  <c r="H201" i="5"/>
  <c r="G201" i="5"/>
  <c r="K200" i="5"/>
  <c r="J200" i="5"/>
  <c r="I200" i="5"/>
  <c r="H200" i="5"/>
  <c r="G200" i="5"/>
  <c r="K199" i="5"/>
  <c r="J199" i="5"/>
  <c r="I199" i="5"/>
  <c r="H199" i="5"/>
  <c r="G199" i="5"/>
  <c r="K198" i="5"/>
  <c r="J198" i="5"/>
  <c r="I198" i="5"/>
  <c r="H198" i="5"/>
  <c r="G198" i="5"/>
  <c r="K197" i="5"/>
  <c r="J197" i="5"/>
  <c r="I197" i="5"/>
  <c r="H197" i="5"/>
  <c r="G197" i="5"/>
  <c r="K196" i="5"/>
  <c r="J196" i="5"/>
  <c r="I196" i="5"/>
  <c r="H196" i="5"/>
  <c r="G196" i="5"/>
  <c r="O195" i="5"/>
  <c r="N195" i="5"/>
  <c r="M195" i="5"/>
  <c r="L195" i="5"/>
  <c r="K195" i="5"/>
  <c r="J195" i="5"/>
  <c r="I195" i="5"/>
  <c r="H195" i="5"/>
  <c r="G195" i="5"/>
  <c r="K194" i="5"/>
  <c r="J194" i="5"/>
  <c r="I194" i="5"/>
  <c r="H194" i="5"/>
  <c r="G194" i="5"/>
  <c r="K193" i="5"/>
  <c r="J193" i="5"/>
  <c r="I193" i="5"/>
  <c r="H193" i="5"/>
  <c r="G193" i="5"/>
  <c r="K192" i="5"/>
  <c r="J192" i="5"/>
  <c r="I192" i="5"/>
  <c r="H192" i="5"/>
  <c r="G192" i="5"/>
  <c r="K191" i="5"/>
  <c r="J191" i="5"/>
  <c r="I191" i="5"/>
  <c r="H191" i="5"/>
  <c r="G191" i="5"/>
  <c r="K190" i="5"/>
  <c r="J190" i="5"/>
  <c r="I190" i="5"/>
  <c r="H190" i="5"/>
  <c r="G190" i="5"/>
  <c r="K189" i="5"/>
  <c r="J189" i="5"/>
  <c r="I189" i="5"/>
  <c r="H189" i="5"/>
  <c r="G189" i="5"/>
  <c r="K188" i="5"/>
  <c r="J188" i="5"/>
  <c r="I188" i="5"/>
  <c r="H188" i="5"/>
  <c r="G188" i="5"/>
  <c r="N187" i="5"/>
  <c r="L187" i="5"/>
  <c r="K187" i="5"/>
  <c r="J187" i="5"/>
  <c r="I187" i="5"/>
  <c r="H187" i="5"/>
  <c r="G187" i="5"/>
  <c r="K186" i="5"/>
  <c r="J186" i="5"/>
  <c r="I186" i="5"/>
  <c r="H186" i="5"/>
  <c r="G186" i="5"/>
  <c r="K185" i="5"/>
  <c r="J185" i="5"/>
  <c r="I185" i="5"/>
  <c r="H185" i="5"/>
  <c r="G185" i="5"/>
  <c r="K184" i="5"/>
  <c r="J184" i="5"/>
  <c r="I184" i="5"/>
  <c r="H184" i="5"/>
  <c r="G184" i="5"/>
  <c r="K183" i="5"/>
  <c r="J183" i="5"/>
  <c r="I183" i="5"/>
  <c r="H183" i="5"/>
  <c r="G183" i="5"/>
  <c r="K182" i="5"/>
  <c r="J182" i="5"/>
  <c r="I182" i="5"/>
  <c r="H182" i="5"/>
  <c r="G182" i="5"/>
  <c r="K181" i="5"/>
  <c r="J181" i="5"/>
  <c r="I181" i="5"/>
  <c r="H181" i="5"/>
  <c r="G181" i="5"/>
  <c r="K180" i="5"/>
  <c r="J180" i="5"/>
  <c r="I180" i="5"/>
  <c r="H180" i="5"/>
  <c r="G180" i="5"/>
  <c r="K179" i="5"/>
  <c r="J179" i="5"/>
  <c r="I179" i="5"/>
  <c r="H179" i="5"/>
  <c r="G179" i="5"/>
  <c r="K178" i="5"/>
  <c r="J178" i="5"/>
  <c r="I178" i="5"/>
  <c r="H178" i="5"/>
  <c r="G178" i="5"/>
  <c r="O177" i="5"/>
  <c r="N177" i="5"/>
  <c r="M177" i="5"/>
  <c r="L177" i="5"/>
  <c r="K177" i="5"/>
  <c r="J177" i="5"/>
  <c r="I177" i="5"/>
  <c r="H177" i="5"/>
  <c r="G177" i="5"/>
  <c r="K176" i="5"/>
  <c r="J176" i="5"/>
  <c r="I176" i="5"/>
  <c r="H176" i="5"/>
  <c r="G176" i="5"/>
  <c r="K175" i="5"/>
  <c r="J175" i="5"/>
  <c r="I175" i="5"/>
  <c r="H175" i="5"/>
  <c r="G175" i="5"/>
  <c r="K174" i="5"/>
  <c r="J174" i="5"/>
  <c r="I174" i="5"/>
  <c r="H174" i="5"/>
  <c r="G174" i="5"/>
  <c r="K173" i="5"/>
  <c r="J173" i="5"/>
  <c r="I173" i="5"/>
  <c r="H173" i="5"/>
  <c r="G173" i="5"/>
  <c r="K172" i="5"/>
  <c r="J172" i="5"/>
  <c r="I172" i="5"/>
  <c r="H172" i="5"/>
  <c r="G172" i="5"/>
  <c r="K171" i="5"/>
  <c r="J171" i="5"/>
  <c r="I171" i="5"/>
  <c r="H171" i="5"/>
  <c r="G171" i="5"/>
  <c r="K170" i="5"/>
  <c r="J170" i="5"/>
  <c r="I170" i="5"/>
  <c r="H170" i="5"/>
  <c r="G170" i="5"/>
  <c r="N169" i="5"/>
  <c r="K169" i="5"/>
  <c r="J169" i="5"/>
  <c r="I169" i="5"/>
  <c r="H169" i="5"/>
  <c r="G169" i="5"/>
  <c r="K168" i="5"/>
  <c r="J168" i="5"/>
  <c r="I168" i="5"/>
  <c r="H168" i="5"/>
  <c r="G168" i="5"/>
  <c r="K167" i="5"/>
  <c r="J167" i="5"/>
  <c r="I167" i="5"/>
  <c r="H167" i="5"/>
  <c r="G167" i="5"/>
  <c r="K166" i="5"/>
  <c r="J166" i="5"/>
  <c r="I166" i="5"/>
  <c r="H166" i="5"/>
  <c r="G166" i="5"/>
  <c r="K165" i="5"/>
  <c r="J165" i="5"/>
  <c r="I165" i="5"/>
  <c r="H165" i="5"/>
  <c r="G165" i="5"/>
  <c r="K164" i="5"/>
  <c r="J164" i="5"/>
  <c r="I164" i="5"/>
  <c r="H164" i="5"/>
  <c r="G164" i="5"/>
  <c r="K163" i="5"/>
  <c r="J163" i="5"/>
  <c r="I163" i="5"/>
  <c r="H163" i="5"/>
  <c r="G163" i="5"/>
  <c r="K162" i="5"/>
  <c r="J162" i="5"/>
  <c r="I162" i="5"/>
  <c r="H162" i="5"/>
  <c r="G162" i="5"/>
  <c r="K161" i="5"/>
  <c r="J161" i="5"/>
  <c r="I161" i="5"/>
  <c r="H161" i="5"/>
  <c r="G161" i="5"/>
  <c r="K160" i="5"/>
  <c r="J160" i="5"/>
  <c r="I160" i="5"/>
  <c r="H160" i="5"/>
  <c r="G160" i="5"/>
  <c r="K159" i="5"/>
  <c r="J159" i="5"/>
  <c r="I159" i="5"/>
  <c r="H159" i="5"/>
  <c r="G159" i="5"/>
  <c r="O158" i="5"/>
  <c r="N158" i="5"/>
  <c r="M158" i="5"/>
  <c r="L158" i="5"/>
  <c r="K158" i="5"/>
  <c r="J158" i="5"/>
  <c r="I158" i="5"/>
  <c r="H158" i="5"/>
  <c r="G158" i="5"/>
  <c r="K157" i="5"/>
  <c r="J157" i="5"/>
  <c r="I157" i="5"/>
  <c r="H157" i="5"/>
  <c r="G157" i="5"/>
  <c r="K156" i="5"/>
  <c r="J156" i="5"/>
  <c r="I156" i="5"/>
  <c r="H156" i="5"/>
  <c r="G156" i="5"/>
  <c r="K155" i="5"/>
  <c r="J155" i="5"/>
  <c r="I155" i="5"/>
  <c r="H155" i="5"/>
  <c r="G155" i="5"/>
  <c r="K154" i="5"/>
  <c r="J154" i="5"/>
  <c r="I154" i="5"/>
  <c r="H154" i="5"/>
  <c r="G154" i="5"/>
  <c r="K153" i="5"/>
  <c r="J153" i="5"/>
  <c r="I153" i="5"/>
  <c r="H153" i="5"/>
  <c r="G153" i="5"/>
  <c r="N152" i="5"/>
  <c r="L152" i="5"/>
  <c r="K152" i="5"/>
  <c r="J152" i="5"/>
  <c r="I152" i="5"/>
  <c r="H152" i="5"/>
  <c r="G152" i="5"/>
  <c r="K151" i="5"/>
  <c r="J151" i="5"/>
  <c r="I151" i="5"/>
  <c r="H151" i="5"/>
  <c r="G151" i="5"/>
  <c r="K150" i="5"/>
  <c r="J150" i="5"/>
  <c r="I150" i="5"/>
  <c r="H150" i="5"/>
  <c r="G150" i="5"/>
  <c r="K149" i="5"/>
  <c r="J149" i="5"/>
  <c r="I149" i="5"/>
  <c r="H149" i="5"/>
  <c r="G149" i="5"/>
  <c r="K148" i="5"/>
  <c r="J148" i="5"/>
  <c r="I148" i="5"/>
  <c r="H148" i="5"/>
  <c r="G148" i="5"/>
  <c r="K147" i="5"/>
  <c r="J147" i="5"/>
  <c r="I147" i="5"/>
  <c r="H147" i="5"/>
  <c r="G147" i="5"/>
  <c r="N146" i="5"/>
  <c r="L146" i="5"/>
  <c r="K146" i="5"/>
  <c r="J146" i="5"/>
  <c r="I146" i="5"/>
  <c r="H146" i="5"/>
  <c r="G146" i="5"/>
  <c r="K145" i="5"/>
  <c r="J145" i="5"/>
  <c r="I145" i="5"/>
  <c r="H145" i="5"/>
  <c r="G145" i="5"/>
  <c r="K144" i="5"/>
  <c r="J144" i="5"/>
  <c r="I144" i="5"/>
  <c r="H144" i="5"/>
  <c r="G144" i="5"/>
  <c r="K143" i="5"/>
  <c r="J143" i="5"/>
  <c r="I143" i="5"/>
  <c r="H143" i="5"/>
  <c r="G143" i="5"/>
  <c r="K142" i="5"/>
  <c r="J142" i="5"/>
  <c r="I142" i="5"/>
  <c r="H142" i="5"/>
  <c r="G142" i="5"/>
  <c r="K141" i="5"/>
  <c r="J141" i="5"/>
  <c r="I141" i="5"/>
  <c r="H141" i="5"/>
  <c r="G141" i="5"/>
  <c r="L140" i="5"/>
  <c r="K140" i="5"/>
  <c r="J140" i="5"/>
  <c r="I140" i="5"/>
  <c r="H140" i="5"/>
  <c r="G140"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3" i="5"/>
  <c r="J133" i="5"/>
  <c r="I133" i="5"/>
  <c r="H133" i="5"/>
  <c r="G133" i="5"/>
  <c r="L132" i="5"/>
  <c r="K132" i="5"/>
  <c r="J132" i="5"/>
  <c r="I132" i="5"/>
  <c r="H132" i="5"/>
  <c r="G132" i="5"/>
  <c r="K131" i="5"/>
  <c r="J131" i="5"/>
  <c r="I131" i="5"/>
  <c r="H131" i="5"/>
  <c r="G131" i="5"/>
  <c r="K130" i="5"/>
  <c r="J130" i="5"/>
  <c r="I130" i="5"/>
  <c r="H130" i="5"/>
  <c r="G130" i="5"/>
  <c r="K129" i="5"/>
  <c r="J129" i="5"/>
  <c r="I129" i="5"/>
  <c r="H129" i="5"/>
  <c r="G129" i="5"/>
  <c r="N128" i="5"/>
  <c r="L128" i="5"/>
  <c r="K128" i="5"/>
  <c r="J128" i="5"/>
  <c r="I128" i="5"/>
  <c r="H128" i="5"/>
  <c r="G128" i="5"/>
  <c r="K127" i="5"/>
  <c r="J127" i="5"/>
  <c r="I127" i="5"/>
  <c r="H127" i="5"/>
  <c r="G127" i="5"/>
  <c r="K126" i="5"/>
  <c r="J126" i="5"/>
  <c r="I126" i="5"/>
  <c r="H126" i="5"/>
  <c r="G126" i="5"/>
  <c r="K125" i="5"/>
  <c r="J125" i="5"/>
  <c r="I125" i="5"/>
  <c r="H125" i="5"/>
  <c r="G125" i="5"/>
  <c r="K124" i="5"/>
  <c r="J124" i="5"/>
  <c r="I124" i="5"/>
  <c r="H124" i="5"/>
  <c r="G124" i="5"/>
  <c r="N123" i="5"/>
  <c r="L123" i="5"/>
  <c r="K123" i="5"/>
  <c r="J123" i="5"/>
  <c r="I123" i="5"/>
  <c r="H123" i="5"/>
  <c r="G123" i="5"/>
  <c r="K122" i="5"/>
  <c r="J122" i="5"/>
  <c r="I122" i="5"/>
  <c r="H122" i="5"/>
  <c r="G122" i="5"/>
  <c r="K121" i="5"/>
  <c r="J121" i="5"/>
  <c r="I121" i="5"/>
  <c r="H121" i="5"/>
  <c r="G121" i="5"/>
  <c r="K120" i="5"/>
  <c r="J120" i="5"/>
  <c r="I120" i="5"/>
  <c r="H120" i="5"/>
  <c r="G120" i="5"/>
  <c r="K119" i="5"/>
  <c r="J119" i="5"/>
  <c r="I119" i="5"/>
  <c r="H119" i="5"/>
  <c r="G119" i="5"/>
  <c r="K118" i="5"/>
  <c r="J118" i="5"/>
  <c r="I118" i="5"/>
  <c r="H118" i="5"/>
  <c r="G118" i="5"/>
  <c r="N117" i="5"/>
  <c r="L117"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8" i="5"/>
  <c r="J108" i="5"/>
  <c r="I108" i="5"/>
  <c r="H108" i="5"/>
  <c r="G108" i="5"/>
  <c r="K107" i="5"/>
  <c r="J107" i="5"/>
  <c r="I107" i="5"/>
  <c r="H107" i="5"/>
  <c r="G107" i="5"/>
  <c r="K106" i="5"/>
  <c r="J106" i="5"/>
  <c r="I106" i="5"/>
  <c r="H106" i="5"/>
  <c r="G106" i="5"/>
  <c r="K105" i="5"/>
  <c r="J105" i="5"/>
  <c r="I105" i="5"/>
  <c r="H105" i="5"/>
  <c r="G105" i="5"/>
  <c r="K104" i="5"/>
  <c r="J104" i="5"/>
  <c r="I104" i="5"/>
  <c r="H104" i="5"/>
  <c r="G104" i="5"/>
  <c r="K103" i="5"/>
  <c r="J103" i="5"/>
  <c r="I103" i="5"/>
  <c r="H103" i="5"/>
  <c r="G103" i="5"/>
  <c r="L102" i="5"/>
  <c r="K102" i="5"/>
  <c r="J102" i="5"/>
  <c r="I102" i="5"/>
  <c r="H102" i="5"/>
  <c r="G102" i="5"/>
  <c r="K101" i="5"/>
  <c r="J101" i="5"/>
  <c r="I101" i="5"/>
  <c r="H101" i="5"/>
  <c r="G101" i="5"/>
  <c r="K100" i="5"/>
  <c r="J100" i="5"/>
  <c r="I100" i="5"/>
  <c r="H100" i="5"/>
  <c r="G100" i="5"/>
  <c r="L99"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N89" i="5"/>
  <c r="L89"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N75" i="5"/>
  <c r="M75" i="5"/>
  <c r="L75" i="5"/>
  <c r="K75" i="5"/>
  <c r="J75" i="5"/>
  <c r="I75" i="5"/>
  <c r="H75" i="5"/>
  <c r="G75" i="5"/>
  <c r="K74" i="5"/>
  <c r="J74" i="5"/>
  <c r="I74" i="5"/>
  <c r="H74" i="5"/>
  <c r="G74" i="5"/>
  <c r="K73" i="5"/>
  <c r="J73" i="5"/>
  <c r="I73" i="5"/>
  <c r="H73" i="5"/>
  <c r="G73" i="5"/>
  <c r="K72" i="5"/>
  <c r="J72" i="5"/>
  <c r="I72" i="5"/>
  <c r="H72" i="5"/>
  <c r="G72" i="5"/>
  <c r="K71" i="5"/>
  <c r="J71" i="5"/>
  <c r="I71" i="5"/>
  <c r="H71" i="5"/>
  <c r="G71" i="5"/>
  <c r="N70" i="5"/>
  <c r="L70" i="5"/>
  <c r="K70" i="5"/>
  <c r="J70" i="5"/>
  <c r="I70" i="5"/>
  <c r="H70" i="5"/>
  <c r="G70" i="5"/>
  <c r="K69" i="5"/>
  <c r="J69" i="5"/>
  <c r="I69" i="5"/>
  <c r="H69" i="5"/>
  <c r="G69" i="5"/>
  <c r="K68" i="5"/>
  <c r="J68" i="5"/>
  <c r="I68" i="5"/>
  <c r="H68" i="5"/>
  <c r="G68" i="5"/>
  <c r="N67" i="5"/>
  <c r="L67" i="5"/>
  <c r="K67" i="5"/>
  <c r="J67" i="5"/>
  <c r="I67" i="5"/>
  <c r="H67" i="5"/>
  <c r="G67" i="5"/>
  <c r="K66" i="5"/>
  <c r="J66" i="5"/>
  <c r="I66" i="5"/>
  <c r="H66" i="5"/>
  <c r="G66" i="5"/>
  <c r="K65" i="5"/>
  <c r="J65" i="5"/>
  <c r="I65" i="5"/>
  <c r="H65" i="5"/>
  <c r="G65" i="5"/>
  <c r="K64" i="5"/>
  <c r="J64" i="5"/>
  <c r="I64" i="5"/>
  <c r="H64" i="5"/>
  <c r="G64" i="5"/>
  <c r="N63" i="5"/>
  <c r="L63" i="5"/>
  <c r="K63" i="5"/>
  <c r="J63" i="5"/>
  <c r="I63" i="5"/>
  <c r="H63" i="5"/>
  <c r="G63" i="5"/>
  <c r="K62" i="5"/>
  <c r="J62" i="5"/>
  <c r="I62" i="5"/>
  <c r="H62" i="5"/>
  <c r="G62" i="5"/>
  <c r="K61" i="5"/>
  <c r="J61" i="5"/>
  <c r="I61" i="5"/>
  <c r="H61" i="5"/>
  <c r="G61" i="5"/>
  <c r="N60" i="5"/>
  <c r="L60"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N54" i="5"/>
  <c r="L54"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N46" i="5"/>
  <c r="L46" i="5"/>
  <c r="K46" i="5"/>
  <c r="J46" i="5"/>
  <c r="I46" i="5"/>
  <c r="H46" i="5"/>
  <c r="G46" i="5"/>
  <c r="K45" i="5"/>
  <c r="J45" i="5"/>
  <c r="I45" i="5"/>
  <c r="H45" i="5"/>
  <c r="G45" i="5"/>
  <c r="K44" i="5"/>
  <c r="J44" i="5"/>
  <c r="I44" i="5"/>
  <c r="H44" i="5"/>
  <c r="G44" i="5"/>
  <c r="K43" i="5"/>
  <c r="J43" i="5"/>
  <c r="I43" i="5"/>
  <c r="H43" i="5"/>
  <c r="G43" i="5"/>
  <c r="K42" i="5"/>
  <c r="J42" i="5"/>
  <c r="I42" i="5"/>
  <c r="H42" i="5"/>
  <c r="G42" i="5"/>
  <c r="K41" i="5"/>
  <c r="J41" i="5"/>
  <c r="I41" i="5"/>
  <c r="H41" i="5"/>
  <c r="G41" i="5"/>
  <c r="N40" i="5"/>
  <c r="L40" i="5"/>
  <c r="K40" i="5"/>
  <c r="J40" i="5"/>
  <c r="I40" i="5"/>
  <c r="H40" i="5"/>
  <c r="G40" i="5"/>
  <c r="K39" i="5"/>
  <c r="J39" i="5"/>
  <c r="I39" i="5"/>
  <c r="H39" i="5"/>
  <c r="G39" i="5"/>
  <c r="K38" i="5"/>
  <c r="J38" i="5"/>
  <c r="I38" i="5"/>
  <c r="H38" i="5"/>
  <c r="G38" i="5"/>
  <c r="O37" i="5"/>
  <c r="M37" i="5"/>
  <c r="L37" i="5"/>
  <c r="K37" i="5"/>
  <c r="J37" i="5"/>
  <c r="I37" i="5"/>
  <c r="H37" i="5"/>
  <c r="G37" i="5"/>
  <c r="K36" i="5"/>
  <c r="J36" i="5"/>
  <c r="I36" i="5"/>
  <c r="H36" i="5"/>
  <c r="G36" i="5"/>
  <c r="K35" i="5"/>
  <c r="J35" i="5"/>
  <c r="I35" i="5"/>
  <c r="H35" i="5"/>
  <c r="G35" i="5"/>
  <c r="K34" i="5"/>
  <c r="J34" i="5"/>
  <c r="I34" i="5"/>
  <c r="H34" i="5"/>
  <c r="G34" i="5"/>
  <c r="K33" i="5"/>
  <c r="J33" i="5"/>
  <c r="I33" i="5"/>
  <c r="H33" i="5"/>
  <c r="G33" i="5"/>
  <c r="L32" i="5"/>
  <c r="K32" i="5"/>
  <c r="J32" i="5"/>
  <c r="I32" i="5"/>
  <c r="H32" i="5"/>
  <c r="G32" i="5"/>
  <c r="K31" i="5"/>
  <c r="J31" i="5"/>
  <c r="I31" i="5"/>
  <c r="H31" i="5"/>
  <c r="G31" i="5"/>
  <c r="K30" i="5"/>
  <c r="J30" i="5"/>
  <c r="I30" i="5"/>
  <c r="H30" i="5"/>
  <c r="G30" i="5"/>
  <c r="K29" i="5"/>
  <c r="J29" i="5"/>
  <c r="I29" i="5"/>
  <c r="H29" i="5"/>
  <c r="G29" i="5"/>
  <c r="L28" i="5"/>
  <c r="K28" i="5"/>
  <c r="J28" i="5"/>
  <c r="I28" i="5"/>
  <c r="H28" i="5"/>
  <c r="G28" i="5"/>
  <c r="K27" i="5"/>
  <c r="J27" i="5"/>
  <c r="I27" i="5"/>
  <c r="H27" i="5"/>
  <c r="G27" i="5"/>
  <c r="K26" i="5"/>
  <c r="J26" i="5"/>
  <c r="I26" i="5"/>
  <c r="H26" i="5"/>
  <c r="G26" i="5"/>
  <c r="N25" i="5"/>
  <c r="L25" i="5"/>
  <c r="K25" i="5"/>
  <c r="J25" i="5"/>
  <c r="I25" i="5"/>
  <c r="H25" i="5"/>
  <c r="G25" i="5"/>
  <c r="K24" i="5"/>
  <c r="J24" i="5"/>
  <c r="I24" i="5"/>
  <c r="H24" i="5"/>
  <c r="G24" i="5"/>
  <c r="K23" i="5"/>
  <c r="J23" i="5"/>
  <c r="I23" i="5"/>
  <c r="H23" i="5"/>
  <c r="G23" i="5"/>
  <c r="K22" i="5"/>
  <c r="J22" i="5"/>
  <c r="I22" i="5"/>
  <c r="H22" i="5"/>
  <c r="G22" i="5"/>
  <c r="O21" i="5"/>
  <c r="N21" i="5"/>
  <c r="M21" i="5"/>
  <c r="L21"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3" i="5"/>
  <c r="J13" i="5"/>
  <c r="I13" i="5"/>
  <c r="H13" i="5"/>
  <c r="G13" i="5"/>
  <c r="N12" i="5"/>
  <c r="L12" i="5"/>
  <c r="K12" i="5"/>
  <c r="J12" i="5"/>
  <c r="I12" i="5"/>
  <c r="H12" i="5"/>
  <c r="G12" i="5"/>
  <c r="K11" i="5"/>
  <c r="J11" i="5"/>
  <c r="I11" i="5"/>
  <c r="H11" i="5"/>
  <c r="G11" i="5"/>
  <c r="K10" i="5"/>
  <c r="J10" i="5"/>
  <c r="I10" i="5"/>
  <c r="H10" i="5"/>
  <c r="G10" i="5"/>
  <c r="K9" i="5"/>
  <c r="J9" i="5"/>
  <c r="I9" i="5"/>
  <c r="H9" i="5"/>
  <c r="G9" i="5"/>
  <c r="N8" i="5"/>
  <c r="L8" i="5"/>
  <c r="K8" i="5"/>
  <c r="J8" i="5"/>
  <c r="I8" i="5"/>
  <c r="H8" i="5"/>
  <c r="G8" i="5"/>
  <c r="K7" i="5"/>
  <c r="J7" i="5"/>
  <c r="I7" i="5"/>
  <c r="H7" i="5"/>
  <c r="G7" i="5"/>
  <c r="K6" i="5"/>
  <c r="J6" i="5"/>
  <c r="I6" i="5"/>
  <c r="H6" i="5"/>
  <c r="G6" i="5"/>
  <c r="K5" i="5"/>
  <c r="J5" i="5"/>
  <c r="I5" i="5"/>
  <c r="H5" i="5"/>
  <c r="G5" i="5"/>
  <c r="K4" i="5"/>
  <c r="J4" i="5"/>
  <c r="I4" i="5"/>
  <c r="H4" i="5"/>
  <c r="G4" i="5"/>
  <c r="K3" i="5"/>
  <c r="J3" i="5"/>
  <c r="I3" i="5"/>
  <c r="H3" i="5"/>
  <c r="G3" i="5"/>
  <c r="Q2" i="5"/>
  <c r="P2" i="5"/>
  <c r="O2" i="5"/>
  <c r="N2" i="5"/>
  <c r="M2" i="5"/>
  <c r="L2" i="5"/>
  <c r="K2" i="5"/>
  <c r="J2" i="5"/>
  <c r="I2" i="5"/>
  <c r="H2" i="5"/>
  <c r="G2" i="5"/>
  <c r="K271" i="3"/>
  <c r="J271" i="3"/>
  <c r="I271" i="3"/>
  <c r="D271" i="3"/>
  <c r="C271" i="3"/>
  <c r="K270" i="3"/>
  <c r="J270" i="3"/>
  <c r="I270" i="3"/>
  <c r="D270" i="3"/>
  <c r="C270" i="3"/>
  <c r="K269" i="3"/>
  <c r="J269" i="3"/>
  <c r="I269" i="3"/>
  <c r="D269" i="3"/>
  <c r="C269" i="3"/>
  <c r="K268" i="3"/>
  <c r="J268" i="3"/>
  <c r="I268" i="3"/>
  <c r="D268" i="3"/>
  <c r="C268" i="3"/>
  <c r="K267" i="3"/>
  <c r="J267" i="3"/>
  <c r="I267" i="3"/>
  <c r="D267" i="3"/>
  <c r="C267" i="3"/>
  <c r="K266" i="3"/>
  <c r="J266" i="3"/>
  <c r="I266" i="3"/>
  <c r="D266" i="3"/>
  <c r="C266" i="3"/>
  <c r="K265" i="3"/>
  <c r="J265" i="3"/>
  <c r="I265" i="3"/>
  <c r="D265" i="3"/>
  <c r="C265" i="3"/>
  <c r="K264" i="3"/>
  <c r="J264" i="3"/>
  <c r="I264" i="3"/>
  <c r="D264" i="3"/>
  <c r="C264" i="3"/>
  <c r="K263" i="3"/>
  <c r="J263" i="3"/>
  <c r="I263" i="3"/>
  <c r="D263" i="3"/>
  <c r="C263" i="3"/>
  <c r="K262" i="3"/>
  <c r="J262" i="3"/>
  <c r="I262" i="3"/>
  <c r="D262" i="3"/>
  <c r="C262" i="3"/>
  <c r="K261" i="3"/>
  <c r="J261" i="3"/>
  <c r="I261" i="3"/>
  <c r="D261" i="3"/>
  <c r="C261" i="3"/>
  <c r="K260" i="3"/>
  <c r="J260" i="3"/>
  <c r="I260" i="3"/>
  <c r="D260" i="3"/>
  <c r="C260" i="3"/>
  <c r="K259" i="3"/>
  <c r="J259" i="3"/>
  <c r="I259" i="3"/>
  <c r="D259" i="3"/>
  <c r="C259" i="3"/>
  <c r="K258" i="3"/>
  <c r="J258" i="3"/>
  <c r="I258" i="3"/>
  <c r="D258" i="3"/>
  <c r="C258" i="3"/>
  <c r="K257" i="3"/>
  <c r="J257" i="3"/>
  <c r="I257" i="3"/>
  <c r="D257" i="3"/>
  <c r="C257" i="3"/>
  <c r="K256" i="3"/>
  <c r="J256" i="3"/>
  <c r="I256" i="3"/>
  <c r="D256" i="3"/>
  <c r="C256" i="3"/>
  <c r="K255" i="3"/>
  <c r="J255" i="3"/>
  <c r="I255" i="3"/>
  <c r="D255" i="3"/>
  <c r="C255" i="3"/>
  <c r="M254" i="3"/>
  <c r="L254" i="3"/>
  <c r="K254" i="3"/>
  <c r="J254" i="3"/>
  <c r="I254" i="3"/>
  <c r="D254" i="3"/>
  <c r="C254" i="3"/>
  <c r="K253" i="3"/>
  <c r="J253" i="3"/>
  <c r="I253" i="3"/>
  <c r="D253" i="3"/>
  <c r="C253" i="3"/>
  <c r="K252" i="3"/>
  <c r="J252" i="3"/>
  <c r="I252" i="3"/>
  <c r="D252" i="3"/>
  <c r="C252" i="3"/>
  <c r="J251" i="3"/>
  <c r="I251" i="3"/>
  <c r="J250" i="3"/>
  <c r="I250" i="3"/>
  <c r="K249" i="3"/>
  <c r="J249" i="3"/>
  <c r="I249" i="3"/>
  <c r="D249" i="3"/>
  <c r="C249" i="3"/>
  <c r="L248" i="3"/>
  <c r="K248" i="3"/>
  <c r="J248" i="3"/>
  <c r="I248" i="3"/>
  <c r="D248" i="3"/>
  <c r="C248" i="3"/>
  <c r="K247" i="3"/>
  <c r="J247" i="3"/>
  <c r="I247" i="3"/>
  <c r="D247" i="3"/>
  <c r="C247" i="3"/>
  <c r="K246" i="3"/>
  <c r="J246" i="3"/>
  <c r="I246" i="3"/>
  <c r="D246" i="3"/>
  <c r="C246" i="3"/>
  <c r="K245" i="3"/>
  <c r="J245" i="3"/>
  <c r="I245" i="3"/>
  <c r="D245" i="3"/>
  <c r="C245" i="3"/>
  <c r="K244" i="3"/>
  <c r="J244" i="3"/>
  <c r="I244" i="3"/>
  <c r="D244" i="3"/>
  <c r="C244" i="3"/>
  <c r="K243" i="3"/>
  <c r="J243" i="3"/>
  <c r="I243" i="3"/>
  <c r="D243" i="3"/>
  <c r="C243" i="3"/>
  <c r="K242" i="3"/>
  <c r="J242" i="3"/>
  <c r="I242" i="3"/>
  <c r="D242" i="3"/>
  <c r="C242" i="3"/>
  <c r="K241" i="3"/>
  <c r="J241" i="3"/>
  <c r="I241" i="3"/>
  <c r="D241" i="3"/>
  <c r="C241" i="3"/>
  <c r="M240" i="3"/>
  <c r="L240" i="3"/>
  <c r="K240" i="3"/>
  <c r="J240" i="3"/>
  <c r="I240" i="3"/>
  <c r="D240" i="3"/>
  <c r="C240" i="3"/>
  <c r="K239" i="3"/>
  <c r="J239" i="3"/>
  <c r="I239" i="3"/>
  <c r="D239" i="3"/>
  <c r="C239" i="3"/>
  <c r="K238" i="3"/>
  <c r="J238" i="3"/>
  <c r="I238" i="3"/>
  <c r="D238" i="3"/>
  <c r="C238" i="3"/>
  <c r="K237" i="3"/>
  <c r="J237" i="3"/>
  <c r="I237" i="3"/>
  <c r="D237" i="3"/>
  <c r="C237" i="3"/>
  <c r="K236" i="3"/>
  <c r="J236" i="3"/>
  <c r="I236" i="3"/>
  <c r="D236" i="3"/>
  <c r="C236" i="3"/>
  <c r="K235" i="3"/>
  <c r="J235" i="3"/>
  <c r="I235" i="3"/>
  <c r="D235" i="3"/>
  <c r="C235" i="3"/>
  <c r="K234" i="3"/>
  <c r="J234" i="3"/>
  <c r="I234" i="3"/>
  <c r="D234" i="3"/>
  <c r="C234" i="3"/>
  <c r="K233" i="3"/>
  <c r="J233" i="3"/>
  <c r="I233" i="3"/>
  <c r="D233" i="3"/>
  <c r="C233" i="3"/>
  <c r="K232" i="3"/>
  <c r="J232" i="3"/>
  <c r="I232" i="3"/>
  <c r="D232" i="3"/>
  <c r="C232" i="3"/>
  <c r="K231" i="3"/>
  <c r="J231" i="3"/>
  <c r="I231" i="3"/>
  <c r="D231" i="3"/>
  <c r="C231" i="3"/>
  <c r="K230" i="3"/>
  <c r="J230" i="3"/>
  <c r="I230" i="3"/>
  <c r="D230" i="3"/>
  <c r="C230" i="3"/>
  <c r="K229" i="3"/>
  <c r="J229" i="3"/>
  <c r="I229" i="3"/>
  <c r="D229" i="3"/>
  <c r="C229" i="3"/>
  <c r="K228" i="3"/>
  <c r="J228" i="3"/>
  <c r="I228" i="3"/>
  <c r="D228" i="3"/>
  <c r="C228" i="3"/>
  <c r="K227" i="3"/>
  <c r="J227" i="3"/>
  <c r="I227" i="3"/>
  <c r="D227" i="3"/>
  <c r="C227" i="3"/>
  <c r="K226" i="3"/>
  <c r="J226" i="3"/>
  <c r="I226" i="3"/>
  <c r="D226" i="3"/>
  <c r="C226" i="3"/>
  <c r="K225" i="3"/>
  <c r="J225" i="3"/>
  <c r="I225" i="3"/>
  <c r="D225" i="3"/>
  <c r="C225" i="3"/>
  <c r="K224" i="3"/>
  <c r="J224" i="3"/>
  <c r="I224" i="3"/>
  <c r="D224" i="3"/>
  <c r="C224" i="3"/>
  <c r="K223" i="3"/>
  <c r="J223" i="3"/>
  <c r="I223" i="3"/>
  <c r="D223" i="3"/>
  <c r="C223" i="3"/>
  <c r="K222" i="3"/>
  <c r="J222" i="3"/>
  <c r="I222" i="3"/>
  <c r="D222" i="3"/>
  <c r="C222" i="3"/>
  <c r="K221" i="3"/>
  <c r="J221" i="3"/>
  <c r="I221" i="3"/>
  <c r="D221" i="3"/>
  <c r="C221" i="3"/>
  <c r="K220" i="3"/>
  <c r="J220" i="3"/>
  <c r="I220" i="3"/>
  <c r="D220" i="3"/>
  <c r="C220" i="3"/>
  <c r="K219" i="3"/>
  <c r="J219" i="3"/>
  <c r="I219" i="3"/>
  <c r="D219" i="3"/>
  <c r="C219" i="3"/>
  <c r="K218" i="3"/>
  <c r="J218" i="3"/>
  <c r="I218" i="3"/>
  <c r="D218" i="3"/>
  <c r="C218" i="3"/>
  <c r="K217" i="3"/>
  <c r="J217" i="3"/>
  <c r="I217" i="3"/>
  <c r="D217" i="3"/>
  <c r="C217" i="3"/>
  <c r="L216" i="3"/>
  <c r="K216" i="3"/>
  <c r="J216" i="3"/>
  <c r="I216" i="3"/>
  <c r="D216" i="3"/>
  <c r="C216" i="3"/>
  <c r="K215" i="3"/>
  <c r="J215" i="3"/>
  <c r="I215" i="3"/>
  <c r="D215" i="3"/>
  <c r="C215" i="3"/>
  <c r="K214" i="3"/>
  <c r="J214" i="3"/>
  <c r="I214" i="3"/>
  <c r="D214" i="3"/>
  <c r="C214" i="3"/>
  <c r="K213" i="3"/>
  <c r="J213" i="3"/>
  <c r="I213" i="3"/>
  <c r="D213" i="3"/>
  <c r="C213" i="3"/>
  <c r="K212" i="3"/>
  <c r="J212" i="3"/>
  <c r="I212" i="3"/>
  <c r="D212" i="3"/>
  <c r="C212" i="3"/>
  <c r="K211" i="3"/>
  <c r="J211" i="3"/>
  <c r="I211" i="3"/>
  <c r="D211" i="3"/>
  <c r="C211" i="3"/>
  <c r="K210" i="3"/>
  <c r="J210" i="3"/>
  <c r="I210" i="3"/>
  <c r="D210" i="3"/>
  <c r="C210" i="3"/>
  <c r="K209" i="3"/>
  <c r="J209" i="3"/>
  <c r="I209" i="3"/>
  <c r="D209" i="3"/>
  <c r="C209" i="3"/>
  <c r="K208" i="3"/>
  <c r="J208" i="3"/>
  <c r="I208" i="3"/>
  <c r="D208" i="3"/>
  <c r="C208" i="3"/>
  <c r="M207" i="3"/>
  <c r="L207" i="3"/>
  <c r="K207" i="3"/>
  <c r="J207" i="3"/>
  <c r="I207" i="3"/>
  <c r="D207" i="3"/>
  <c r="C207" i="3"/>
  <c r="K206" i="3"/>
  <c r="J206" i="3"/>
  <c r="I206" i="3"/>
  <c r="D206" i="3"/>
  <c r="C206" i="3"/>
  <c r="K205" i="3"/>
  <c r="J205" i="3"/>
  <c r="I205" i="3"/>
  <c r="D205" i="3"/>
  <c r="C205" i="3"/>
  <c r="K204" i="3"/>
  <c r="J204" i="3"/>
  <c r="I204" i="3"/>
  <c r="D204" i="3"/>
  <c r="C204" i="3"/>
  <c r="K203" i="3"/>
  <c r="J203" i="3"/>
  <c r="I203" i="3"/>
  <c r="D203" i="3"/>
  <c r="C203" i="3"/>
  <c r="J202" i="3"/>
  <c r="I202" i="3"/>
  <c r="J201" i="3"/>
  <c r="I201" i="3"/>
  <c r="K200" i="3"/>
  <c r="J200" i="3"/>
  <c r="I200" i="3"/>
  <c r="D200" i="3"/>
  <c r="C200" i="3"/>
  <c r="J199" i="3"/>
  <c r="I199" i="3"/>
  <c r="K198" i="3"/>
  <c r="J198" i="3"/>
  <c r="I198" i="3"/>
  <c r="D198" i="3"/>
  <c r="C198" i="3"/>
  <c r="J197" i="3"/>
  <c r="I197" i="3"/>
  <c r="K196" i="3"/>
  <c r="J196" i="3"/>
  <c r="I196" i="3"/>
  <c r="D196" i="3"/>
  <c r="C196" i="3"/>
  <c r="L195" i="3"/>
  <c r="K195" i="3"/>
  <c r="J195" i="3"/>
  <c r="I195" i="3"/>
  <c r="D195" i="3"/>
  <c r="C195" i="3"/>
  <c r="K194" i="3"/>
  <c r="J194" i="3"/>
  <c r="I194" i="3"/>
  <c r="D194" i="3"/>
  <c r="C194" i="3"/>
  <c r="K193" i="3"/>
  <c r="J193" i="3"/>
  <c r="I193" i="3"/>
  <c r="D193" i="3"/>
  <c r="C193" i="3"/>
  <c r="K192" i="3"/>
  <c r="J192" i="3"/>
  <c r="I192" i="3"/>
  <c r="D192" i="3"/>
  <c r="C192" i="3"/>
  <c r="K191" i="3"/>
  <c r="J191" i="3"/>
  <c r="I191" i="3"/>
  <c r="D191" i="3"/>
  <c r="C191" i="3"/>
  <c r="K190" i="3"/>
  <c r="J190" i="3"/>
  <c r="I190" i="3"/>
  <c r="D190" i="3"/>
  <c r="C190" i="3"/>
  <c r="K189" i="3"/>
  <c r="J189" i="3"/>
  <c r="I189" i="3"/>
  <c r="D189" i="3"/>
  <c r="C189" i="3"/>
  <c r="K188" i="3"/>
  <c r="J188" i="3"/>
  <c r="I188" i="3"/>
  <c r="D188" i="3"/>
  <c r="C188" i="3"/>
  <c r="J187" i="3"/>
  <c r="I187" i="3"/>
  <c r="K186" i="3"/>
  <c r="J186" i="3"/>
  <c r="I186" i="3"/>
  <c r="D186" i="3"/>
  <c r="C186" i="3"/>
  <c r="K185" i="3"/>
  <c r="J185" i="3"/>
  <c r="I185" i="3"/>
  <c r="D185" i="3"/>
  <c r="C185" i="3"/>
  <c r="M184" i="3"/>
  <c r="L184" i="3"/>
  <c r="K184" i="3"/>
  <c r="J184" i="3"/>
  <c r="I184" i="3"/>
  <c r="D184" i="3"/>
  <c r="C184" i="3"/>
  <c r="K183" i="3"/>
  <c r="J183" i="3"/>
  <c r="I183" i="3"/>
  <c r="D183" i="3"/>
  <c r="C183" i="3"/>
  <c r="K182" i="3"/>
  <c r="J182" i="3"/>
  <c r="I182" i="3"/>
  <c r="D182" i="3"/>
  <c r="C182" i="3"/>
  <c r="K181" i="3"/>
  <c r="J181" i="3"/>
  <c r="I181" i="3"/>
  <c r="D181" i="3"/>
  <c r="C181" i="3"/>
  <c r="K180" i="3"/>
  <c r="J180" i="3"/>
  <c r="I180" i="3"/>
  <c r="D180" i="3"/>
  <c r="C180" i="3"/>
  <c r="K179" i="3"/>
  <c r="J179" i="3"/>
  <c r="I179" i="3"/>
  <c r="D179" i="3"/>
  <c r="C179" i="3"/>
  <c r="K178" i="3"/>
  <c r="J178" i="3"/>
  <c r="I178" i="3"/>
  <c r="D178" i="3"/>
  <c r="C178" i="3"/>
  <c r="K177" i="3"/>
  <c r="J177" i="3"/>
  <c r="I177" i="3"/>
  <c r="D177" i="3"/>
  <c r="C177" i="3"/>
  <c r="L176" i="3"/>
  <c r="K176" i="3"/>
  <c r="J176" i="3"/>
  <c r="I176" i="3"/>
  <c r="D176" i="3"/>
  <c r="C176" i="3"/>
  <c r="K175" i="3"/>
  <c r="J175" i="3"/>
  <c r="I175" i="3"/>
  <c r="D175" i="3"/>
  <c r="C175" i="3"/>
  <c r="K174" i="3"/>
  <c r="J174" i="3"/>
  <c r="I174" i="3"/>
  <c r="D174" i="3"/>
  <c r="C174" i="3"/>
  <c r="K173" i="3"/>
  <c r="J173" i="3"/>
  <c r="I173" i="3"/>
  <c r="D173" i="3"/>
  <c r="C173" i="3"/>
  <c r="K172" i="3"/>
  <c r="J172" i="3"/>
  <c r="I172" i="3"/>
  <c r="D172" i="3"/>
  <c r="C172" i="3"/>
  <c r="K171" i="3"/>
  <c r="J171" i="3"/>
  <c r="I171" i="3"/>
  <c r="D171" i="3"/>
  <c r="C171" i="3"/>
  <c r="K170" i="3"/>
  <c r="J170" i="3"/>
  <c r="I170" i="3"/>
  <c r="D170" i="3"/>
  <c r="C170" i="3"/>
  <c r="K169" i="3"/>
  <c r="J169" i="3"/>
  <c r="I169" i="3"/>
  <c r="D169" i="3"/>
  <c r="C169" i="3"/>
  <c r="K168" i="3"/>
  <c r="J168" i="3"/>
  <c r="I168" i="3"/>
  <c r="D168" i="3"/>
  <c r="C168" i="3"/>
  <c r="K167" i="3"/>
  <c r="J167" i="3"/>
  <c r="I167" i="3"/>
  <c r="D167" i="3"/>
  <c r="C167" i="3"/>
  <c r="K166" i="3"/>
  <c r="J166" i="3"/>
  <c r="I166" i="3"/>
  <c r="D166" i="3"/>
  <c r="C166" i="3"/>
  <c r="M165" i="3"/>
  <c r="L165" i="3"/>
  <c r="K165" i="3"/>
  <c r="J165" i="3"/>
  <c r="I165" i="3"/>
  <c r="D165" i="3"/>
  <c r="C165" i="3"/>
  <c r="K164" i="3"/>
  <c r="J164" i="3"/>
  <c r="I164" i="3"/>
  <c r="D164" i="3"/>
  <c r="C164" i="3"/>
  <c r="K163" i="3"/>
  <c r="J163" i="3"/>
  <c r="I163" i="3"/>
  <c r="D163" i="3"/>
  <c r="C163" i="3"/>
  <c r="K162" i="3"/>
  <c r="J162" i="3"/>
  <c r="I162" i="3"/>
  <c r="D162" i="3"/>
  <c r="C162" i="3"/>
  <c r="K161" i="3"/>
  <c r="J161" i="3"/>
  <c r="I161" i="3"/>
  <c r="D161" i="3"/>
  <c r="C161" i="3"/>
  <c r="K160" i="3"/>
  <c r="J160" i="3"/>
  <c r="I160" i="3"/>
  <c r="D160" i="3"/>
  <c r="C160" i="3"/>
  <c r="K159" i="3"/>
  <c r="J159" i="3"/>
  <c r="I159" i="3"/>
  <c r="D159" i="3"/>
  <c r="C159" i="3"/>
  <c r="K158" i="3"/>
  <c r="J158" i="3"/>
  <c r="I158" i="3"/>
  <c r="D158" i="3"/>
  <c r="C158" i="3"/>
  <c r="K157" i="3"/>
  <c r="J157" i="3"/>
  <c r="I157" i="3"/>
  <c r="D157" i="3"/>
  <c r="C157" i="3"/>
  <c r="K156" i="3"/>
  <c r="J156" i="3"/>
  <c r="I156" i="3"/>
  <c r="D156" i="3"/>
  <c r="C156" i="3"/>
  <c r="K155" i="3"/>
  <c r="J155" i="3"/>
  <c r="I155" i="3"/>
  <c r="D155" i="3"/>
  <c r="C155" i="3"/>
  <c r="K154" i="3"/>
  <c r="J154" i="3"/>
  <c r="I154" i="3"/>
  <c r="D154" i="3"/>
  <c r="C154" i="3"/>
  <c r="K153" i="3"/>
  <c r="J153" i="3"/>
  <c r="I153" i="3"/>
  <c r="D153" i="3"/>
  <c r="C153" i="3"/>
  <c r="K152" i="3"/>
  <c r="J152" i="3"/>
  <c r="I152" i="3"/>
  <c r="D152" i="3"/>
  <c r="C152" i="3"/>
  <c r="K151" i="3"/>
  <c r="J151" i="3"/>
  <c r="I151" i="3"/>
  <c r="D151" i="3"/>
  <c r="C151" i="3"/>
  <c r="K150" i="3"/>
  <c r="J150" i="3"/>
  <c r="I150" i="3"/>
  <c r="D150" i="3"/>
  <c r="C150" i="3"/>
  <c r="K149" i="3"/>
  <c r="J149" i="3"/>
  <c r="I149" i="3"/>
  <c r="D149" i="3"/>
  <c r="C149" i="3"/>
  <c r="K148" i="3"/>
  <c r="J148" i="3"/>
  <c r="I148" i="3"/>
  <c r="D148" i="3"/>
  <c r="C148" i="3"/>
  <c r="L147" i="3"/>
  <c r="K147" i="3"/>
  <c r="J147" i="3"/>
  <c r="I147" i="3"/>
  <c r="D147" i="3"/>
  <c r="C147" i="3"/>
  <c r="K146" i="3"/>
  <c r="J146" i="3"/>
  <c r="I146" i="3"/>
  <c r="D146" i="3"/>
  <c r="C146" i="3"/>
  <c r="K145" i="3"/>
  <c r="J145" i="3"/>
  <c r="I145" i="3"/>
  <c r="D145" i="3"/>
  <c r="C145" i="3"/>
  <c r="K144" i="3"/>
  <c r="J144" i="3"/>
  <c r="I144" i="3"/>
  <c r="D144" i="3"/>
  <c r="C144" i="3"/>
  <c r="K143" i="3"/>
  <c r="J143" i="3"/>
  <c r="I143" i="3"/>
  <c r="D143" i="3"/>
  <c r="C143" i="3"/>
  <c r="K142" i="3"/>
  <c r="J142" i="3"/>
  <c r="I142" i="3"/>
  <c r="D142" i="3"/>
  <c r="C142" i="3"/>
  <c r="K141" i="3"/>
  <c r="J141" i="3"/>
  <c r="I141" i="3"/>
  <c r="D141" i="3"/>
  <c r="C141" i="3"/>
  <c r="K140" i="3"/>
  <c r="J140" i="3"/>
  <c r="I140" i="3"/>
  <c r="D140" i="3"/>
  <c r="C140" i="3"/>
  <c r="L139" i="3"/>
  <c r="K139" i="3"/>
  <c r="J139" i="3"/>
  <c r="I139" i="3"/>
  <c r="D139" i="3"/>
  <c r="C139" i="3"/>
  <c r="K138" i="3"/>
  <c r="J138" i="3"/>
  <c r="I138" i="3"/>
  <c r="D138" i="3"/>
  <c r="C138" i="3"/>
  <c r="K137" i="3"/>
  <c r="J137" i="3"/>
  <c r="I137" i="3"/>
  <c r="D137" i="3"/>
  <c r="C137" i="3"/>
  <c r="K136" i="3"/>
  <c r="J136" i="3"/>
  <c r="I136" i="3"/>
  <c r="D136" i="3"/>
  <c r="C136" i="3"/>
  <c r="K135" i="3"/>
  <c r="J135" i="3"/>
  <c r="I135" i="3"/>
  <c r="D135" i="3"/>
  <c r="C135" i="3"/>
  <c r="K134" i="3"/>
  <c r="J134" i="3"/>
  <c r="I134" i="3"/>
  <c r="D134" i="3"/>
  <c r="C134" i="3"/>
  <c r="K133" i="3"/>
  <c r="J133" i="3"/>
  <c r="I133" i="3"/>
  <c r="D133" i="3"/>
  <c r="C133" i="3"/>
  <c r="K132" i="3"/>
  <c r="J132" i="3"/>
  <c r="I132" i="3"/>
  <c r="D132" i="3"/>
  <c r="C132" i="3"/>
  <c r="K131" i="3"/>
  <c r="J131" i="3"/>
  <c r="I131" i="3"/>
  <c r="D131" i="3"/>
  <c r="C131" i="3"/>
  <c r="L130" i="3"/>
  <c r="K130" i="3"/>
  <c r="J130" i="3"/>
  <c r="I130" i="3"/>
  <c r="D130" i="3"/>
  <c r="C130" i="3"/>
  <c r="K129" i="3"/>
  <c r="J129" i="3"/>
  <c r="I129" i="3"/>
  <c r="D129" i="3"/>
  <c r="C129" i="3"/>
  <c r="K128" i="3"/>
  <c r="J128" i="3"/>
  <c r="I128" i="3"/>
  <c r="D128" i="3"/>
  <c r="C128" i="3"/>
  <c r="K127" i="3"/>
  <c r="J127" i="3"/>
  <c r="I127" i="3"/>
  <c r="D127" i="3"/>
  <c r="C127" i="3"/>
  <c r="K126" i="3"/>
  <c r="J126" i="3"/>
  <c r="I126" i="3"/>
  <c r="D126" i="3"/>
  <c r="C126" i="3"/>
  <c r="K125" i="3"/>
  <c r="J125" i="3"/>
  <c r="I125" i="3"/>
  <c r="D125" i="3"/>
  <c r="C125" i="3"/>
  <c r="K124" i="3"/>
  <c r="J124" i="3"/>
  <c r="I124" i="3"/>
  <c r="D124" i="3"/>
  <c r="C124" i="3"/>
  <c r="K123" i="3"/>
  <c r="J123" i="3"/>
  <c r="I123" i="3"/>
  <c r="D123" i="3"/>
  <c r="C123" i="3"/>
  <c r="K122" i="3"/>
  <c r="J122" i="3"/>
  <c r="I122" i="3"/>
  <c r="D122" i="3"/>
  <c r="C122" i="3"/>
  <c r="K121" i="3"/>
  <c r="J121" i="3"/>
  <c r="I121" i="3"/>
  <c r="D121" i="3"/>
  <c r="C121" i="3"/>
  <c r="K120" i="3"/>
  <c r="J120" i="3"/>
  <c r="I120" i="3"/>
  <c r="D120" i="3"/>
  <c r="C120" i="3"/>
  <c r="K119" i="3"/>
  <c r="J119" i="3"/>
  <c r="I119" i="3"/>
  <c r="D119" i="3"/>
  <c r="C119" i="3"/>
  <c r="K118" i="3"/>
  <c r="J118" i="3"/>
  <c r="I118" i="3"/>
  <c r="D118" i="3"/>
  <c r="C118" i="3"/>
  <c r="K117" i="3"/>
  <c r="J117" i="3"/>
  <c r="I117" i="3"/>
  <c r="D117" i="3"/>
  <c r="C117" i="3"/>
  <c r="K116" i="3"/>
  <c r="J116" i="3"/>
  <c r="I116" i="3"/>
  <c r="D116" i="3"/>
  <c r="C116" i="3"/>
  <c r="K115" i="3"/>
  <c r="J115" i="3"/>
  <c r="I115" i="3"/>
  <c r="D115" i="3"/>
  <c r="C115" i="3"/>
  <c r="K114" i="3"/>
  <c r="J114" i="3"/>
  <c r="I114" i="3"/>
  <c r="D114" i="3"/>
  <c r="C114" i="3"/>
  <c r="K113" i="3"/>
  <c r="J113" i="3"/>
  <c r="I113" i="3"/>
  <c r="D113" i="3"/>
  <c r="C113" i="3"/>
  <c r="K112" i="3"/>
  <c r="J112" i="3"/>
  <c r="I112" i="3"/>
  <c r="D112" i="3"/>
  <c r="C112" i="3"/>
  <c r="K111" i="3"/>
  <c r="J111" i="3"/>
  <c r="I111" i="3"/>
  <c r="D111" i="3"/>
  <c r="C111" i="3"/>
  <c r="K110" i="3"/>
  <c r="J110" i="3"/>
  <c r="I110" i="3"/>
  <c r="D110" i="3"/>
  <c r="C110" i="3"/>
  <c r="K109" i="3"/>
  <c r="J109" i="3"/>
  <c r="I109" i="3"/>
  <c r="D109" i="3"/>
  <c r="C109" i="3"/>
  <c r="K108" i="3"/>
  <c r="J108" i="3"/>
  <c r="I108" i="3"/>
  <c r="D108" i="3"/>
  <c r="C108" i="3"/>
  <c r="K107" i="3"/>
  <c r="J107" i="3"/>
  <c r="I107" i="3"/>
  <c r="D107" i="3"/>
  <c r="C107" i="3"/>
  <c r="L106" i="3"/>
  <c r="K106" i="3"/>
  <c r="J106" i="3"/>
  <c r="I106" i="3"/>
  <c r="D106" i="3"/>
  <c r="C106" i="3"/>
  <c r="K105" i="3"/>
  <c r="J105" i="3"/>
  <c r="I105" i="3"/>
  <c r="D105" i="3"/>
  <c r="C105" i="3"/>
  <c r="K104" i="3"/>
  <c r="J104" i="3"/>
  <c r="I104" i="3"/>
  <c r="D104" i="3"/>
  <c r="C104" i="3"/>
  <c r="K103" i="3"/>
  <c r="J103" i="3"/>
  <c r="I103" i="3"/>
  <c r="D103" i="3"/>
  <c r="C103" i="3"/>
  <c r="K102" i="3"/>
  <c r="J102" i="3"/>
  <c r="I102" i="3"/>
  <c r="D102" i="3"/>
  <c r="C102" i="3"/>
  <c r="K101" i="3"/>
  <c r="J101" i="3"/>
  <c r="I101" i="3"/>
  <c r="D101" i="3"/>
  <c r="C101" i="3"/>
  <c r="K100" i="3"/>
  <c r="J100" i="3"/>
  <c r="I100" i="3"/>
  <c r="D100" i="3"/>
  <c r="C100" i="3"/>
  <c r="K99" i="3"/>
  <c r="J99" i="3"/>
  <c r="I99" i="3"/>
  <c r="D99" i="3"/>
  <c r="C99" i="3"/>
  <c r="K98" i="3"/>
  <c r="J98" i="3"/>
  <c r="I98" i="3"/>
  <c r="D98" i="3"/>
  <c r="C98" i="3"/>
  <c r="K97" i="3"/>
  <c r="J97" i="3"/>
  <c r="I97" i="3"/>
  <c r="D97" i="3"/>
  <c r="C97" i="3"/>
  <c r="L96" i="3"/>
  <c r="K96" i="3"/>
  <c r="J96" i="3"/>
  <c r="I96" i="3"/>
  <c r="D96" i="3"/>
  <c r="C96" i="3"/>
  <c r="K95" i="3"/>
  <c r="J95" i="3"/>
  <c r="I95" i="3"/>
  <c r="D95" i="3"/>
  <c r="C95" i="3"/>
  <c r="K94" i="3"/>
  <c r="J94" i="3"/>
  <c r="I94" i="3"/>
  <c r="D94" i="3"/>
  <c r="C94" i="3"/>
  <c r="K93" i="3"/>
  <c r="J93" i="3"/>
  <c r="I93" i="3"/>
  <c r="D93" i="3"/>
  <c r="C93" i="3"/>
  <c r="K92" i="3"/>
  <c r="J92" i="3"/>
  <c r="I92" i="3"/>
  <c r="D92" i="3"/>
  <c r="C92" i="3"/>
  <c r="J91" i="3"/>
  <c r="I91" i="3"/>
  <c r="K90" i="3"/>
  <c r="J90" i="3"/>
  <c r="I90" i="3"/>
  <c r="D90" i="3"/>
  <c r="C90" i="3"/>
  <c r="K89" i="3"/>
  <c r="J89" i="3"/>
  <c r="I89" i="3"/>
  <c r="D89" i="3"/>
  <c r="C89" i="3"/>
  <c r="K88" i="3"/>
  <c r="J88" i="3"/>
  <c r="I88" i="3"/>
  <c r="D88" i="3"/>
  <c r="C88" i="3"/>
  <c r="K87" i="3"/>
  <c r="J87" i="3"/>
  <c r="I87" i="3"/>
  <c r="D87" i="3"/>
  <c r="C87" i="3"/>
  <c r="K86" i="3"/>
  <c r="J86" i="3"/>
  <c r="I86" i="3"/>
  <c r="D86" i="3"/>
  <c r="C86" i="3"/>
  <c r="K85" i="3"/>
  <c r="J85" i="3"/>
  <c r="I85" i="3"/>
  <c r="D85" i="3"/>
  <c r="C85" i="3"/>
  <c r="K84" i="3"/>
  <c r="J84" i="3"/>
  <c r="I84" i="3"/>
  <c r="D84" i="3"/>
  <c r="C84" i="3"/>
  <c r="K83" i="3"/>
  <c r="J83" i="3"/>
  <c r="I83" i="3"/>
  <c r="D83" i="3"/>
  <c r="C83" i="3"/>
  <c r="K82" i="3"/>
  <c r="J82" i="3"/>
  <c r="I82" i="3"/>
  <c r="D82" i="3"/>
  <c r="C82" i="3"/>
  <c r="M81" i="3"/>
  <c r="L81" i="3"/>
  <c r="K81" i="3"/>
  <c r="J81" i="3"/>
  <c r="I81" i="3"/>
  <c r="D81" i="3"/>
  <c r="C81" i="3"/>
  <c r="K80" i="3"/>
  <c r="J80" i="3"/>
  <c r="I80" i="3"/>
  <c r="D80" i="3"/>
  <c r="C80" i="3"/>
  <c r="K79" i="3"/>
  <c r="J79" i="3"/>
  <c r="I79" i="3"/>
  <c r="D79" i="3"/>
  <c r="C79" i="3"/>
  <c r="K78" i="3"/>
  <c r="J78" i="3"/>
  <c r="I78" i="3"/>
  <c r="D78" i="3"/>
  <c r="C78" i="3"/>
  <c r="K77" i="3"/>
  <c r="J77" i="3"/>
  <c r="I77" i="3"/>
  <c r="D77" i="3"/>
  <c r="C77" i="3"/>
  <c r="K76" i="3"/>
  <c r="J76" i="3"/>
  <c r="I76" i="3"/>
  <c r="D76" i="3"/>
  <c r="C76" i="3"/>
  <c r="K75" i="3"/>
  <c r="J75" i="3"/>
  <c r="I75" i="3"/>
  <c r="D75" i="3"/>
  <c r="C75" i="3"/>
  <c r="K74" i="3"/>
  <c r="J74" i="3"/>
  <c r="I74" i="3"/>
  <c r="D74" i="3"/>
  <c r="C74" i="3"/>
  <c r="K73" i="3"/>
  <c r="J73" i="3"/>
  <c r="I73" i="3"/>
  <c r="D73" i="3"/>
  <c r="C73" i="3"/>
  <c r="K72" i="3"/>
  <c r="J72" i="3"/>
  <c r="I72" i="3"/>
  <c r="D72" i="3"/>
  <c r="C72" i="3"/>
  <c r="K71" i="3"/>
  <c r="J71" i="3"/>
  <c r="I71" i="3"/>
  <c r="D71" i="3"/>
  <c r="C71" i="3"/>
  <c r="K70" i="3"/>
  <c r="J70" i="3"/>
  <c r="I70" i="3"/>
  <c r="D70" i="3"/>
  <c r="C70" i="3"/>
  <c r="K69" i="3"/>
  <c r="J69" i="3"/>
  <c r="I69" i="3"/>
  <c r="D69" i="3"/>
  <c r="C69" i="3"/>
  <c r="K68" i="3"/>
  <c r="J68" i="3"/>
  <c r="I68" i="3"/>
  <c r="D68" i="3"/>
  <c r="C68" i="3"/>
  <c r="K67" i="3"/>
  <c r="J67" i="3"/>
  <c r="I67" i="3"/>
  <c r="D67" i="3"/>
  <c r="C67" i="3"/>
  <c r="L66" i="3"/>
  <c r="K66" i="3"/>
  <c r="J66" i="3"/>
  <c r="I66" i="3"/>
  <c r="D66" i="3"/>
  <c r="C66" i="3"/>
  <c r="K65" i="3"/>
  <c r="J65" i="3"/>
  <c r="I65" i="3"/>
  <c r="D65" i="3"/>
  <c r="C65" i="3"/>
  <c r="K64" i="3"/>
  <c r="J64" i="3"/>
  <c r="I64" i="3"/>
  <c r="D64" i="3"/>
  <c r="C64" i="3"/>
  <c r="K63" i="3"/>
  <c r="J63" i="3"/>
  <c r="I63" i="3"/>
  <c r="D63" i="3"/>
  <c r="C63" i="3"/>
  <c r="K62" i="3"/>
  <c r="J62" i="3"/>
  <c r="I62" i="3"/>
  <c r="D62" i="3"/>
  <c r="C62" i="3"/>
  <c r="K61" i="3"/>
  <c r="J61" i="3"/>
  <c r="I61" i="3"/>
  <c r="D61" i="3"/>
  <c r="C61" i="3"/>
  <c r="K60" i="3"/>
  <c r="J60" i="3"/>
  <c r="I60" i="3"/>
  <c r="D60" i="3"/>
  <c r="C60" i="3"/>
  <c r="K59" i="3"/>
  <c r="J59" i="3"/>
  <c r="I59" i="3"/>
  <c r="D59" i="3"/>
  <c r="C59" i="3"/>
  <c r="K58" i="3"/>
  <c r="J58" i="3"/>
  <c r="I58" i="3"/>
  <c r="D58" i="3"/>
  <c r="C58" i="3"/>
  <c r="J57" i="3"/>
  <c r="I57" i="3"/>
  <c r="J56" i="3"/>
  <c r="I56" i="3"/>
  <c r="K55" i="3"/>
  <c r="J55" i="3"/>
  <c r="I55" i="3"/>
  <c r="D55" i="3"/>
  <c r="C55" i="3"/>
  <c r="K54" i="3"/>
  <c r="J54" i="3"/>
  <c r="I54" i="3"/>
  <c r="D54" i="3"/>
  <c r="C54" i="3"/>
  <c r="J53" i="3"/>
  <c r="I53" i="3"/>
  <c r="K52" i="3"/>
  <c r="J52" i="3"/>
  <c r="I52" i="3"/>
  <c r="D52" i="3"/>
  <c r="C52" i="3"/>
  <c r="J51" i="3"/>
  <c r="I51" i="3"/>
  <c r="K50" i="3"/>
  <c r="J50" i="3"/>
  <c r="I50" i="3"/>
  <c r="D50" i="3"/>
  <c r="C50" i="3"/>
  <c r="K49" i="3"/>
  <c r="J49" i="3"/>
  <c r="I49" i="3"/>
  <c r="D49" i="3"/>
  <c r="C49" i="3"/>
  <c r="L48" i="3"/>
  <c r="K48" i="3"/>
  <c r="J48" i="3"/>
  <c r="I48" i="3"/>
  <c r="D48" i="3"/>
  <c r="C48" i="3"/>
  <c r="K47" i="3"/>
  <c r="J47" i="3"/>
  <c r="I47" i="3"/>
  <c r="D47" i="3"/>
  <c r="C47" i="3"/>
  <c r="K46" i="3"/>
  <c r="J46" i="3"/>
  <c r="I46" i="3"/>
  <c r="D46" i="3"/>
  <c r="C46" i="3"/>
  <c r="K45" i="3"/>
  <c r="J45" i="3"/>
  <c r="I45" i="3"/>
  <c r="D45" i="3"/>
  <c r="C45" i="3"/>
  <c r="K44" i="3"/>
  <c r="J44" i="3"/>
  <c r="I44" i="3"/>
  <c r="D44" i="3"/>
  <c r="C44" i="3"/>
  <c r="K43" i="3"/>
  <c r="J43" i="3"/>
  <c r="I43" i="3"/>
  <c r="D43" i="3"/>
  <c r="C43" i="3"/>
  <c r="K42" i="3"/>
  <c r="J42" i="3"/>
  <c r="I42" i="3"/>
  <c r="D42" i="3"/>
  <c r="C42" i="3"/>
  <c r="K41" i="3"/>
  <c r="J41" i="3"/>
  <c r="I41" i="3"/>
  <c r="D41" i="3"/>
  <c r="C41" i="3"/>
  <c r="K40" i="3"/>
  <c r="J40" i="3"/>
  <c r="I40" i="3"/>
  <c r="D40" i="3"/>
  <c r="C40" i="3"/>
  <c r="M39" i="3"/>
  <c r="L39" i="3"/>
  <c r="K39" i="3"/>
  <c r="J39" i="3"/>
  <c r="I39" i="3"/>
  <c r="D39" i="3"/>
  <c r="C39" i="3"/>
  <c r="K38" i="3"/>
  <c r="J38" i="3"/>
  <c r="I38" i="3"/>
  <c r="D38" i="3"/>
  <c r="C38" i="3"/>
  <c r="K37" i="3"/>
  <c r="J37" i="3"/>
  <c r="I37" i="3"/>
  <c r="D37" i="3"/>
  <c r="C37" i="3"/>
  <c r="K36" i="3"/>
  <c r="J36" i="3"/>
  <c r="I36" i="3"/>
  <c r="D36" i="3"/>
  <c r="C36" i="3"/>
  <c r="K35" i="3"/>
  <c r="J35" i="3"/>
  <c r="I35" i="3"/>
  <c r="D35" i="3"/>
  <c r="C35" i="3"/>
  <c r="K34" i="3"/>
  <c r="J34" i="3"/>
  <c r="I34" i="3"/>
  <c r="D34" i="3"/>
  <c r="C34" i="3"/>
  <c r="K33" i="3"/>
  <c r="J33" i="3"/>
  <c r="I33" i="3"/>
  <c r="D33" i="3"/>
  <c r="C33" i="3"/>
  <c r="K32" i="3"/>
  <c r="J32" i="3"/>
  <c r="I32" i="3"/>
  <c r="D32" i="3"/>
  <c r="C32" i="3"/>
  <c r="K31" i="3"/>
  <c r="J31" i="3"/>
  <c r="I31" i="3"/>
  <c r="D31" i="3"/>
  <c r="C31" i="3"/>
  <c r="K30" i="3"/>
  <c r="J30" i="3"/>
  <c r="I30" i="3"/>
  <c r="D30" i="3"/>
  <c r="C30" i="3"/>
  <c r="K29" i="3"/>
  <c r="J29" i="3"/>
  <c r="I29" i="3"/>
  <c r="D29" i="3"/>
  <c r="C29" i="3"/>
  <c r="K28" i="3"/>
  <c r="J28" i="3"/>
  <c r="I28" i="3"/>
  <c r="D28" i="3"/>
  <c r="C28" i="3"/>
  <c r="L27" i="3"/>
  <c r="K27" i="3"/>
  <c r="J27" i="3"/>
  <c r="I27" i="3"/>
  <c r="D27" i="3"/>
  <c r="C27" i="3"/>
  <c r="K26" i="3"/>
  <c r="J26" i="3"/>
  <c r="I26" i="3"/>
  <c r="D26" i="3"/>
  <c r="C26" i="3"/>
  <c r="K25" i="3"/>
  <c r="J25" i="3"/>
  <c r="I25" i="3"/>
  <c r="D25" i="3"/>
  <c r="C25" i="3"/>
  <c r="K24" i="3"/>
  <c r="J24" i="3"/>
  <c r="I24" i="3"/>
  <c r="D24" i="3"/>
  <c r="C24" i="3"/>
  <c r="M23" i="3"/>
  <c r="L23" i="3"/>
  <c r="K23" i="3"/>
  <c r="J23" i="3"/>
  <c r="I23" i="3"/>
  <c r="D23" i="3"/>
  <c r="C23" i="3"/>
  <c r="K22" i="3"/>
  <c r="J22" i="3"/>
  <c r="I22" i="3"/>
  <c r="D22" i="3"/>
  <c r="C22" i="3"/>
  <c r="K21" i="3"/>
  <c r="J21" i="3"/>
  <c r="I21" i="3"/>
  <c r="D21" i="3"/>
  <c r="C21" i="3"/>
  <c r="K20" i="3"/>
  <c r="J20" i="3"/>
  <c r="I20" i="3"/>
  <c r="D20" i="3"/>
  <c r="C20" i="3"/>
  <c r="K19" i="3"/>
  <c r="J19" i="3"/>
  <c r="I19" i="3"/>
  <c r="D19" i="3"/>
  <c r="C19" i="3"/>
  <c r="K18" i="3"/>
  <c r="J18" i="3"/>
  <c r="I18" i="3"/>
  <c r="D18" i="3"/>
  <c r="C18" i="3"/>
  <c r="K17" i="3"/>
  <c r="J17" i="3"/>
  <c r="I17" i="3"/>
  <c r="D17" i="3"/>
  <c r="C17" i="3"/>
  <c r="K16" i="3"/>
  <c r="J16" i="3"/>
  <c r="I16" i="3"/>
  <c r="D16" i="3"/>
  <c r="C16" i="3"/>
  <c r="K15" i="3"/>
  <c r="J15" i="3"/>
  <c r="I15" i="3"/>
  <c r="D15" i="3"/>
  <c r="C15" i="3"/>
  <c r="K14" i="3"/>
  <c r="J14" i="3"/>
  <c r="I14" i="3"/>
  <c r="D14" i="3"/>
  <c r="C14" i="3"/>
  <c r="K13" i="3"/>
  <c r="J13" i="3"/>
  <c r="I13" i="3"/>
  <c r="D13" i="3"/>
  <c r="C13" i="3"/>
  <c r="K12" i="3"/>
  <c r="J12" i="3"/>
  <c r="I12" i="3"/>
  <c r="D12" i="3"/>
  <c r="C12" i="3"/>
  <c r="K11" i="3"/>
  <c r="J11" i="3"/>
  <c r="I11" i="3"/>
  <c r="D11" i="3"/>
  <c r="C11" i="3"/>
  <c r="K10" i="3"/>
  <c r="J10" i="3"/>
  <c r="I10" i="3"/>
  <c r="D10" i="3"/>
  <c r="C10" i="3"/>
  <c r="K9" i="3"/>
  <c r="J9" i="3"/>
  <c r="I9" i="3"/>
  <c r="K8" i="3"/>
  <c r="J8" i="3"/>
  <c r="I8" i="3"/>
  <c r="K7" i="3"/>
  <c r="J7" i="3"/>
  <c r="I7" i="3"/>
  <c r="K6" i="3"/>
  <c r="J6" i="3"/>
  <c r="I6" i="3"/>
  <c r="K5" i="3"/>
  <c r="J5" i="3"/>
  <c r="I5" i="3"/>
  <c r="J4" i="3"/>
  <c r="I4" i="3"/>
  <c r="M3" i="3"/>
  <c r="L3" i="3"/>
  <c r="K3" i="3"/>
  <c r="J3" i="3"/>
  <c r="I3" i="3"/>
  <c r="J645" i="6"/>
  <c r="I645" i="6"/>
  <c r="H645" i="6"/>
  <c r="D645" i="6"/>
  <c r="C645" i="6"/>
  <c r="I644" i="6"/>
  <c r="H644" i="6"/>
  <c r="I643" i="6"/>
  <c r="H643" i="6"/>
  <c r="J642" i="6"/>
  <c r="I642" i="6"/>
  <c r="H642" i="6"/>
  <c r="D642" i="6"/>
  <c r="C642" i="6"/>
  <c r="J641" i="6"/>
  <c r="I641" i="6"/>
  <c r="H641" i="6"/>
  <c r="D641" i="6"/>
  <c r="C641" i="6"/>
  <c r="I640" i="6"/>
  <c r="H640" i="6"/>
  <c r="I638" i="6"/>
  <c r="H638" i="6"/>
  <c r="J636" i="6"/>
  <c r="I636" i="6"/>
  <c r="H636" i="6"/>
  <c r="D636" i="6"/>
  <c r="C636" i="6"/>
  <c r="I635" i="6"/>
  <c r="H635" i="6"/>
  <c r="I634" i="6"/>
  <c r="H634" i="6"/>
  <c r="I633" i="6"/>
  <c r="H633" i="6"/>
  <c r="K632" i="6"/>
  <c r="J632" i="6"/>
  <c r="I632" i="6"/>
  <c r="H632" i="6"/>
  <c r="D632" i="6"/>
  <c r="C632" i="6"/>
  <c r="I631" i="6"/>
  <c r="H631" i="6"/>
  <c r="I630" i="6"/>
  <c r="H630" i="6"/>
  <c r="I629" i="6"/>
  <c r="H629" i="6"/>
  <c r="J628" i="6"/>
  <c r="I628" i="6"/>
  <c r="H628" i="6"/>
  <c r="D628" i="6"/>
  <c r="C628" i="6"/>
  <c r="I627" i="6"/>
  <c r="H627" i="6"/>
  <c r="J626" i="6"/>
  <c r="I626" i="6"/>
  <c r="H626" i="6"/>
  <c r="D626" i="6"/>
  <c r="C626" i="6"/>
  <c r="J625" i="6"/>
  <c r="I625" i="6"/>
  <c r="H625" i="6"/>
  <c r="D625" i="6"/>
  <c r="C625" i="6"/>
  <c r="I624" i="6"/>
  <c r="H624" i="6"/>
  <c r="J623" i="6"/>
  <c r="I623" i="6"/>
  <c r="H623" i="6"/>
  <c r="D623" i="6"/>
  <c r="C623" i="6"/>
  <c r="I622" i="6"/>
  <c r="H622" i="6"/>
  <c r="J621" i="6"/>
  <c r="I621" i="6"/>
  <c r="H621" i="6"/>
  <c r="D621" i="6"/>
  <c r="C621" i="6"/>
  <c r="I620" i="6"/>
  <c r="H620" i="6"/>
  <c r="J619" i="6"/>
  <c r="I619" i="6"/>
  <c r="H619" i="6"/>
  <c r="D619" i="6"/>
  <c r="C619" i="6"/>
  <c r="I618" i="6"/>
  <c r="H618" i="6"/>
  <c r="J617" i="6"/>
  <c r="I617" i="6"/>
  <c r="H617" i="6"/>
  <c r="D617" i="6"/>
  <c r="C617" i="6"/>
  <c r="I616" i="6"/>
  <c r="H616" i="6"/>
  <c r="I615" i="6"/>
  <c r="H615" i="6"/>
  <c r="K614" i="6"/>
  <c r="J614" i="6"/>
  <c r="I614" i="6"/>
  <c r="H614" i="6"/>
  <c r="D614" i="6"/>
  <c r="C614" i="6"/>
  <c r="J613" i="6"/>
  <c r="I613" i="6"/>
  <c r="H613" i="6"/>
  <c r="D613" i="6"/>
  <c r="C613" i="6"/>
  <c r="I612" i="6"/>
  <c r="H612" i="6"/>
  <c r="J611" i="6"/>
  <c r="I611" i="6"/>
  <c r="H611" i="6"/>
  <c r="D611" i="6"/>
  <c r="C611" i="6"/>
  <c r="I610" i="6"/>
  <c r="H610" i="6"/>
  <c r="J609" i="6"/>
  <c r="I609" i="6"/>
  <c r="H609" i="6"/>
  <c r="D609" i="6"/>
  <c r="C609" i="6"/>
  <c r="J608" i="6"/>
  <c r="I608" i="6"/>
  <c r="H608" i="6"/>
  <c r="D608" i="6"/>
  <c r="C608" i="6"/>
  <c r="I607" i="6"/>
  <c r="H607" i="6"/>
  <c r="L606" i="6"/>
  <c r="K606" i="6"/>
  <c r="J606" i="6"/>
  <c r="I606" i="6"/>
  <c r="H606" i="6"/>
  <c r="D606" i="6"/>
  <c r="C606" i="6"/>
  <c r="I605" i="6"/>
  <c r="H605" i="6"/>
  <c r="J604" i="6"/>
  <c r="I604" i="6"/>
  <c r="H604" i="6"/>
  <c r="D604" i="6"/>
  <c r="C604" i="6"/>
  <c r="J603" i="6"/>
  <c r="I603" i="6"/>
  <c r="H603" i="6"/>
  <c r="D603" i="6"/>
  <c r="C603" i="6"/>
  <c r="J602" i="6"/>
  <c r="I602" i="6"/>
  <c r="H602" i="6"/>
  <c r="D602" i="6"/>
  <c r="C602" i="6"/>
  <c r="K601" i="6"/>
  <c r="J601" i="6"/>
  <c r="I601" i="6"/>
  <c r="H601" i="6"/>
  <c r="D601" i="6"/>
  <c r="C601" i="6"/>
  <c r="J600" i="6"/>
  <c r="I600" i="6"/>
  <c r="H600" i="6"/>
  <c r="D600" i="6"/>
  <c r="C600" i="6"/>
  <c r="I599" i="6"/>
  <c r="H599" i="6"/>
  <c r="I598" i="6"/>
  <c r="H598" i="6"/>
  <c r="J597" i="6"/>
  <c r="I597" i="6"/>
  <c r="H597" i="6"/>
  <c r="D597" i="6"/>
  <c r="C597" i="6"/>
  <c r="I596" i="6"/>
  <c r="H596" i="6"/>
  <c r="I595" i="6"/>
  <c r="H595" i="6"/>
  <c r="I594" i="6"/>
  <c r="H594" i="6"/>
  <c r="J593" i="6"/>
  <c r="I593" i="6"/>
  <c r="H593" i="6"/>
  <c r="D593" i="6"/>
  <c r="C593" i="6"/>
  <c r="I592" i="6"/>
  <c r="H592" i="6"/>
  <c r="I591" i="6"/>
  <c r="H591" i="6"/>
  <c r="J590" i="6"/>
  <c r="I590" i="6"/>
  <c r="H590" i="6"/>
  <c r="D590" i="6"/>
  <c r="C590" i="6"/>
  <c r="I589" i="6"/>
  <c r="H589" i="6"/>
  <c r="I588" i="6"/>
  <c r="H588" i="6"/>
  <c r="J587" i="6"/>
  <c r="I587" i="6"/>
  <c r="H587" i="6"/>
  <c r="D587" i="6"/>
  <c r="C587" i="6"/>
  <c r="I586" i="6"/>
  <c r="H586" i="6"/>
  <c r="J584" i="6"/>
  <c r="I584" i="6"/>
  <c r="H584" i="6"/>
  <c r="D584" i="6"/>
  <c r="C584" i="6"/>
  <c r="I583" i="6"/>
  <c r="H583" i="6"/>
  <c r="J582" i="6"/>
  <c r="I582" i="6"/>
  <c r="H582" i="6"/>
  <c r="D582" i="6"/>
  <c r="C582" i="6"/>
  <c r="L581" i="6"/>
  <c r="K581" i="6"/>
  <c r="J581" i="6"/>
  <c r="I581" i="6"/>
  <c r="H581" i="6"/>
  <c r="D581" i="6"/>
  <c r="C581" i="6"/>
  <c r="J580" i="6"/>
  <c r="I580" i="6"/>
  <c r="H580" i="6"/>
  <c r="D580" i="6"/>
  <c r="C580" i="6"/>
  <c r="I579" i="6"/>
  <c r="H579" i="6"/>
  <c r="J578" i="6"/>
  <c r="I578" i="6"/>
  <c r="H578" i="6"/>
  <c r="D578" i="6"/>
  <c r="C578" i="6"/>
  <c r="I577" i="6"/>
  <c r="H577" i="6"/>
  <c r="J576" i="6"/>
  <c r="I576" i="6"/>
  <c r="H576" i="6"/>
  <c r="D576" i="6"/>
  <c r="C576" i="6"/>
  <c r="K575" i="6"/>
  <c r="J575" i="6"/>
  <c r="I575" i="6"/>
  <c r="H575" i="6"/>
  <c r="D575" i="6"/>
  <c r="C575" i="6"/>
  <c r="I574" i="6"/>
  <c r="H574" i="6"/>
  <c r="J573" i="6"/>
  <c r="I573" i="6"/>
  <c r="H573" i="6"/>
  <c r="D573" i="6"/>
  <c r="C573" i="6"/>
  <c r="J572" i="6"/>
  <c r="I572" i="6"/>
  <c r="H572" i="6"/>
  <c r="D572" i="6"/>
  <c r="C572" i="6"/>
  <c r="J571" i="6"/>
  <c r="I571" i="6"/>
  <c r="H571" i="6"/>
  <c r="D571" i="6"/>
  <c r="C571" i="6"/>
  <c r="J570" i="6"/>
  <c r="I570" i="6"/>
  <c r="H570" i="6"/>
  <c r="D570" i="6"/>
  <c r="C570" i="6"/>
  <c r="I569" i="6"/>
  <c r="H569" i="6"/>
  <c r="J568" i="6"/>
  <c r="I568" i="6"/>
  <c r="H568" i="6"/>
  <c r="D568" i="6"/>
  <c r="C568" i="6"/>
  <c r="J567" i="6"/>
  <c r="I567" i="6"/>
  <c r="H567" i="6"/>
  <c r="D567" i="6"/>
  <c r="C567" i="6"/>
  <c r="I566" i="6"/>
  <c r="H566" i="6"/>
  <c r="J565" i="6"/>
  <c r="I565" i="6"/>
  <c r="H565" i="6"/>
  <c r="D565" i="6"/>
  <c r="C565" i="6"/>
  <c r="I564" i="6"/>
  <c r="H564" i="6"/>
  <c r="I563" i="6"/>
  <c r="H563" i="6"/>
  <c r="I562" i="6"/>
  <c r="H562" i="6"/>
  <c r="I561" i="6"/>
  <c r="H561" i="6"/>
  <c r="I560" i="6"/>
  <c r="H560" i="6"/>
  <c r="J559" i="6"/>
  <c r="I559" i="6"/>
  <c r="H559" i="6"/>
  <c r="D559" i="6"/>
  <c r="C559" i="6"/>
  <c r="I558" i="6"/>
  <c r="H558" i="6"/>
  <c r="I557" i="6"/>
  <c r="H557" i="6"/>
  <c r="I556" i="6"/>
  <c r="H556" i="6"/>
  <c r="I555" i="6"/>
  <c r="H555" i="6"/>
  <c r="K554" i="6"/>
  <c r="J554" i="6"/>
  <c r="I554" i="6"/>
  <c r="H554" i="6"/>
  <c r="D554" i="6"/>
  <c r="C554" i="6"/>
  <c r="J553" i="6"/>
  <c r="I553" i="6"/>
  <c r="H553" i="6"/>
  <c r="D553" i="6"/>
  <c r="C553" i="6"/>
  <c r="J552" i="6"/>
  <c r="I552" i="6"/>
  <c r="H552" i="6"/>
  <c r="D552" i="6"/>
  <c r="C552" i="6"/>
  <c r="J551" i="6"/>
  <c r="I551" i="6"/>
  <c r="H551" i="6"/>
  <c r="D551" i="6"/>
  <c r="C551" i="6"/>
  <c r="I550" i="6"/>
  <c r="H550" i="6"/>
  <c r="I549" i="6"/>
  <c r="H549" i="6"/>
  <c r="J548" i="6"/>
  <c r="I548" i="6"/>
  <c r="H548" i="6"/>
  <c r="D548" i="6"/>
  <c r="C548" i="6"/>
  <c r="I547" i="6"/>
  <c r="H547" i="6"/>
  <c r="I546" i="6"/>
  <c r="H546" i="6"/>
  <c r="J545" i="6"/>
  <c r="I545" i="6"/>
  <c r="H545" i="6"/>
  <c r="D545" i="6"/>
  <c r="C545" i="6"/>
  <c r="I544" i="6"/>
  <c r="H544" i="6"/>
  <c r="I543" i="6"/>
  <c r="H543" i="6"/>
  <c r="I542" i="6"/>
  <c r="H542" i="6"/>
  <c r="J540" i="6"/>
  <c r="I540" i="6"/>
  <c r="H540" i="6"/>
  <c r="D540" i="6"/>
  <c r="C540" i="6"/>
  <c r="I539" i="6"/>
  <c r="H539" i="6"/>
  <c r="I538" i="6"/>
  <c r="H538" i="6"/>
  <c r="I537" i="6"/>
  <c r="H537" i="6"/>
  <c r="J536" i="6"/>
  <c r="I536" i="6"/>
  <c r="H536" i="6"/>
  <c r="D536" i="6"/>
  <c r="C536" i="6"/>
  <c r="I535" i="6"/>
  <c r="H535" i="6"/>
  <c r="I534" i="6"/>
  <c r="H534" i="6"/>
  <c r="L533" i="6"/>
  <c r="K533" i="6"/>
  <c r="J533" i="6"/>
  <c r="I533" i="6"/>
  <c r="H533" i="6"/>
  <c r="D533" i="6"/>
  <c r="C533" i="6"/>
  <c r="I532" i="6"/>
  <c r="H532" i="6"/>
  <c r="I531" i="6"/>
  <c r="H531" i="6"/>
  <c r="I530" i="6"/>
  <c r="H530" i="6"/>
  <c r="C530" i="6"/>
  <c r="J529" i="6"/>
  <c r="I529" i="6"/>
  <c r="H529" i="6"/>
  <c r="D529" i="6"/>
  <c r="C529" i="6"/>
  <c r="J528" i="6"/>
  <c r="I528" i="6"/>
  <c r="H528" i="6"/>
  <c r="D528" i="6"/>
  <c r="C528" i="6"/>
  <c r="K527" i="6"/>
  <c r="J527" i="6"/>
  <c r="I527" i="6"/>
  <c r="H527" i="6"/>
  <c r="D527" i="6"/>
  <c r="C527" i="6"/>
  <c r="J526" i="6"/>
  <c r="I526" i="6"/>
  <c r="H526" i="6"/>
  <c r="D526" i="6"/>
  <c r="C526" i="6"/>
  <c r="I525" i="6"/>
  <c r="H525" i="6"/>
  <c r="J524" i="6"/>
  <c r="I524" i="6"/>
  <c r="H524" i="6"/>
  <c r="D524" i="6"/>
  <c r="C524" i="6"/>
  <c r="I523" i="6"/>
  <c r="H523" i="6"/>
  <c r="I522" i="6"/>
  <c r="H522" i="6"/>
  <c r="I521" i="6"/>
  <c r="H521" i="6"/>
  <c r="J520" i="6"/>
  <c r="I520" i="6"/>
  <c r="H520" i="6"/>
  <c r="D520" i="6"/>
  <c r="C520" i="6"/>
  <c r="I519" i="6"/>
  <c r="H519" i="6"/>
  <c r="I518" i="6"/>
  <c r="H518" i="6"/>
  <c r="I517" i="6"/>
  <c r="H517" i="6"/>
  <c r="J516" i="6"/>
  <c r="I516" i="6"/>
  <c r="H516" i="6"/>
  <c r="D516" i="6"/>
  <c r="C516" i="6"/>
  <c r="J515" i="6"/>
  <c r="I515" i="6"/>
  <c r="H515" i="6"/>
  <c r="D515" i="6"/>
  <c r="C515" i="6"/>
  <c r="J514" i="6"/>
  <c r="I514" i="6"/>
  <c r="H514" i="6"/>
  <c r="D514" i="6"/>
  <c r="C514" i="6"/>
  <c r="J513" i="6"/>
  <c r="I513" i="6"/>
  <c r="H513" i="6"/>
  <c r="D513" i="6"/>
  <c r="C513" i="6"/>
  <c r="I512" i="6"/>
  <c r="H512" i="6"/>
  <c r="I511" i="6"/>
  <c r="H511" i="6"/>
  <c r="I510" i="6"/>
  <c r="H510" i="6"/>
  <c r="J509" i="6"/>
  <c r="I509" i="6"/>
  <c r="H509" i="6"/>
  <c r="D509" i="6"/>
  <c r="C509" i="6"/>
  <c r="I508" i="6"/>
  <c r="H508" i="6"/>
  <c r="I507" i="6"/>
  <c r="H507" i="6"/>
  <c r="I506" i="6"/>
  <c r="H506" i="6"/>
  <c r="L505" i="6"/>
  <c r="K505" i="6"/>
  <c r="J505" i="6"/>
  <c r="I505" i="6"/>
  <c r="H505" i="6"/>
  <c r="D505" i="6"/>
  <c r="C505" i="6"/>
  <c r="J504" i="6"/>
  <c r="I504" i="6"/>
  <c r="H504" i="6"/>
  <c r="D504" i="6"/>
  <c r="C504" i="6"/>
  <c r="I503" i="6"/>
  <c r="H503" i="6"/>
  <c r="I502" i="6"/>
  <c r="H502" i="6"/>
  <c r="I501" i="6"/>
  <c r="H501" i="6"/>
  <c r="I500" i="6"/>
  <c r="H500" i="6"/>
  <c r="J499" i="6"/>
  <c r="I499" i="6"/>
  <c r="H499" i="6"/>
  <c r="D499" i="6"/>
  <c r="C499" i="6"/>
  <c r="J498" i="6"/>
  <c r="I498" i="6"/>
  <c r="H498" i="6"/>
  <c r="D498" i="6"/>
  <c r="C498" i="6"/>
  <c r="I497" i="6"/>
  <c r="H497" i="6"/>
  <c r="I496" i="6"/>
  <c r="H496" i="6"/>
  <c r="I495" i="6"/>
  <c r="H495" i="6"/>
  <c r="J494" i="6"/>
  <c r="I494" i="6"/>
  <c r="H494" i="6"/>
  <c r="D494" i="6"/>
  <c r="C494" i="6"/>
  <c r="J493" i="6"/>
  <c r="I493" i="6"/>
  <c r="H493" i="6"/>
  <c r="D493" i="6"/>
  <c r="C493" i="6"/>
  <c r="J492" i="6"/>
  <c r="I492" i="6"/>
  <c r="H492" i="6"/>
  <c r="D492" i="6"/>
  <c r="C492" i="6"/>
  <c r="J491" i="6"/>
  <c r="I491" i="6"/>
  <c r="H491" i="6"/>
  <c r="D491" i="6"/>
  <c r="C491" i="6"/>
  <c r="I490" i="6"/>
  <c r="H490" i="6"/>
  <c r="I489" i="6"/>
  <c r="H489" i="6"/>
  <c r="I488" i="6"/>
  <c r="H488" i="6"/>
  <c r="K487" i="6"/>
  <c r="J487" i="6"/>
  <c r="I487" i="6"/>
  <c r="H487" i="6"/>
  <c r="D487" i="6"/>
  <c r="C487" i="6"/>
  <c r="J486" i="6"/>
  <c r="I486" i="6"/>
  <c r="H486" i="6"/>
  <c r="D486" i="6"/>
  <c r="C486" i="6"/>
  <c r="J485" i="6"/>
  <c r="I485" i="6"/>
  <c r="H485" i="6"/>
  <c r="D485" i="6"/>
  <c r="C485" i="6"/>
  <c r="J484" i="6"/>
  <c r="I484" i="6"/>
  <c r="H484" i="6"/>
  <c r="D484" i="6"/>
  <c r="C484" i="6"/>
  <c r="J483" i="6"/>
  <c r="I483" i="6"/>
  <c r="H483" i="6"/>
  <c r="J482" i="6"/>
  <c r="I482" i="6"/>
  <c r="H482" i="6"/>
  <c r="J481" i="6"/>
  <c r="I481" i="6"/>
  <c r="H481" i="6"/>
  <c r="D481" i="6"/>
  <c r="C481" i="6"/>
  <c r="J480" i="6"/>
  <c r="I480" i="6"/>
  <c r="H480" i="6"/>
  <c r="D480" i="6"/>
  <c r="C480" i="6"/>
  <c r="J479" i="6"/>
  <c r="I479" i="6"/>
  <c r="H479" i="6"/>
  <c r="D479" i="6"/>
  <c r="C479" i="6"/>
  <c r="J478" i="6"/>
  <c r="I478" i="6"/>
  <c r="H478" i="6"/>
  <c r="D478" i="6"/>
  <c r="C478" i="6"/>
  <c r="J477" i="6"/>
  <c r="I477" i="6"/>
  <c r="H477" i="6"/>
  <c r="D477" i="6"/>
  <c r="C477" i="6"/>
  <c r="I476" i="6"/>
  <c r="H476" i="6"/>
  <c r="I475" i="6"/>
  <c r="H475" i="6"/>
  <c r="J474" i="6"/>
  <c r="I474" i="6"/>
  <c r="H474" i="6"/>
  <c r="D474" i="6"/>
  <c r="C474" i="6"/>
  <c r="I473" i="6"/>
  <c r="H473" i="6"/>
  <c r="I472" i="6"/>
  <c r="H472" i="6"/>
  <c r="I471" i="6"/>
  <c r="H471" i="6"/>
  <c r="I470" i="6"/>
  <c r="H470" i="6"/>
  <c r="I469" i="6"/>
  <c r="H469" i="6"/>
  <c r="L468" i="6"/>
  <c r="K468" i="6"/>
  <c r="J468" i="6"/>
  <c r="I468" i="6"/>
  <c r="H468" i="6"/>
  <c r="D468" i="6"/>
  <c r="C468" i="6"/>
  <c r="I467" i="6"/>
  <c r="H467" i="6"/>
  <c r="I466" i="6"/>
  <c r="H466" i="6"/>
  <c r="J465" i="6"/>
  <c r="I465" i="6"/>
  <c r="H465" i="6"/>
  <c r="D465" i="6"/>
  <c r="C465" i="6"/>
  <c r="I464" i="6"/>
  <c r="H464" i="6"/>
  <c r="J463" i="6"/>
  <c r="I463" i="6"/>
  <c r="H463" i="6"/>
  <c r="D463" i="6"/>
  <c r="C463" i="6"/>
  <c r="I462" i="6"/>
  <c r="H462" i="6"/>
  <c r="J461" i="6"/>
  <c r="I461" i="6"/>
  <c r="H461" i="6"/>
  <c r="D461" i="6"/>
  <c r="C461" i="6"/>
  <c r="J460" i="6"/>
  <c r="I460" i="6"/>
  <c r="H460" i="6"/>
  <c r="D460" i="6"/>
  <c r="C460" i="6"/>
  <c r="I459" i="6"/>
  <c r="H459" i="6"/>
  <c r="J458" i="6"/>
  <c r="I458" i="6"/>
  <c r="H458" i="6"/>
  <c r="D458" i="6"/>
  <c r="C458" i="6"/>
  <c r="I457" i="6"/>
  <c r="H457" i="6"/>
  <c r="J456" i="6"/>
  <c r="I456" i="6"/>
  <c r="H456" i="6"/>
  <c r="D456" i="6"/>
  <c r="C456" i="6"/>
  <c r="J455" i="6"/>
  <c r="I455" i="6"/>
  <c r="H455" i="6"/>
  <c r="D455" i="6"/>
  <c r="C455" i="6"/>
  <c r="I454" i="6"/>
  <c r="H454" i="6"/>
  <c r="K453" i="6"/>
  <c r="J453" i="6"/>
  <c r="I453" i="6"/>
  <c r="H453" i="6"/>
  <c r="D453" i="6"/>
  <c r="C453" i="6"/>
  <c r="I452" i="6"/>
  <c r="H452" i="6"/>
  <c r="J451" i="6"/>
  <c r="I451" i="6"/>
  <c r="H451" i="6"/>
  <c r="C451" i="6"/>
  <c r="D450" i="6"/>
  <c r="I449" i="6"/>
  <c r="H449" i="6"/>
  <c r="J448" i="6"/>
  <c r="I448" i="6"/>
  <c r="H448" i="6"/>
  <c r="D448" i="6"/>
  <c r="C448" i="6"/>
  <c r="I447" i="6"/>
  <c r="H447" i="6"/>
  <c r="J446" i="6"/>
  <c r="I446" i="6"/>
  <c r="H446" i="6"/>
  <c r="D446" i="6"/>
  <c r="C446" i="6"/>
  <c r="J445" i="6"/>
  <c r="I445" i="6"/>
  <c r="H445" i="6"/>
  <c r="D445" i="6"/>
  <c r="C445" i="6"/>
  <c r="J444" i="6"/>
  <c r="I444" i="6"/>
  <c r="H444" i="6"/>
  <c r="D444" i="6"/>
  <c r="C444" i="6"/>
  <c r="J443" i="6"/>
  <c r="I443" i="6"/>
  <c r="H443" i="6"/>
  <c r="D443" i="6"/>
  <c r="C443" i="6"/>
  <c r="I442" i="6"/>
  <c r="H442" i="6"/>
  <c r="I441" i="6"/>
  <c r="H441" i="6"/>
  <c r="I440" i="6"/>
  <c r="H440" i="6"/>
  <c r="J439" i="6"/>
  <c r="I439" i="6"/>
  <c r="H439" i="6"/>
  <c r="D439" i="6"/>
  <c r="C439" i="6"/>
  <c r="I438" i="6"/>
  <c r="H438" i="6"/>
  <c r="I437" i="6"/>
  <c r="H437" i="6"/>
  <c r="J436" i="6"/>
  <c r="I436" i="6"/>
  <c r="H436" i="6"/>
  <c r="D436" i="6"/>
  <c r="C436" i="6"/>
  <c r="I435" i="6"/>
  <c r="H435" i="6"/>
  <c r="I434" i="6"/>
  <c r="H434" i="6"/>
  <c r="I433" i="6"/>
  <c r="H433" i="6"/>
  <c r="J432" i="6"/>
  <c r="I432" i="6"/>
  <c r="H432" i="6"/>
  <c r="D432" i="6"/>
  <c r="C432" i="6"/>
  <c r="I431" i="6"/>
  <c r="H431" i="6"/>
  <c r="J430" i="6"/>
  <c r="I430" i="6"/>
  <c r="H430" i="6"/>
  <c r="D430" i="6"/>
  <c r="C430" i="6"/>
  <c r="L429" i="6"/>
  <c r="K429" i="6"/>
  <c r="J429" i="6"/>
  <c r="I429" i="6"/>
  <c r="H429" i="6"/>
  <c r="D429" i="6"/>
  <c r="C429" i="6"/>
  <c r="J428" i="6"/>
  <c r="I428" i="6"/>
  <c r="H428" i="6"/>
  <c r="D428" i="6"/>
  <c r="C428" i="6"/>
  <c r="I427" i="6"/>
  <c r="H427" i="6"/>
  <c r="I426" i="6"/>
  <c r="H426" i="6"/>
  <c r="I425" i="6"/>
  <c r="H425" i="6"/>
  <c r="J424" i="6"/>
  <c r="I424" i="6"/>
  <c r="H424" i="6"/>
  <c r="D424" i="6"/>
  <c r="C424" i="6"/>
  <c r="I423" i="6"/>
  <c r="H423" i="6"/>
  <c r="I422" i="6"/>
  <c r="H422" i="6"/>
  <c r="I421" i="6"/>
  <c r="H421" i="6"/>
  <c r="I420" i="6"/>
  <c r="H420" i="6"/>
  <c r="J419" i="6"/>
  <c r="I419" i="6"/>
  <c r="H419" i="6"/>
  <c r="D419" i="6"/>
  <c r="C419" i="6"/>
  <c r="I418" i="6"/>
  <c r="H418" i="6"/>
  <c r="J417" i="6"/>
  <c r="I417" i="6"/>
  <c r="H417" i="6"/>
  <c r="D417" i="6"/>
  <c r="C417" i="6"/>
  <c r="I416" i="6"/>
  <c r="H416" i="6"/>
  <c r="J415" i="6"/>
  <c r="I415" i="6"/>
  <c r="H415" i="6"/>
  <c r="D415" i="6"/>
  <c r="C415" i="6"/>
  <c r="I414" i="6"/>
  <c r="H414" i="6"/>
  <c r="I413" i="6"/>
  <c r="H413" i="6"/>
  <c r="I412" i="6"/>
  <c r="H412" i="6"/>
  <c r="K410" i="6"/>
  <c r="J410" i="6"/>
  <c r="I410" i="6"/>
  <c r="H410" i="6"/>
  <c r="D410" i="6"/>
  <c r="C410" i="6"/>
  <c r="J409" i="6"/>
  <c r="I409" i="6"/>
  <c r="H409" i="6"/>
  <c r="D409" i="6"/>
  <c r="C409" i="6"/>
  <c r="I408" i="6"/>
  <c r="H408" i="6"/>
  <c r="J407" i="6"/>
  <c r="I407" i="6"/>
  <c r="H407" i="6"/>
  <c r="D407" i="6"/>
  <c r="C407" i="6"/>
  <c r="I406" i="6"/>
  <c r="H406" i="6"/>
  <c r="J405" i="6"/>
  <c r="I405" i="6"/>
  <c r="H405" i="6"/>
  <c r="D405" i="6"/>
  <c r="C405" i="6"/>
  <c r="I404" i="6"/>
  <c r="H404" i="6"/>
  <c r="I403" i="6"/>
  <c r="H403" i="6"/>
  <c r="I402" i="6"/>
  <c r="H402" i="6"/>
  <c r="I401" i="6"/>
  <c r="H401" i="6"/>
  <c r="J400" i="6"/>
  <c r="I400" i="6"/>
  <c r="H400" i="6"/>
  <c r="D400" i="6"/>
  <c r="C400" i="6"/>
  <c r="J399" i="6"/>
  <c r="I399" i="6"/>
  <c r="H399" i="6"/>
  <c r="D399" i="6"/>
  <c r="C399" i="6"/>
  <c r="I398" i="6"/>
  <c r="H398" i="6"/>
  <c r="I397" i="6"/>
  <c r="H397" i="6"/>
  <c r="I396" i="6"/>
  <c r="H396" i="6"/>
  <c r="I395" i="6"/>
  <c r="H395" i="6"/>
  <c r="I394" i="6"/>
  <c r="H394" i="6"/>
  <c r="K393" i="6"/>
  <c r="J393" i="6"/>
  <c r="I393" i="6"/>
  <c r="H393" i="6"/>
  <c r="D393" i="6"/>
  <c r="C393" i="6"/>
  <c r="J392" i="6"/>
  <c r="I392" i="6"/>
  <c r="H392" i="6"/>
  <c r="D392" i="6"/>
  <c r="C392" i="6"/>
  <c r="I391" i="6"/>
  <c r="H391" i="6"/>
  <c r="I390" i="6"/>
  <c r="H390" i="6"/>
  <c r="J389" i="6"/>
  <c r="I389" i="6"/>
  <c r="H389" i="6"/>
  <c r="D389" i="6"/>
  <c r="C389" i="6"/>
  <c r="I388" i="6"/>
  <c r="H388" i="6"/>
  <c r="I387" i="6"/>
  <c r="H387" i="6"/>
  <c r="I386" i="6"/>
  <c r="H386" i="6"/>
  <c r="I385" i="6"/>
  <c r="H385" i="6"/>
  <c r="J384" i="6"/>
  <c r="I384" i="6"/>
  <c r="H384" i="6"/>
  <c r="D384" i="6"/>
  <c r="C384" i="6"/>
  <c r="I383" i="6"/>
  <c r="H383" i="6"/>
  <c r="I382" i="6"/>
  <c r="H382" i="6"/>
  <c r="I381" i="6"/>
  <c r="H381" i="6"/>
  <c r="I380" i="6"/>
  <c r="H380" i="6"/>
  <c r="J379" i="6"/>
  <c r="I379" i="6"/>
  <c r="H379" i="6"/>
  <c r="D379" i="6"/>
  <c r="C379" i="6"/>
  <c r="I378" i="6"/>
  <c r="H378" i="6"/>
  <c r="I377" i="6"/>
  <c r="H377" i="6"/>
  <c r="I376" i="6"/>
  <c r="H376" i="6"/>
  <c r="I375" i="6"/>
  <c r="H375" i="6"/>
  <c r="J374" i="6"/>
  <c r="I374" i="6"/>
  <c r="H374" i="6"/>
  <c r="D374" i="6"/>
  <c r="C374" i="6"/>
  <c r="I373" i="6"/>
  <c r="H373" i="6"/>
  <c r="I371" i="6"/>
  <c r="H371" i="6"/>
  <c r="K369" i="6"/>
  <c r="J369" i="6"/>
  <c r="I369" i="6"/>
  <c r="H369" i="6"/>
  <c r="D369" i="6"/>
  <c r="C369" i="6"/>
  <c r="I368" i="6"/>
  <c r="H368" i="6"/>
  <c r="J367" i="6"/>
  <c r="I367" i="6"/>
  <c r="H367" i="6"/>
  <c r="D367" i="6"/>
  <c r="C367" i="6"/>
  <c r="I366" i="6"/>
  <c r="H366" i="6"/>
  <c r="J365" i="6"/>
  <c r="I365" i="6"/>
  <c r="H365" i="6"/>
  <c r="D365" i="6"/>
  <c r="C365" i="6"/>
  <c r="J364" i="6"/>
  <c r="I364" i="6"/>
  <c r="H364" i="6"/>
  <c r="D364" i="6"/>
  <c r="C364" i="6"/>
  <c r="J363" i="6"/>
  <c r="I363" i="6"/>
  <c r="H363" i="6"/>
  <c r="D363" i="6"/>
  <c r="C363" i="6"/>
  <c r="I362" i="6"/>
  <c r="H362" i="6"/>
  <c r="J361" i="6"/>
  <c r="I361" i="6"/>
  <c r="H361" i="6"/>
  <c r="D361" i="6"/>
  <c r="C361" i="6"/>
  <c r="J360" i="6"/>
  <c r="I360" i="6"/>
  <c r="H360" i="6"/>
  <c r="D360" i="6"/>
  <c r="C360" i="6"/>
  <c r="J359" i="6"/>
  <c r="I359" i="6"/>
  <c r="H359" i="6"/>
  <c r="D359" i="6"/>
  <c r="C359" i="6"/>
  <c r="I358" i="6"/>
  <c r="H358" i="6"/>
  <c r="I357" i="6"/>
  <c r="H357" i="6"/>
  <c r="I356" i="6"/>
  <c r="H356" i="6"/>
  <c r="I355" i="6"/>
  <c r="H355" i="6"/>
  <c r="I354" i="6"/>
  <c r="H354" i="6"/>
  <c r="K352" i="6"/>
  <c r="J352" i="6"/>
  <c r="I352" i="6"/>
  <c r="H352" i="6"/>
  <c r="D352" i="6"/>
  <c r="C352" i="6"/>
  <c r="I351" i="6"/>
  <c r="H351" i="6"/>
  <c r="I350" i="6"/>
  <c r="H350" i="6"/>
  <c r="I349" i="6"/>
  <c r="H349" i="6"/>
  <c r="I348" i="6"/>
  <c r="H348" i="6"/>
  <c r="I347" i="6"/>
  <c r="H347" i="6"/>
  <c r="I346" i="6"/>
  <c r="H346" i="6"/>
  <c r="J345" i="6"/>
  <c r="I345" i="6"/>
  <c r="H345" i="6"/>
  <c r="D345" i="6"/>
  <c r="C345" i="6"/>
  <c r="I344" i="6"/>
  <c r="H344" i="6"/>
  <c r="I343" i="6"/>
  <c r="H343" i="6"/>
  <c r="J342" i="6"/>
  <c r="I342" i="6"/>
  <c r="H342" i="6"/>
  <c r="D342" i="6"/>
  <c r="C342" i="6"/>
  <c r="I341" i="6"/>
  <c r="H341" i="6"/>
  <c r="I340" i="6"/>
  <c r="H340" i="6"/>
  <c r="I339" i="6"/>
  <c r="H339" i="6"/>
  <c r="I338" i="6"/>
  <c r="H338" i="6"/>
  <c r="J337" i="6"/>
  <c r="I337" i="6"/>
  <c r="H337" i="6"/>
  <c r="D337" i="6"/>
  <c r="C337" i="6"/>
  <c r="I336" i="6"/>
  <c r="H336" i="6"/>
  <c r="I335" i="6"/>
  <c r="H335" i="6"/>
  <c r="I334" i="6"/>
  <c r="H334" i="6"/>
  <c r="I333" i="6"/>
  <c r="H333" i="6"/>
  <c r="I332" i="6"/>
  <c r="H332" i="6"/>
  <c r="I331" i="6"/>
  <c r="H331" i="6"/>
  <c r="I330" i="6"/>
  <c r="H330" i="6"/>
  <c r="K329" i="6"/>
  <c r="J329" i="6"/>
  <c r="I329" i="6"/>
  <c r="H329" i="6"/>
  <c r="D329" i="6"/>
  <c r="C329" i="6"/>
  <c r="J328" i="6"/>
  <c r="I328" i="6"/>
  <c r="H328" i="6"/>
  <c r="D328" i="6"/>
  <c r="C328" i="6"/>
  <c r="I327" i="6"/>
  <c r="H327" i="6"/>
  <c r="I326" i="6"/>
  <c r="H326" i="6"/>
  <c r="I325" i="6"/>
  <c r="H325" i="6"/>
  <c r="C324" i="6"/>
  <c r="J323" i="6"/>
  <c r="I323" i="6"/>
  <c r="H323" i="6"/>
  <c r="D323" i="6"/>
  <c r="C323" i="6"/>
  <c r="J322" i="6"/>
  <c r="I322" i="6"/>
  <c r="H322" i="6"/>
  <c r="D322" i="6"/>
  <c r="C322" i="6"/>
  <c r="I321" i="6"/>
  <c r="H321" i="6"/>
  <c r="I320" i="6"/>
  <c r="H320" i="6"/>
  <c r="I319" i="6"/>
  <c r="H319" i="6"/>
  <c r="J318" i="6"/>
  <c r="I318" i="6"/>
  <c r="H318" i="6"/>
  <c r="D318" i="6"/>
  <c r="C318" i="6"/>
  <c r="I317" i="6"/>
  <c r="H317" i="6"/>
  <c r="I316" i="6"/>
  <c r="H316" i="6"/>
  <c r="I315" i="6"/>
  <c r="H315" i="6"/>
  <c r="K313" i="6"/>
  <c r="J313" i="6"/>
  <c r="I313" i="6"/>
  <c r="H313" i="6"/>
  <c r="D313" i="6"/>
  <c r="C313" i="6"/>
  <c r="I312" i="6"/>
  <c r="H312" i="6"/>
  <c r="I311" i="6"/>
  <c r="H311" i="6"/>
  <c r="J309" i="6"/>
  <c r="I309" i="6"/>
  <c r="H309" i="6"/>
  <c r="D309" i="6"/>
  <c r="C309" i="6"/>
  <c r="I308" i="6"/>
  <c r="H308" i="6"/>
  <c r="I307" i="6"/>
  <c r="H307" i="6"/>
  <c r="I306" i="6"/>
  <c r="H306" i="6"/>
  <c r="J305" i="6"/>
  <c r="I305" i="6"/>
  <c r="H305" i="6"/>
  <c r="D305" i="6"/>
  <c r="C305" i="6"/>
  <c r="I304" i="6"/>
  <c r="H304" i="6"/>
  <c r="D304" i="6"/>
  <c r="C304" i="6"/>
  <c r="I303" i="6"/>
  <c r="H303" i="6"/>
  <c r="D303" i="6"/>
  <c r="C303" i="6"/>
  <c r="I302" i="6"/>
  <c r="H302" i="6"/>
  <c r="J300" i="6"/>
  <c r="I300" i="6"/>
  <c r="H300" i="6"/>
  <c r="D300" i="6"/>
  <c r="C300" i="6"/>
  <c r="I299" i="6"/>
  <c r="H299" i="6"/>
  <c r="I298" i="6"/>
  <c r="H298" i="6"/>
  <c r="I297" i="6"/>
  <c r="H297" i="6"/>
  <c r="K296" i="6"/>
  <c r="J296" i="6"/>
  <c r="I296" i="6"/>
  <c r="H296" i="6"/>
  <c r="D296" i="6"/>
  <c r="C296" i="6"/>
  <c r="I295" i="6"/>
  <c r="H295" i="6"/>
  <c r="I294" i="6"/>
  <c r="H294" i="6"/>
  <c r="J293" i="6"/>
  <c r="I293" i="6"/>
  <c r="H293" i="6"/>
  <c r="D293" i="6"/>
  <c r="C293" i="6"/>
  <c r="I292" i="6"/>
  <c r="H292" i="6"/>
  <c r="I291" i="6"/>
  <c r="H291" i="6"/>
  <c r="I290" i="6"/>
  <c r="H290" i="6"/>
  <c r="J289" i="6"/>
  <c r="I289" i="6"/>
  <c r="H289" i="6"/>
  <c r="D289" i="6"/>
  <c r="C289" i="6"/>
  <c r="J288" i="6"/>
  <c r="I288" i="6"/>
  <c r="H288" i="6"/>
  <c r="D288" i="6"/>
  <c r="C288" i="6"/>
  <c r="I287" i="6"/>
  <c r="H287" i="6"/>
  <c r="I286" i="6"/>
  <c r="H286" i="6"/>
  <c r="I285" i="6"/>
  <c r="H285" i="6"/>
  <c r="J284" i="6"/>
  <c r="I284" i="6"/>
  <c r="H284" i="6"/>
  <c r="D284" i="6"/>
  <c r="C284" i="6"/>
  <c r="I283" i="6"/>
  <c r="H283" i="6"/>
  <c r="I282" i="6"/>
  <c r="H282" i="6"/>
  <c r="I281" i="6"/>
  <c r="H281" i="6"/>
  <c r="J280" i="6"/>
  <c r="I280" i="6"/>
  <c r="H280" i="6"/>
  <c r="D280" i="6"/>
  <c r="C280" i="6"/>
  <c r="I279" i="6"/>
  <c r="H279" i="6"/>
  <c r="J278" i="6"/>
  <c r="I278" i="6"/>
  <c r="H278" i="6"/>
  <c r="D278" i="6"/>
  <c r="C278" i="6"/>
  <c r="I277" i="6"/>
  <c r="H277" i="6"/>
  <c r="J276" i="6"/>
  <c r="I276" i="6"/>
  <c r="H276" i="6"/>
  <c r="D276" i="6"/>
  <c r="C276" i="6"/>
  <c r="J275" i="6"/>
  <c r="I275" i="6"/>
  <c r="H275" i="6"/>
  <c r="D275" i="6"/>
  <c r="C275" i="6"/>
  <c r="J274" i="6"/>
  <c r="I274" i="6"/>
  <c r="H274" i="6"/>
  <c r="D274" i="6"/>
  <c r="C274" i="6"/>
  <c r="J273" i="6"/>
  <c r="I273" i="6"/>
  <c r="H273" i="6"/>
  <c r="D273" i="6"/>
  <c r="C273" i="6"/>
  <c r="J272" i="6"/>
  <c r="I272" i="6"/>
  <c r="H272" i="6"/>
  <c r="D272" i="6"/>
  <c r="C272" i="6"/>
  <c r="J271" i="6"/>
  <c r="I271" i="6"/>
  <c r="H271" i="6"/>
  <c r="D271" i="6"/>
  <c r="C271" i="6"/>
  <c r="J270" i="6"/>
  <c r="I270" i="6"/>
  <c r="H270" i="6"/>
  <c r="D270" i="6"/>
  <c r="C270" i="6"/>
  <c r="J269" i="6"/>
  <c r="I269" i="6"/>
  <c r="H269" i="6"/>
  <c r="D269" i="6"/>
  <c r="C269" i="6"/>
  <c r="K268" i="6"/>
  <c r="J268" i="6"/>
  <c r="I268" i="6"/>
  <c r="H268" i="6"/>
  <c r="D268" i="6"/>
  <c r="C268" i="6"/>
  <c r="J267" i="6"/>
  <c r="I267" i="6"/>
  <c r="H267" i="6"/>
  <c r="D267" i="6"/>
  <c r="C267" i="6"/>
  <c r="J266" i="6"/>
  <c r="I266" i="6"/>
  <c r="H266" i="6"/>
  <c r="D266" i="6"/>
  <c r="C266" i="6"/>
  <c r="K265" i="6"/>
  <c r="J265" i="6"/>
  <c r="I265" i="6"/>
  <c r="H265" i="6"/>
  <c r="D265" i="6"/>
  <c r="C265" i="6"/>
  <c r="J264" i="6"/>
  <c r="I264" i="6"/>
  <c r="H264" i="6"/>
  <c r="D264" i="6"/>
  <c r="C264" i="6"/>
  <c r="J263" i="6"/>
  <c r="I263" i="6"/>
  <c r="H263" i="6"/>
  <c r="D263" i="6"/>
  <c r="C263" i="6"/>
  <c r="J262" i="6"/>
  <c r="I262" i="6"/>
  <c r="H262" i="6"/>
  <c r="D262" i="6"/>
  <c r="C262" i="6"/>
  <c r="J261" i="6"/>
  <c r="I261" i="6"/>
  <c r="H261" i="6"/>
  <c r="D261" i="6"/>
  <c r="C261" i="6"/>
  <c r="J260" i="6"/>
  <c r="I260" i="6"/>
  <c r="H260" i="6"/>
  <c r="D260" i="6"/>
  <c r="C260" i="6"/>
  <c r="J259" i="6"/>
  <c r="I259" i="6"/>
  <c r="H259" i="6"/>
  <c r="D259" i="6"/>
  <c r="C259" i="6"/>
  <c r="I258" i="6"/>
  <c r="H258" i="6"/>
  <c r="J257" i="6"/>
  <c r="I257" i="6"/>
  <c r="H257" i="6"/>
  <c r="D257" i="6"/>
  <c r="C257" i="6"/>
  <c r="I256" i="6"/>
  <c r="H256" i="6"/>
  <c r="J254" i="6"/>
  <c r="I254" i="6"/>
  <c r="H254" i="6"/>
  <c r="D254" i="6"/>
  <c r="C254" i="6"/>
  <c r="I253" i="6"/>
  <c r="H253" i="6"/>
  <c r="I252" i="6"/>
  <c r="H252" i="6"/>
  <c r="I251" i="6"/>
  <c r="H251" i="6"/>
  <c r="J250" i="6"/>
  <c r="I250" i="6"/>
  <c r="H250" i="6"/>
  <c r="D250" i="6"/>
  <c r="C250" i="6"/>
  <c r="K249" i="6"/>
  <c r="J249" i="6"/>
  <c r="I249" i="6"/>
  <c r="H249" i="6"/>
  <c r="D249" i="6"/>
  <c r="C249" i="6"/>
  <c r="I248" i="6"/>
  <c r="H248" i="6"/>
  <c r="J247" i="6"/>
  <c r="I247" i="6"/>
  <c r="H247" i="6"/>
  <c r="D247" i="6"/>
  <c r="C247" i="6"/>
  <c r="I246" i="6"/>
  <c r="J245" i="6"/>
  <c r="I245" i="6"/>
  <c r="H245" i="6"/>
  <c r="D245" i="6"/>
  <c r="C245" i="6"/>
  <c r="I244" i="6"/>
  <c r="H244" i="6"/>
  <c r="J243" i="6"/>
  <c r="I243" i="6"/>
  <c r="H243" i="6"/>
  <c r="D243" i="6"/>
  <c r="C243" i="6"/>
  <c r="J242" i="6"/>
  <c r="I242" i="6"/>
  <c r="H242" i="6"/>
  <c r="D242" i="6"/>
  <c r="C242" i="6"/>
  <c r="I241" i="6"/>
  <c r="H241" i="6"/>
  <c r="J240" i="6"/>
  <c r="I240" i="6"/>
  <c r="H240" i="6"/>
  <c r="D240" i="6"/>
  <c r="C240" i="6"/>
  <c r="I239" i="6"/>
  <c r="H239" i="6"/>
  <c r="J237" i="6"/>
  <c r="I237" i="6"/>
  <c r="H237" i="6"/>
  <c r="D237" i="6"/>
  <c r="C237" i="6"/>
  <c r="J236" i="6"/>
  <c r="I236" i="6"/>
  <c r="H236" i="6"/>
  <c r="D236" i="6"/>
  <c r="C236" i="6"/>
  <c r="J235" i="6"/>
  <c r="I235" i="6"/>
  <c r="H235" i="6"/>
  <c r="D235" i="6"/>
  <c r="C235" i="6"/>
  <c r="I234" i="6"/>
  <c r="H234" i="6"/>
  <c r="J233" i="6"/>
  <c r="I233" i="6"/>
  <c r="H233" i="6"/>
  <c r="D233" i="6"/>
  <c r="C233" i="6"/>
  <c r="I232" i="6"/>
  <c r="H232" i="6"/>
  <c r="J231" i="6"/>
  <c r="I231" i="6"/>
  <c r="H231" i="6"/>
  <c r="D231" i="6"/>
  <c r="C231" i="6"/>
  <c r="I230" i="6"/>
  <c r="H230" i="6"/>
  <c r="I229" i="6"/>
  <c r="H229" i="6"/>
  <c r="J228" i="6"/>
  <c r="I228" i="6"/>
  <c r="H228" i="6"/>
  <c r="D228" i="6"/>
  <c r="C228" i="6"/>
  <c r="I227" i="6"/>
  <c r="H227" i="6"/>
  <c r="J226" i="6"/>
  <c r="I226" i="6"/>
  <c r="H226" i="6"/>
  <c r="D226" i="6"/>
  <c r="C226" i="6"/>
  <c r="J225" i="6"/>
  <c r="I225" i="6"/>
  <c r="H225" i="6"/>
  <c r="D225" i="6"/>
  <c r="C225" i="6"/>
  <c r="L224" i="6"/>
  <c r="K224" i="6"/>
  <c r="J224" i="6"/>
  <c r="I224" i="6"/>
  <c r="H224" i="6"/>
  <c r="D224" i="6"/>
  <c r="C224" i="6"/>
  <c r="J223" i="6"/>
  <c r="I223" i="6"/>
  <c r="H223" i="6"/>
  <c r="D223" i="6"/>
  <c r="C223" i="6"/>
  <c r="I222" i="6"/>
  <c r="H222" i="6"/>
  <c r="J221" i="6"/>
  <c r="I221" i="6"/>
  <c r="H221" i="6"/>
  <c r="D221" i="6"/>
  <c r="C221" i="6"/>
  <c r="I220" i="6"/>
  <c r="H220" i="6"/>
  <c r="I219" i="6"/>
  <c r="H219" i="6"/>
  <c r="J218" i="6"/>
  <c r="I218" i="6"/>
  <c r="H218" i="6"/>
  <c r="D218" i="6"/>
  <c r="C218" i="6"/>
  <c r="I217" i="6"/>
  <c r="H217" i="6"/>
  <c r="I216" i="6"/>
  <c r="H216" i="6"/>
  <c r="J215" i="6"/>
  <c r="I215" i="6"/>
  <c r="H215" i="6"/>
  <c r="D215" i="6"/>
  <c r="C215" i="6"/>
  <c r="I214" i="6"/>
  <c r="H214" i="6"/>
  <c r="K213" i="6"/>
  <c r="J213" i="6"/>
  <c r="I213" i="6"/>
  <c r="H213" i="6"/>
  <c r="D213" i="6"/>
  <c r="C213" i="6"/>
  <c r="I212" i="6"/>
  <c r="H212" i="6"/>
  <c r="D212" i="6"/>
  <c r="C212" i="6"/>
  <c r="J211" i="6"/>
  <c r="I211" i="6"/>
  <c r="H211" i="6"/>
  <c r="D211" i="6"/>
  <c r="C211" i="6"/>
  <c r="I210" i="6"/>
  <c r="H210" i="6"/>
  <c r="I209" i="6"/>
  <c r="H209" i="6"/>
  <c r="I208" i="6"/>
  <c r="H208" i="6"/>
  <c r="K207" i="6"/>
  <c r="J207" i="6"/>
  <c r="I207" i="6"/>
  <c r="H207" i="6"/>
  <c r="D207" i="6"/>
  <c r="C207" i="6"/>
  <c r="J206" i="6"/>
  <c r="I206" i="6"/>
  <c r="H206" i="6"/>
  <c r="D206" i="6"/>
  <c r="C206" i="6"/>
  <c r="J205" i="6"/>
  <c r="I205" i="6"/>
  <c r="H205" i="6"/>
  <c r="D205" i="6"/>
  <c r="C205" i="6"/>
  <c r="I204" i="6"/>
  <c r="H204" i="6"/>
  <c r="J203" i="6"/>
  <c r="I203" i="6"/>
  <c r="H203" i="6"/>
  <c r="D203" i="6"/>
  <c r="C203" i="6"/>
  <c r="I202" i="6"/>
  <c r="H202" i="6"/>
  <c r="I201" i="6"/>
  <c r="H201" i="6"/>
  <c r="I200" i="6"/>
  <c r="H200" i="6"/>
  <c r="K199" i="6"/>
  <c r="J199" i="6"/>
  <c r="I199" i="6"/>
  <c r="H199" i="6"/>
  <c r="D199" i="6"/>
  <c r="C199" i="6"/>
  <c r="J198" i="6"/>
  <c r="I198" i="6"/>
  <c r="H198" i="6"/>
  <c r="D198" i="6"/>
  <c r="C198" i="6"/>
  <c r="I197" i="6"/>
  <c r="H197" i="6"/>
  <c r="I196" i="6"/>
  <c r="H196" i="6"/>
  <c r="J195" i="6"/>
  <c r="I195" i="6"/>
  <c r="H195" i="6"/>
  <c r="D195" i="6"/>
  <c r="C195" i="6"/>
  <c r="I194" i="6"/>
  <c r="H194" i="6"/>
  <c r="I193" i="6"/>
  <c r="H193" i="6"/>
  <c r="I192" i="6"/>
  <c r="H192" i="6"/>
  <c r="K191" i="6"/>
  <c r="J191" i="6"/>
  <c r="I191" i="6"/>
  <c r="H191" i="6"/>
  <c r="D191" i="6"/>
  <c r="C191" i="6"/>
  <c r="J190" i="6"/>
  <c r="I190" i="6"/>
  <c r="H190" i="6"/>
  <c r="D190" i="6"/>
  <c r="C190" i="6"/>
  <c r="I189" i="6"/>
  <c r="H189" i="6"/>
  <c r="J188" i="6"/>
  <c r="I188" i="6"/>
  <c r="H188" i="6"/>
  <c r="D188" i="6"/>
  <c r="C188" i="6"/>
  <c r="J187" i="6"/>
  <c r="I187" i="6"/>
  <c r="H187" i="6"/>
  <c r="D187" i="6"/>
  <c r="C187" i="6"/>
  <c r="J186" i="6"/>
  <c r="I186" i="6"/>
  <c r="H186" i="6"/>
  <c r="D186" i="6"/>
  <c r="C186" i="6"/>
  <c r="I185" i="6"/>
  <c r="H185" i="6"/>
  <c r="J184" i="6"/>
  <c r="I184" i="6"/>
  <c r="D184" i="6"/>
  <c r="C184" i="6"/>
  <c r="I183" i="6"/>
  <c r="H183" i="6"/>
  <c r="I182" i="6"/>
  <c r="H182" i="6"/>
  <c r="K181" i="6"/>
  <c r="J181" i="6"/>
  <c r="I181" i="6"/>
  <c r="H181" i="6"/>
  <c r="D181" i="6"/>
  <c r="C181" i="6"/>
  <c r="J180" i="6"/>
  <c r="I180" i="6"/>
  <c r="H180" i="6"/>
  <c r="D180" i="6"/>
  <c r="C180" i="6"/>
  <c r="J179" i="6"/>
  <c r="I179" i="6"/>
  <c r="H179" i="6"/>
  <c r="D179" i="6"/>
  <c r="C179" i="6"/>
  <c r="J178" i="6"/>
  <c r="I178" i="6"/>
  <c r="H178" i="6"/>
  <c r="D178" i="6"/>
  <c r="C178" i="6"/>
  <c r="I177" i="6"/>
  <c r="H177" i="6"/>
  <c r="I176" i="6"/>
  <c r="H176" i="6"/>
  <c r="J175" i="6"/>
  <c r="I175" i="6"/>
  <c r="H175" i="6"/>
  <c r="D175" i="6"/>
  <c r="C175" i="6"/>
  <c r="J174" i="6"/>
  <c r="I174" i="6"/>
  <c r="H174" i="6"/>
  <c r="D174" i="6"/>
  <c r="C174" i="6"/>
  <c r="J173" i="6"/>
  <c r="I173" i="6"/>
  <c r="H173" i="6"/>
  <c r="D173" i="6"/>
  <c r="C173" i="6"/>
  <c r="J172" i="6"/>
  <c r="I172" i="6"/>
  <c r="H172" i="6"/>
  <c r="D172" i="6"/>
  <c r="C172" i="6"/>
  <c r="K171" i="6"/>
  <c r="J171" i="6"/>
  <c r="I171" i="6"/>
  <c r="H171" i="6"/>
  <c r="D171" i="6"/>
  <c r="C171" i="6"/>
  <c r="I170" i="6"/>
  <c r="H170" i="6"/>
  <c r="I169" i="6"/>
  <c r="H169" i="6"/>
  <c r="J168" i="6"/>
  <c r="I168" i="6"/>
  <c r="H168" i="6"/>
  <c r="D168" i="6"/>
  <c r="C168" i="6"/>
  <c r="I167" i="6"/>
  <c r="H167" i="6"/>
  <c r="I166" i="6"/>
  <c r="H166" i="6"/>
  <c r="I165" i="6"/>
  <c r="H165" i="6"/>
  <c r="I164" i="6"/>
  <c r="H164" i="6"/>
  <c r="I163" i="6"/>
  <c r="H163" i="6"/>
  <c r="J162" i="6"/>
  <c r="I162" i="6"/>
  <c r="H162" i="6"/>
  <c r="D162" i="6"/>
  <c r="C162" i="6"/>
  <c r="I161" i="6"/>
  <c r="H161" i="6"/>
  <c r="I160" i="6"/>
  <c r="H160" i="6"/>
  <c r="I159" i="6"/>
  <c r="H159" i="6"/>
  <c r="J158" i="6"/>
  <c r="I158" i="6"/>
  <c r="H158" i="6"/>
  <c r="D158" i="6"/>
  <c r="C158" i="6"/>
  <c r="J157" i="6"/>
  <c r="I157" i="6"/>
  <c r="H157" i="6"/>
  <c r="D157" i="6"/>
  <c r="C157" i="6"/>
  <c r="I156" i="6"/>
  <c r="H156" i="6"/>
  <c r="I155" i="6"/>
  <c r="H155" i="6"/>
  <c r="J154" i="6"/>
  <c r="I154" i="6"/>
  <c r="H154" i="6"/>
  <c r="D154" i="6"/>
  <c r="C154" i="6"/>
  <c r="I153" i="6"/>
  <c r="H153" i="6"/>
  <c r="I152" i="6"/>
  <c r="H152" i="6"/>
  <c r="K151" i="6"/>
  <c r="J151" i="6"/>
  <c r="I151" i="6"/>
  <c r="H151" i="6"/>
  <c r="D151" i="6"/>
  <c r="C151" i="6"/>
  <c r="J150" i="6"/>
  <c r="I150" i="6"/>
  <c r="H150" i="6"/>
  <c r="D150" i="6"/>
  <c r="C150" i="6"/>
  <c r="I149" i="6"/>
  <c r="H149" i="6"/>
  <c r="I148" i="6"/>
  <c r="H148" i="6"/>
  <c r="I147" i="6"/>
  <c r="H147" i="6"/>
  <c r="J146" i="6"/>
  <c r="I146" i="6"/>
  <c r="H146" i="6"/>
  <c r="D146" i="6"/>
  <c r="C146" i="6"/>
  <c r="I145" i="6"/>
  <c r="H145" i="6"/>
  <c r="I143" i="6"/>
  <c r="H143" i="6"/>
  <c r="I142" i="6"/>
  <c r="H142" i="6"/>
  <c r="I141" i="6"/>
  <c r="H141" i="6"/>
  <c r="L140" i="6"/>
  <c r="K140" i="6"/>
  <c r="J140" i="6"/>
  <c r="I140" i="6"/>
  <c r="H140" i="6"/>
  <c r="D140" i="6"/>
  <c r="C140" i="6"/>
  <c r="I139" i="6"/>
  <c r="H139" i="6"/>
  <c r="I138" i="6"/>
  <c r="H138" i="6"/>
  <c r="J137" i="6"/>
  <c r="I137" i="6"/>
  <c r="H137" i="6"/>
  <c r="D137" i="6"/>
  <c r="C137" i="6"/>
  <c r="J136" i="6"/>
  <c r="I136" i="6"/>
  <c r="H136" i="6"/>
  <c r="D136" i="6"/>
  <c r="C136" i="6"/>
  <c r="J135" i="6"/>
  <c r="I135" i="6"/>
  <c r="H135" i="6"/>
  <c r="D135" i="6"/>
  <c r="C135" i="6"/>
  <c r="J134" i="6"/>
  <c r="I134" i="6"/>
  <c r="H134" i="6"/>
  <c r="D134" i="6"/>
  <c r="C134" i="6"/>
  <c r="I133" i="6"/>
  <c r="H133" i="6"/>
  <c r="K132" i="6"/>
  <c r="J132" i="6"/>
  <c r="I132" i="6"/>
  <c r="H132" i="6"/>
  <c r="D132" i="6"/>
  <c r="C132" i="6"/>
  <c r="J131" i="6"/>
  <c r="I131" i="6"/>
  <c r="H131" i="6"/>
  <c r="D131" i="6"/>
  <c r="C131" i="6"/>
  <c r="J130" i="6"/>
  <c r="I130" i="6"/>
  <c r="H130" i="6"/>
  <c r="D130" i="6"/>
  <c r="C130" i="6"/>
  <c r="I129" i="6"/>
  <c r="H129" i="6"/>
  <c r="I128" i="6"/>
  <c r="H128" i="6"/>
  <c r="I127" i="6"/>
  <c r="H127" i="6"/>
  <c r="J126" i="6"/>
  <c r="I126" i="6"/>
  <c r="H126" i="6"/>
  <c r="D126" i="6"/>
  <c r="C126" i="6"/>
  <c r="I125" i="6"/>
  <c r="H125" i="6"/>
  <c r="K124" i="6"/>
  <c r="J124" i="6"/>
  <c r="I124" i="6"/>
  <c r="H124" i="6"/>
  <c r="D124" i="6"/>
  <c r="C124" i="6"/>
  <c r="J123" i="6"/>
  <c r="I123" i="6"/>
  <c r="H123" i="6"/>
  <c r="D123" i="6"/>
  <c r="C123" i="6"/>
  <c r="I122" i="6"/>
  <c r="H122" i="6"/>
  <c r="I121" i="6"/>
  <c r="H121" i="6"/>
  <c r="D121" i="6"/>
  <c r="C121" i="6"/>
  <c r="I120" i="6"/>
  <c r="H120" i="6"/>
  <c r="I119" i="6"/>
  <c r="H119" i="6"/>
  <c r="I118" i="6"/>
  <c r="H118" i="6"/>
  <c r="I117" i="6"/>
  <c r="H117" i="6"/>
  <c r="I116" i="6"/>
  <c r="H116" i="6"/>
  <c r="K115" i="6"/>
  <c r="J115" i="6"/>
  <c r="I115" i="6"/>
  <c r="H115" i="6"/>
  <c r="D115" i="6"/>
  <c r="C115" i="6"/>
  <c r="I114" i="6"/>
  <c r="H114" i="6"/>
  <c r="I113" i="6"/>
  <c r="H113" i="6"/>
  <c r="J112" i="6"/>
  <c r="I112" i="6"/>
  <c r="H112" i="6"/>
  <c r="D112" i="6"/>
  <c r="C112" i="6"/>
  <c r="I111" i="6"/>
  <c r="H111" i="6"/>
  <c r="J110" i="6"/>
  <c r="I110" i="6"/>
  <c r="H110" i="6"/>
  <c r="D110" i="6"/>
  <c r="C110" i="6"/>
  <c r="J109" i="6"/>
  <c r="I109" i="6"/>
  <c r="H109" i="6"/>
  <c r="D109" i="6"/>
  <c r="C109" i="6"/>
  <c r="I108" i="6"/>
  <c r="H108" i="6"/>
  <c r="I107" i="6"/>
  <c r="H107" i="6"/>
  <c r="I104" i="6"/>
  <c r="H104" i="6"/>
  <c r="L103" i="6"/>
  <c r="K103" i="6"/>
  <c r="J103" i="6"/>
  <c r="I103" i="6"/>
  <c r="H103" i="6"/>
  <c r="D103" i="6"/>
  <c r="C103" i="6"/>
  <c r="I102" i="6"/>
  <c r="H102" i="6"/>
  <c r="I101" i="6"/>
  <c r="H101" i="6"/>
  <c r="I100" i="6"/>
  <c r="H100" i="6"/>
  <c r="J99" i="6"/>
  <c r="I99" i="6"/>
  <c r="H99" i="6"/>
  <c r="D99" i="6"/>
  <c r="C99" i="6"/>
  <c r="I98" i="6"/>
  <c r="H98" i="6"/>
  <c r="I97" i="6"/>
  <c r="H97" i="6"/>
  <c r="J96" i="6"/>
  <c r="I96" i="6"/>
  <c r="H96" i="6"/>
  <c r="D96" i="6"/>
  <c r="C96" i="6"/>
  <c r="I95" i="6"/>
  <c r="H95" i="6"/>
  <c r="I94" i="6"/>
  <c r="H94" i="6"/>
  <c r="I93" i="6"/>
  <c r="H93" i="6"/>
  <c r="I92" i="6"/>
  <c r="H92" i="6"/>
  <c r="J91" i="6"/>
  <c r="I91" i="6"/>
  <c r="H91" i="6"/>
  <c r="D91" i="6"/>
  <c r="C91" i="6"/>
  <c r="I90" i="6"/>
  <c r="H90" i="6"/>
  <c r="I89" i="6"/>
  <c r="H89" i="6"/>
  <c r="J88" i="6"/>
  <c r="I88" i="6"/>
  <c r="H88" i="6"/>
  <c r="D88" i="6"/>
  <c r="C88" i="6"/>
  <c r="I87" i="6"/>
  <c r="H87" i="6"/>
  <c r="I86" i="6"/>
  <c r="H86" i="6"/>
  <c r="I85" i="6"/>
  <c r="H85" i="6"/>
  <c r="J84" i="6"/>
  <c r="I84" i="6"/>
  <c r="H84" i="6"/>
  <c r="D84" i="6"/>
  <c r="C84" i="6"/>
  <c r="I83" i="6"/>
  <c r="H83" i="6"/>
  <c r="I82" i="6"/>
  <c r="H82" i="6"/>
  <c r="I81" i="6"/>
  <c r="H81" i="6"/>
  <c r="I80" i="6"/>
  <c r="H80" i="6"/>
  <c r="J79" i="6"/>
  <c r="I79" i="6"/>
  <c r="H79" i="6"/>
  <c r="D79" i="6"/>
  <c r="C79" i="6"/>
  <c r="I78" i="6"/>
  <c r="H78" i="6"/>
  <c r="I77" i="6"/>
  <c r="H77" i="6"/>
  <c r="I76" i="6"/>
  <c r="H76" i="6"/>
  <c r="I75" i="6"/>
  <c r="H75" i="6"/>
  <c r="J74" i="6"/>
  <c r="I74" i="6"/>
  <c r="H74" i="6"/>
  <c r="D74" i="6"/>
  <c r="C74" i="6"/>
  <c r="I73" i="6"/>
  <c r="H73" i="6"/>
  <c r="I72" i="6"/>
  <c r="H72" i="6"/>
  <c r="I71" i="6"/>
  <c r="H71" i="6"/>
  <c r="I70" i="6"/>
  <c r="H70" i="6"/>
  <c r="J69" i="6"/>
  <c r="I69" i="6"/>
  <c r="H69" i="6"/>
  <c r="D69" i="6"/>
  <c r="C69" i="6"/>
  <c r="I68" i="6"/>
  <c r="H68" i="6"/>
  <c r="I67" i="6"/>
  <c r="H67" i="6"/>
  <c r="I66" i="6"/>
  <c r="H66" i="6"/>
  <c r="K65" i="6"/>
  <c r="J65" i="6"/>
  <c r="I65" i="6"/>
  <c r="H65" i="6"/>
  <c r="D65" i="6"/>
  <c r="C65" i="6"/>
  <c r="I64" i="6"/>
  <c r="H64" i="6"/>
  <c r="I63" i="6"/>
  <c r="H63" i="6"/>
  <c r="J62" i="6"/>
  <c r="I62" i="6"/>
  <c r="H62" i="6"/>
  <c r="D62" i="6"/>
  <c r="C62" i="6"/>
  <c r="I61" i="6"/>
  <c r="H61" i="6"/>
  <c r="I60" i="6"/>
  <c r="H60" i="6"/>
  <c r="I59" i="6"/>
  <c r="H59" i="6"/>
  <c r="J58" i="6"/>
  <c r="I58" i="6"/>
  <c r="H58" i="6"/>
  <c r="D58" i="6"/>
  <c r="C58" i="6"/>
  <c r="I57" i="6"/>
  <c r="H57" i="6"/>
  <c r="I56" i="6"/>
  <c r="H56" i="6"/>
  <c r="J55" i="6"/>
  <c r="I55" i="6"/>
  <c r="H55" i="6"/>
  <c r="D55" i="6"/>
  <c r="C55" i="6"/>
  <c r="I54" i="6"/>
  <c r="H54" i="6"/>
  <c r="I53" i="6"/>
  <c r="H53" i="6"/>
  <c r="I52" i="6"/>
  <c r="H52" i="6"/>
  <c r="I51" i="6"/>
  <c r="H51" i="6"/>
  <c r="C51" i="6"/>
  <c r="I50" i="6"/>
  <c r="H50" i="6"/>
  <c r="I49" i="6"/>
  <c r="H49" i="6"/>
  <c r="I48" i="6"/>
  <c r="H48" i="6"/>
  <c r="K47" i="6"/>
  <c r="J47" i="6"/>
  <c r="I47" i="6"/>
  <c r="H47" i="6"/>
  <c r="D47" i="6"/>
  <c r="C47" i="6"/>
  <c r="I46" i="6"/>
  <c r="H46" i="6"/>
  <c r="I45" i="6"/>
  <c r="H45" i="6"/>
  <c r="I44" i="6"/>
  <c r="H44" i="6"/>
  <c r="J43" i="6"/>
  <c r="I43" i="6"/>
  <c r="H43" i="6"/>
  <c r="I42" i="6"/>
  <c r="H42" i="6"/>
  <c r="I41" i="6"/>
  <c r="H41" i="6"/>
  <c r="I40" i="6"/>
  <c r="H40" i="6"/>
  <c r="I39" i="6"/>
  <c r="H39" i="6"/>
  <c r="I38" i="6"/>
  <c r="H38" i="6"/>
  <c r="I37" i="6"/>
  <c r="H37" i="6"/>
  <c r="I36" i="6"/>
  <c r="H36" i="6"/>
  <c r="J35" i="6"/>
  <c r="I35" i="6"/>
  <c r="H35" i="6"/>
  <c r="I34" i="6"/>
  <c r="H34" i="6"/>
  <c r="I33" i="6"/>
  <c r="H33" i="6"/>
  <c r="I32" i="6"/>
  <c r="H32" i="6"/>
  <c r="I31" i="6"/>
  <c r="H31" i="6"/>
  <c r="I30" i="6"/>
  <c r="H30" i="6"/>
  <c r="I29" i="6"/>
  <c r="H29" i="6"/>
  <c r="I28" i="6"/>
  <c r="H28" i="6"/>
  <c r="I27" i="6"/>
  <c r="H27" i="6"/>
  <c r="I26" i="6"/>
  <c r="H26" i="6"/>
  <c r="J25" i="6"/>
  <c r="I25" i="6"/>
  <c r="H25" i="6"/>
  <c r="I24" i="6"/>
  <c r="H24" i="6"/>
  <c r="I23" i="6"/>
  <c r="H23" i="6"/>
  <c r="I22" i="6"/>
  <c r="H22" i="6"/>
  <c r="I21" i="6"/>
  <c r="H21" i="6"/>
  <c r="I20" i="6"/>
  <c r="H20" i="6"/>
  <c r="I19" i="6"/>
  <c r="H19" i="6"/>
  <c r="J18" i="6"/>
  <c r="I18" i="6"/>
  <c r="H18" i="6"/>
  <c r="I17" i="6"/>
  <c r="H17" i="6"/>
  <c r="I16" i="6"/>
  <c r="H16" i="6"/>
  <c r="I15" i="6"/>
  <c r="H15" i="6"/>
  <c r="I14" i="6"/>
  <c r="H14" i="6"/>
  <c r="I13" i="6"/>
  <c r="H13" i="6"/>
  <c r="I12" i="6"/>
  <c r="H12" i="6"/>
  <c r="I11" i="6"/>
  <c r="H11" i="6"/>
  <c r="I10" i="6"/>
  <c r="H10" i="6"/>
  <c r="J9" i="6"/>
  <c r="I9" i="6"/>
  <c r="H9" i="6"/>
  <c r="I8" i="6"/>
  <c r="H8" i="6"/>
  <c r="I7" i="6"/>
  <c r="H7" i="6"/>
  <c r="I6" i="6"/>
  <c r="H6" i="6"/>
  <c r="I5" i="6"/>
  <c r="H5" i="6"/>
  <c r="I4" i="6"/>
  <c r="H4" i="6"/>
  <c r="L3" i="6"/>
  <c r="K3" i="6"/>
  <c r="J3" i="6"/>
  <c r="I3" i="6"/>
  <c r="H3" i="6"/>
  <c r="D3" i="6"/>
  <c r="C3" i="6"/>
  <c r="T658" i="4"/>
  <c r="S658" i="4"/>
  <c r="R658" i="4"/>
  <c r="D658" i="4"/>
  <c r="C658" i="4"/>
  <c r="R657" i="4"/>
  <c r="M657" i="4"/>
  <c r="L657" i="4"/>
  <c r="K657" i="4"/>
  <c r="J657" i="4"/>
  <c r="I657" i="4"/>
  <c r="H657" i="4"/>
  <c r="G657" i="4"/>
  <c r="F657" i="4"/>
  <c r="E657" i="4"/>
  <c r="R656" i="4"/>
  <c r="M656" i="4"/>
  <c r="L656" i="4"/>
  <c r="K656" i="4"/>
  <c r="J656" i="4"/>
  <c r="I656" i="4"/>
  <c r="H656" i="4"/>
  <c r="G656" i="4"/>
  <c r="F656" i="4"/>
  <c r="E656" i="4"/>
  <c r="R655" i="4"/>
  <c r="M655" i="4"/>
  <c r="L655" i="4"/>
  <c r="K655" i="4"/>
  <c r="J655" i="4"/>
  <c r="I655" i="4"/>
  <c r="H655" i="4"/>
  <c r="G655" i="4"/>
  <c r="F655" i="4"/>
  <c r="E655" i="4"/>
  <c r="R654" i="4"/>
  <c r="M654" i="4"/>
  <c r="L654" i="4"/>
  <c r="K654" i="4"/>
  <c r="J654" i="4"/>
  <c r="I654" i="4"/>
  <c r="H654" i="4"/>
  <c r="G654" i="4"/>
  <c r="F654" i="4"/>
  <c r="E654" i="4"/>
  <c r="R653" i="4"/>
  <c r="M653" i="4"/>
  <c r="L653" i="4"/>
  <c r="K653" i="4"/>
  <c r="J653" i="4"/>
  <c r="I653" i="4"/>
  <c r="H653" i="4"/>
  <c r="G653" i="4"/>
  <c r="F653" i="4"/>
  <c r="E653" i="4"/>
  <c r="R652" i="4"/>
  <c r="M652" i="4"/>
  <c r="L652" i="4"/>
  <c r="K652" i="4"/>
  <c r="J652" i="4"/>
  <c r="I652" i="4"/>
  <c r="H652" i="4"/>
  <c r="G652" i="4"/>
  <c r="F652" i="4"/>
  <c r="E652" i="4"/>
  <c r="R651" i="4"/>
  <c r="M651" i="4"/>
  <c r="L651" i="4"/>
  <c r="K651" i="4"/>
  <c r="J651" i="4"/>
  <c r="I651" i="4"/>
  <c r="H651" i="4"/>
  <c r="G651" i="4"/>
  <c r="F651" i="4"/>
  <c r="E651" i="4"/>
  <c r="R650" i="4"/>
  <c r="M650" i="4"/>
  <c r="L650" i="4"/>
  <c r="K650" i="4"/>
  <c r="J650" i="4"/>
  <c r="I650" i="4"/>
  <c r="H650" i="4"/>
  <c r="G650" i="4"/>
  <c r="F650" i="4"/>
  <c r="E650" i="4"/>
  <c r="R649" i="4"/>
  <c r="M649" i="4"/>
  <c r="L649" i="4"/>
  <c r="K649" i="4"/>
  <c r="J649" i="4"/>
  <c r="I649" i="4"/>
  <c r="H649" i="4"/>
  <c r="G649" i="4"/>
  <c r="F649" i="4"/>
  <c r="E649" i="4"/>
  <c r="R648" i="4"/>
  <c r="M648" i="4"/>
  <c r="L648" i="4"/>
  <c r="K648" i="4"/>
  <c r="J648" i="4"/>
  <c r="I648" i="4"/>
  <c r="H648" i="4"/>
  <c r="G648" i="4"/>
  <c r="F648" i="4"/>
  <c r="E648" i="4"/>
  <c r="T647" i="4"/>
  <c r="S647" i="4"/>
  <c r="R647" i="4"/>
  <c r="O647" i="4"/>
  <c r="N647" i="4"/>
  <c r="M647" i="4"/>
  <c r="L647" i="4"/>
  <c r="K647" i="4"/>
  <c r="J647" i="4"/>
  <c r="I647" i="4"/>
  <c r="H647" i="4"/>
  <c r="G647" i="4"/>
  <c r="F647" i="4"/>
  <c r="E647" i="4"/>
  <c r="D647" i="4"/>
  <c r="C647" i="4"/>
  <c r="T646" i="4"/>
  <c r="S646" i="4"/>
  <c r="R646" i="4"/>
  <c r="D646" i="4"/>
  <c r="C646" i="4"/>
  <c r="T645" i="4"/>
  <c r="S645" i="4"/>
  <c r="R645" i="4"/>
  <c r="D645" i="4"/>
  <c r="C645" i="4"/>
  <c r="U644" i="4"/>
  <c r="T644" i="4"/>
  <c r="S644" i="4"/>
  <c r="R644" i="4"/>
  <c r="P644" i="4"/>
  <c r="D644" i="4"/>
  <c r="C644" i="4"/>
  <c r="T643" i="4"/>
  <c r="S643" i="4"/>
  <c r="R643" i="4"/>
  <c r="D643" i="4"/>
  <c r="C643" i="4"/>
  <c r="T642" i="4"/>
  <c r="S642" i="4"/>
  <c r="R642" i="4"/>
  <c r="D642" i="4"/>
  <c r="C642" i="4"/>
  <c r="R641" i="4"/>
  <c r="M641" i="4"/>
  <c r="L641" i="4"/>
  <c r="K641" i="4"/>
  <c r="J641" i="4"/>
  <c r="I641" i="4"/>
  <c r="H641" i="4"/>
  <c r="G641" i="4"/>
  <c r="F641" i="4"/>
  <c r="E641" i="4"/>
  <c r="R640" i="4"/>
  <c r="M640" i="4"/>
  <c r="L640" i="4"/>
  <c r="K640" i="4"/>
  <c r="J640" i="4"/>
  <c r="I640" i="4"/>
  <c r="H640" i="4"/>
  <c r="G640" i="4"/>
  <c r="F640" i="4"/>
  <c r="E640" i="4"/>
  <c r="R639" i="4"/>
  <c r="M639" i="4"/>
  <c r="L639" i="4"/>
  <c r="K639" i="4"/>
  <c r="J639" i="4"/>
  <c r="I639" i="4"/>
  <c r="H639" i="4"/>
  <c r="G639" i="4"/>
  <c r="F639" i="4"/>
  <c r="E639" i="4"/>
  <c r="R638" i="4"/>
  <c r="M638" i="4"/>
  <c r="L638" i="4"/>
  <c r="K638" i="4"/>
  <c r="J638" i="4"/>
  <c r="I638" i="4"/>
  <c r="H638" i="4"/>
  <c r="G638" i="4"/>
  <c r="F638" i="4"/>
  <c r="E638" i="4"/>
  <c r="R637" i="4"/>
  <c r="M637" i="4"/>
  <c r="L637" i="4"/>
  <c r="K637" i="4"/>
  <c r="J637" i="4"/>
  <c r="I637" i="4"/>
  <c r="H637" i="4"/>
  <c r="G637" i="4"/>
  <c r="F637" i="4"/>
  <c r="E637" i="4"/>
  <c r="R636" i="4"/>
  <c r="M636" i="4"/>
  <c r="L636" i="4"/>
  <c r="K636" i="4"/>
  <c r="J636" i="4"/>
  <c r="I636" i="4"/>
  <c r="H636" i="4"/>
  <c r="G636" i="4"/>
  <c r="F636" i="4"/>
  <c r="E636" i="4"/>
  <c r="R635" i="4"/>
  <c r="M635" i="4"/>
  <c r="L635" i="4"/>
  <c r="K635" i="4"/>
  <c r="J635" i="4"/>
  <c r="I635" i="4"/>
  <c r="H635" i="4"/>
  <c r="G635" i="4"/>
  <c r="F635" i="4"/>
  <c r="E635" i="4"/>
  <c r="R634" i="4"/>
  <c r="M634" i="4"/>
  <c r="L634" i="4"/>
  <c r="K634" i="4"/>
  <c r="J634" i="4"/>
  <c r="I634" i="4"/>
  <c r="H634" i="4"/>
  <c r="G634" i="4"/>
  <c r="F634" i="4"/>
  <c r="E634" i="4"/>
  <c r="R633" i="4"/>
  <c r="M633" i="4"/>
  <c r="L633" i="4"/>
  <c r="K633" i="4"/>
  <c r="J633" i="4"/>
  <c r="I633" i="4"/>
  <c r="H633" i="4"/>
  <c r="G633" i="4"/>
  <c r="F633" i="4"/>
  <c r="E633" i="4"/>
  <c r="R632" i="4"/>
  <c r="M632" i="4"/>
  <c r="L632" i="4"/>
  <c r="K632" i="4"/>
  <c r="J632" i="4"/>
  <c r="I632" i="4"/>
  <c r="H632" i="4"/>
  <c r="G632" i="4"/>
  <c r="F632" i="4"/>
  <c r="E632" i="4"/>
  <c r="T631" i="4"/>
  <c r="S631" i="4"/>
  <c r="R631" i="4"/>
  <c r="O631" i="4"/>
  <c r="N631" i="4"/>
  <c r="M631" i="4"/>
  <c r="L631" i="4"/>
  <c r="K631" i="4"/>
  <c r="J631" i="4"/>
  <c r="I631" i="4"/>
  <c r="H631" i="4"/>
  <c r="G631" i="4"/>
  <c r="F631" i="4"/>
  <c r="E631" i="4"/>
  <c r="D631" i="4"/>
  <c r="C631" i="4"/>
  <c r="T630" i="4"/>
  <c r="S630" i="4"/>
  <c r="R630" i="4"/>
  <c r="D630" i="4"/>
  <c r="C630" i="4"/>
  <c r="T629" i="4"/>
  <c r="S629" i="4"/>
  <c r="R629" i="4"/>
  <c r="D629" i="4"/>
  <c r="C629" i="4"/>
  <c r="T628" i="4"/>
  <c r="S628" i="4"/>
  <c r="R628" i="4"/>
  <c r="D628" i="4"/>
  <c r="C628" i="4"/>
  <c r="T627" i="4"/>
  <c r="S627" i="4"/>
  <c r="R627" i="4"/>
  <c r="D627" i="4"/>
  <c r="C627" i="4"/>
  <c r="U626" i="4"/>
  <c r="T626" i="4"/>
  <c r="S626" i="4"/>
  <c r="R626" i="4"/>
  <c r="P626" i="4"/>
  <c r="D626" i="4"/>
  <c r="C626" i="4"/>
  <c r="T625" i="4"/>
  <c r="S625" i="4"/>
  <c r="R625" i="4"/>
  <c r="D625" i="4"/>
  <c r="C625" i="4"/>
  <c r="R624" i="4"/>
  <c r="M624" i="4"/>
  <c r="L624" i="4"/>
  <c r="K624" i="4"/>
  <c r="J624" i="4"/>
  <c r="I624" i="4"/>
  <c r="H624" i="4"/>
  <c r="G624" i="4"/>
  <c r="F624" i="4"/>
  <c r="E624" i="4"/>
  <c r="R623" i="4"/>
  <c r="M623" i="4"/>
  <c r="L623" i="4"/>
  <c r="K623" i="4"/>
  <c r="J623" i="4"/>
  <c r="I623" i="4"/>
  <c r="H623" i="4"/>
  <c r="G623" i="4"/>
  <c r="F623" i="4"/>
  <c r="E623" i="4"/>
  <c r="S622" i="4"/>
  <c r="R622" i="4"/>
  <c r="N622" i="4"/>
  <c r="M622" i="4"/>
  <c r="L622" i="4"/>
  <c r="K622" i="4"/>
  <c r="J622" i="4"/>
  <c r="I622" i="4"/>
  <c r="H622" i="4"/>
  <c r="G622" i="4"/>
  <c r="F622" i="4"/>
  <c r="E622" i="4"/>
  <c r="R621" i="4"/>
  <c r="M621" i="4"/>
  <c r="L621" i="4"/>
  <c r="K621" i="4"/>
  <c r="J621" i="4"/>
  <c r="I621" i="4"/>
  <c r="H621" i="4"/>
  <c r="G621" i="4"/>
  <c r="F621" i="4"/>
  <c r="E621" i="4"/>
  <c r="R620" i="4"/>
  <c r="M620" i="4"/>
  <c r="L620" i="4"/>
  <c r="K620" i="4"/>
  <c r="J620" i="4"/>
  <c r="I620" i="4"/>
  <c r="H620" i="4"/>
  <c r="G620" i="4"/>
  <c r="F620" i="4"/>
  <c r="E620" i="4"/>
  <c r="S619" i="4"/>
  <c r="R619" i="4"/>
  <c r="N619" i="4"/>
  <c r="M619" i="4"/>
  <c r="L619" i="4"/>
  <c r="K619" i="4"/>
  <c r="J619" i="4"/>
  <c r="I619" i="4"/>
  <c r="H619" i="4"/>
  <c r="G619" i="4"/>
  <c r="F619" i="4"/>
  <c r="E619" i="4"/>
  <c r="R618" i="4"/>
  <c r="M618" i="4"/>
  <c r="L618" i="4"/>
  <c r="K618" i="4"/>
  <c r="J618" i="4"/>
  <c r="I618" i="4"/>
  <c r="H618" i="4"/>
  <c r="G618" i="4"/>
  <c r="F618" i="4"/>
  <c r="E618" i="4"/>
  <c r="R617" i="4"/>
  <c r="M617" i="4"/>
  <c r="L617" i="4"/>
  <c r="K617" i="4"/>
  <c r="J617" i="4"/>
  <c r="I617" i="4"/>
  <c r="H617" i="4"/>
  <c r="G617" i="4"/>
  <c r="F617" i="4"/>
  <c r="E617" i="4"/>
  <c r="T616" i="4"/>
  <c r="S616" i="4"/>
  <c r="R616" i="4"/>
  <c r="O616" i="4"/>
  <c r="N616" i="4"/>
  <c r="M616" i="4"/>
  <c r="L616" i="4"/>
  <c r="K616" i="4"/>
  <c r="J616" i="4"/>
  <c r="I616" i="4"/>
  <c r="H616" i="4"/>
  <c r="G616" i="4"/>
  <c r="F616" i="4"/>
  <c r="E616" i="4"/>
  <c r="D616" i="4"/>
  <c r="C616" i="4"/>
  <c r="T615" i="4"/>
  <c r="S615" i="4"/>
  <c r="R615" i="4"/>
  <c r="D615" i="4"/>
  <c r="C615" i="4"/>
  <c r="T614" i="4"/>
  <c r="S614" i="4"/>
  <c r="R614" i="4"/>
  <c r="D614" i="4"/>
  <c r="C614" i="4"/>
  <c r="V613" i="4"/>
  <c r="U613" i="4"/>
  <c r="T613" i="4"/>
  <c r="S613" i="4"/>
  <c r="R613" i="4"/>
  <c r="Q613" i="4"/>
  <c r="P613" i="4"/>
  <c r="D613" i="4"/>
  <c r="C613" i="4"/>
  <c r="R612" i="4"/>
  <c r="M612" i="4"/>
  <c r="L612" i="4"/>
  <c r="K612" i="4"/>
  <c r="J612" i="4"/>
  <c r="I612" i="4"/>
  <c r="H612" i="4"/>
  <c r="G612" i="4"/>
  <c r="F612" i="4"/>
  <c r="E612" i="4"/>
  <c r="R611" i="4"/>
  <c r="M611" i="4"/>
  <c r="L611" i="4"/>
  <c r="K611" i="4"/>
  <c r="J611" i="4"/>
  <c r="I611" i="4"/>
  <c r="H611" i="4"/>
  <c r="G611" i="4"/>
  <c r="F611" i="4"/>
  <c r="E611" i="4"/>
  <c r="R610" i="4"/>
  <c r="M610" i="4"/>
  <c r="L610" i="4"/>
  <c r="K610" i="4"/>
  <c r="J610" i="4"/>
  <c r="I610" i="4"/>
  <c r="H610" i="4"/>
  <c r="G610" i="4"/>
  <c r="F610" i="4"/>
  <c r="E610" i="4"/>
  <c r="R609" i="4"/>
  <c r="M609" i="4"/>
  <c r="L609" i="4"/>
  <c r="K609" i="4"/>
  <c r="J609" i="4"/>
  <c r="I609" i="4"/>
  <c r="H609" i="4"/>
  <c r="G609" i="4"/>
  <c r="F609" i="4"/>
  <c r="E609" i="4"/>
  <c r="R608" i="4"/>
  <c r="M608" i="4"/>
  <c r="L608" i="4"/>
  <c r="K608" i="4"/>
  <c r="J608" i="4"/>
  <c r="I608" i="4"/>
  <c r="H608" i="4"/>
  <c r="G608" i="4"/>
  <c r="F608" i="4"/>
  <c r="E608" i="4"/>
  <c r="R607" i="4"/>
  <c r="M607" i="4"/>
  <c r="L607" i="4"/>
  <c r="K607" i="4"/>
  <c r="J607" i="4"/>
  <c r="I607" i="4"/>
  <c r="H607" i="4"/>
  <c r="G607" i="4"/>
  <c r="F607" i="4"/>
  <c r="E607" i="4"/>
  <c r="R606" i="4"/>
  <c r="M606" i="4"/>
  <c r="L606" i="4"/>
  <c r="K606" i="4"/>
  <c r="J606" i="4"/>
  <c r="I606" i="4"/>
  <c r="H606" i="4"/>
  <c r="G606" i="4"/>
  <c r="F606" i="4"/>
  <c r="E606" i="4"/>
  <c r="R605" i="4"/>
  <c r="M605" i="4"/>
  <c r="L605" i="4"/>
  <c r="K605" i="4"/>
  <c r="J605" i="4"/>
  <c r="I605" i="4"/>
  <c r="H605" i="4"/>
  <c r="G605" i="4"/>
  <c r="F605" i="4"/>
  <c r="E605" i="4"/>
  <c r="R604" i="4"/>
  <c r="M604" i="4"/>
  <c r="L604" i="4"/>
  <c r="K604" i="4"/>
  <c r="J604" i="4"/>
  <c r="I604" i="4"/>
  <c r="H604" i="4"/>
  <c r="G604" i="4"/>
  <c r="F604" i="4"/>
  <c r="E604" i="4"/>
  <c r="R603" i="4"/>
  <c r="M603" i="4"/>
  <c r="L603" i="4"/>
  <c r="K603" i="4"/>
  <c r="J603" i="4"/>
  <c r="I603" i="4"/>
  <c r="H603" i="4"/>
  <c r="G603" i="4"/>
  <c r="F603" i="4"/>
  <c r="E603" i="4"/>
  <c r="R602" i="4"/>
  <c r="M602" i="4"/>
  <c r="L602" i="4"/>
  <c r="K602" i="4"/>
  <c r="J602" i="4"/>
  <c r="I602" i="4"/>
  <c r="H602" i="4"/>
  <c r="G602" i="4"/>
  <c r="F602" i="4"/>
  <c r="E602" i="4"/>
  <c r="R601" i="4"/>
  <c r="M601" i="4"/>
  <c r="L601" i="4"/>
  <c r="K601" i="4"/>
  <c r="J601" i="4"/>
  <c r="I601" i="4"/>
  <c r="H601" i="4"/>
  <c r="G601" i="4"/>
  <c r="F601" i="4"/>
  <c r="E601" i="4"/>
  <c r="R600" i="4"/>
  <c r="M600" i="4"/>
  <c r="L600" i="4"/>
  <c r="K600" i="4"/>
  <c r="J600" i="4"/>
  <c r="I600" i="4"/>
  <c r="H600" i="4"/>
  <c r="G600" i="4"/>
  <c r="F600" i="4"/>
  <c r="E600" i="4"/>
  <c r="T599" i="4"/>
  <c r="S599" i="4"/>
  <c r="R599" i="4"/>
  <c r="O599" i="4"/>
  <c r="N599" i="4"/>
  <c r="M599" i="4"/>
  <c r="L599" i="4"/>
  <c r="K599" i="4"/>
  <c r="J599" i="4"/>
  <c r="I599" i="4"/>
  <c r="H599" i="4"/>
  <c r="G599" i="4"/>
  <c r="F599" i="4"/>
  <c r="E599" i="4"/>
  <c r="D599" i="4"/>
  <c r="C599" i="4"/>
  <c r="T598" i="4"/>
  <c r="S598" i="4"/>
  <c r="R598" i="4"/>
  <c r="D598" i="4"/>
  <c r="C598" i="4"/>
  <c r="T597" i="4"/>
  <c r="S597" i="4"/>
  <c r="R597" i="4"/>
  <c r="D597" i="4"/>
  <c r="C597" i="4"/>
  <c r="U596" i="4"/>
  <c r="T596" i="4"/>
  <c r="S596" i="4"/>
  <c r="R596" i="4"/>
  <c r="P596" i="4"/>
  <c r="D596" i="4"/>
  <c r="C596" i="4"/>
  <c r="T595" i="4"/>
  <c r="S595" i="4"/>
  <c r="R595" i="4"/>
  <c r="D595" i="4"/>
  <c r="C595" i="4"/>
  <c r="T594" i="4"/>
  <c r="S594" i="4"/>
  <c r="R594" i="4"/>
  <c r="D594" i="4"/>
  <c r="C594" i="4"/>
  <c r="T593" i="4"/>
  <c r="S593" i="4"/>
  <c r="R593" i="4"/>
  <c r="D593" i="4"/>
  <c r="C593" i="4"/>
  <c r="T592" i="4"/>
  <c r="S592" i="4"/>
  <c r="R592" i="4"/>
  <c r="D592" i="4"/>
  <c r="C592" i="4"/>
  <c r="R591" i="4"/>
  <c r="M591" i="4"/>
  <c r="L591" i="4"/>
  <c r="K591" i="4"/>
  <c r="J591" i="4"/>
  <c r="I591" i="4"/>
  <c r="H591" i="4"/>
  <c r="G591" i="4"/>
  <c r="F591" i="4"/>
  <c r="E591" i="4"/>
  <c r="R590" i="4"/>
  <c r="M590" i="4"/>
  <c r="L590" i="4"/>
  <c r="K590" i="4"/>
  <c r="J590" i="4"/>
  <c r="I590" i="4"/>
  <c r="H590" i="4"/>
  <c r="G590" i="4"/>
  <c r="F590" i="4"/>
  <c r="E590" i="4"/>
  <c r="T589" i="4"/>
  <c r="S589" i="4"/>
  <c r="R589" i="4"/>
  <c r="O589" i="4"/>
  <c r="N589" i="4"/>
  <c r="M589" i="4"/>
  <c r="L589" i="4"/>
  <c r="K589" i="4"/>
  <c r="J589" i="4"/>
  <c r="I589" i="4"/>
  <c r="H589" i="4"/>
  <c r="G589" i="4"/>
  <c r="F589" i="4"/>
  <c r="E589" i="4"/>
  <c r="D589" i="4"/>
  <c r="C589" i="4"/>
  <c r="S588" i="4"/>
  <c r="R588" i="4"/>
  <c r="N588" i="4"/>
  <c r="M588" i="4"/>
  <c r="L588" i="4"/>
  <c r="K588" i="4"/>
  <c r="J588" i="4"/>
  <c r="I588" i="4"/>
  <c r="H588" i="4"/>
  <c r="G588" i="4"/>
  <c r="F588" i="4"/>
  <c r="E588" i="4"/>
  <c r="R587" i="4"/>
  <c r="M587" i="4"/>
  <c r="L587" i="4"/>
  <c r="K587" i="4"/>
  <c r="J587" i="4"/>
  <c r="I587" i="4"/>
  <c r="H587" i="4"/>
  <c r="G587" i="4"/>
  <c r="F587" i="4"/>
  <c r="E587" i="4"/>
  <c r="R586" i="4"/>
  <c r="M586" i="4"/>
  <c r="L586" i="4"/>
  <c r="K586" i="4"/>
  <c r="J586" i="4"/>
  <c r="I586" i="4"/>
  <c r="H586" i="4"/>
  <c r="G586" i="4"/>
  <c r="F586" i="4"/>
  <c r="E586" i="4"/>
  <c r="T585" i="4"/>
  <c r="S585" i="4"/>
  <c r="R585" i="4"/>
  <c r="O585" i="4"/>
  <c r="N585" i="4"/>
  <c r="M585" i="4"/>
  <c r="L585" i="4"/>
  <c r="K585" i="4"/>
  <c r="J585" i="4"/>
  <c r="I585" i="4"/>
  <c r="H585" i="4"/>
  <c r="G585" i="4"/>
  <c r="F585" i="4"/>
  <c r="E585" i="4"/>
  <c r="D585" i="4"/>
  <c r="C585" i="4"/>
  <c r="T584" i="4"/>
  <c r="S584" i="4"/>
  <c r="R584" i="4"/>
  <c r="O584" i="4"/>
  <c r="N584" i="4"/>
  <c r="M584" i="4"/>
  <c r="L584" i="4"/>
  <c r="K584" i="4"/>
  <c r="J584" i="4"/>
  <c r="I584" i="4"/>
  <c r="H584" i="4"/>
  <c r="G584" i="4"/>
  <c r="F584" i="4"/>
  <c r="E584" i="4"/>
  <c r="D584" i="4"/>
  <c r="C584" i="4"/>
  <c r="V583" i="4"/>
  <c r="U583" i="4"/>
  <c r="T583" i="4"/>
  <c r="S583" i="4"/>
  <c r="R583" i="4"/>
  <c r="Q583" i="4"/>
  <c r="P583" i="4"/>
  <c r="D583" i="4"/>
  <c r="C583" i="4"/>
  <c r="R582" i="4"/>
  <c r="M582" i="4"/>
  <c r="L582" i="4"/>
  <c r="K582" i="4"/>
  <c r="J582" i="4"/>
  <c r="I582" i="4"/>
  <c r="H582" i="4"/>
  <c r="G582" i="4"/>
  <c r="F582" i="4"/>
  <c r="E582" i="4"/>
  <c r="S581" i="4"/>
  <c r="R581" i="4"/>
  <c r="N581" i="4"/>
  <c r="M581" i="4"/>
  <c r="L581" i="4"/>
  <c r="K581" i="4"/>
  <c r="J581" i="4"/>
  <c r="I581" i="4"/>
  <c r="H581" i="4"/>
  <c r="G581" i="4"/>
  <c r="F581" i="4"/>
  <c r="E581" i="4"/>
  <c r="R580" i="4"/>
  <c r="M580" i="4"/>
  <c r="L580" i="4"/>
  <c r="K580" i="4"/>
  <c r="J580" i="4"/>
  <c r="I580" i="4"/>
  <c r="H580" i="4"/>
  <c r="G580" i="4"/>
  <c r="F580" i="4"/>
  <c r="E580" i="4"/>
  <c r="S579" i="4"/>
  <c r="R579" i="4"/>
  <c r="N579" i="4"/>
  <c r="M579" i="4"/>
  <c r="L579" i="4"/>
  <c r="K579" i="4"/>
  <c r="J579" i="4"/>
  <c r="I579" i="4"/>
  <c r="H579" i="4"/>
  <c r="G579" i="4"/>
  <c r="F579" i="4"/>
  <c r="E579" i="4"/>
  <c r="R578" i="4"/>
  <c r="M578" i="4"/>
  <c r="L578" i="4"/>
  <c r="K578" i="4"/>
  <c r="J578" i="4"/>
  <c r="I578" i="4"/>
  <c r="H578" i="4"/>
  <c r="G578" i="4"/>
  <c r="F578" i="4"/>
  <c r="E578" i="4"/>
  <c r="R577" i="4"/>
  <c r="M577" i="4"/>
  <c r="L577" i="4"/>
  <c r="K577" i="4"/>
  <c r="J577" i="4"/>
  <c r="I577" i="4"/>
  <c r="H577" i="4"/>
  <c r="G577" i="4"/>
  <c r="F577" i="4"/>
  <c r="E577" i="4"/>
  <c r="S576" i="4"/>
  <c r="R576" i="4"/>
  <c r="N576" i="4"/>
  <c r="M576" i="4"/>
  <c r="L576" i="4"/>
  <c r="K576" i="4"/>
  <c r="J576" i="4"/>
  <c r="I576" i="4"/>
  <c r="H576" i="4"/>
  <c r="G576" i="4"/>
  <c r="F576" i="4"/>
  <c r="E576" i="4"/>
  <c r="R575" i="4"/>
  <c r="M575" i="4"/>
  <c r="L575" i="4"/>
  <c r="K575" i="4"/>
  <c r="J575" i="4"/>
  <c r="I575" i="4"/>
  <c r="H575" i="4"/>
  <c r="G575" i="4"/>
  <c r="F575" i="4"/>
  <c r="E575" i="4"/>
  <c r="R574" i="4"/>
  <c r="M574" i="4"/>
  <c r="L574" i="4"/>
  <c r="K574" i="4"/>
  <c r="J574" i="4"/>
  <c r="I574" i="4"/>
  <c r="H574" i="4"/>
  <c r="G574" i="4"/>
  <c r="F574" i="4"/>
  <c r="E574" i="4"/>
  <c r="T573" i="4"/>
  <c r="S573" i="4"/>
  <c r="R573" i="4"/>
  <c r="O573" i="4"/>
  <c r="N573" i="4"/>
  <c r="M573" i="4"/>
  <c r="L573" i="4"/>
  <c r="K573" i="4"/>
  <c r="J573" i="4"/>
  <c r="I573" i="4"/>
  <c r="H573" i="4"/>
  <c r="G573" i="4"/>
  <c r="F573" i="4"/>
  <c r="E573" i="4"/>
  <c r="D573" i="4"/>
  <c r="C573" i="4"/>
  <c r="T572" i="4"/>
  <c r="S572" i="4"/>
  <c r="R572" i="4"/>
  <c r="D572" i="4"/>
  <c r="C572" i="4"/>
  <c r="T571" i="4"/>
  <c r="S571" i="4"/>
  <c r="R571" i="4"/>
  <c r="D571" i="4"/>
  <c r="C571" i="4"/>
  <c r="R570" i="4"/>
  <c r="M570" i="4"/>
  <c r="L570" i="4"/>
  <c r="K570" i="4"/>
  <c r="J570" i="4"/>
  <c r="I570" i="4"/>
  <c r="H570" i="4"/>
  <c r="G570" i="4"/>
  <c r="F570" i="4"/>
  <c r="E570" i="4"/>
  <c r="S569" i="4"/>
  <c r="R569" i="4"/>
  <c r="N569" i="4"/>
  <c r="M569" i="4"/>
  <c r="L569" i="4"/>
  <c r="K569" i="4"/>
  <c r="J569" i="4"/>
  <c r="I569" i="4"/>
  <c r="H569" i="4"/>
  <c r="G569" i="4"/>
  <c r="F569" i="4"/>
  <c r="E569" i="4"/>
  <c r="R568" i="4"/>
  <c r="M568" i="4"/>
  <c r="L568" i="4"/>
  <c r="K568" i="4"/>
  <c r="J568" i="4"/>
  <c r="I568" i="4"/>
  <c r="H568" i="4"/>
  <c r="G568" i="4"/>
  <c r="F568" i="4"/>
  <c r="E568" i="4"/>
  <c r="S567" i="4"/>
  <c r="R567" i="4"/>
  <c r="N567" i="4"/>
  <c r="M567" i="4"/>
  <c r="L567" i="4"/>
  <c r="K567" i="4"/>
  <c r="J567" i="4"/>
  <c r="I567" i="4"/>
  <c r="H567" i="4"/>
  <c r="G567" i="4"/>
  <c r="F567" i="4"/>
  <c r="E567" i="4"/>
  <c r="R566" i="4"/>
  <c r="M566" i="4"/>
  <c r="L566" i="4"/>
  <c r="K566" i="4"/>
  <c r="J566" i="4"/>
  <c r="I566" i="4"/>
  <c r="H566" i="4"/>
  <c r="G566" i="4"/>
  <c r="F566" i="4"/>
  <c r="E566" i="4"/>
  <c r="U565" i="4"/>
  <c r="T565" i="4"/>
  <c r="S565" i="4"/>
  <c r="R565" i="4"/>
  <c r="P565" i="4"/>
  <c r="O565" i="4"/>
  <c r="N565" i="4"/>
  <c r="M565" i="4"/>
  <c r="L565" i="4"/>
  <c r="K565" i="4"/>
  <c r="J565" i="4"/>
  <c r="I565" i="4"/>
  <c r="H565" i="4"/>
  <c r="G565" i="4"/>
  <c r="F565" i="4"/>
  <c r="E565" i="4"/>
  <c r="D565" i="4"/>
  <c r="C565" i="4"/>
  <c r="T564" i="4"/>
  <c r="S564" i="4"/>
  <c r="R564" i="4"/>
  <c r="D564" i="4"/>
  <c r="C564" i="4"/>
  <c r="T563" i="4"/>
  <c r="S563" i="4"/>
  <c r="R563" i="4"/>
  <c r="D563" i="4"/>
  <c r="C563" i="4"/>
  <c r="R562" i="4"/>
  <c r="M562" i="4"/>
  <c r="L562" i="4"/>
  <c r="K562" i="4"/>
  <c r="J562" i="4"/>
  <c r="I562" i="4"/>
  <c r="H562" i="4"/>
  <c r="G562" i="4"/>
  <c r="F562" i="4"/>
  <c r="E562" i="4"/>
  <c r="S561" i="4"/>
  <c r="R561" i="4"/>
  <c r="N561" i="4"/>
  <c r="M561" i="4"/>
  <c r="L561" i="4"/>
  <c r="K561" i="4"/>
  <c r="J561" i="4"/>
  <c r="I561" i="4"/>
  <c r="H561" i="4"/>
  <c r="G561" i="4"/>
  <c r="F561" i="4"/>
  <c r="E561" i="4"/>
  <c r="S560" i="4"/>
  <c r="R560" i="4"/>
  <c r="N560" i="4"/>
  <c r="M560" i="4"/>
  <c r="L560" i="4"/>
  <c r="K560" i="4"/>
  <c r="J560" i="4"/>
  <c r="I560" i="4"/>
  <c r="H560" i="4"/>
  <c r="G560" i="4"/>
  <c r="F560" i="4"/>
  <c r="E560" i="4"/>
  <c r="R559" i="4"/>
  <c r="M559" i="4"/>
  <c r="L559" i="4"/>
  <c r="K559" i="4"/>
  <c r="J559" i="4"/>
  <c r="I559" i="4"/>
  <c r="H559" i="4"/>
  <c r="G559" i="4"/>
  <c r="F559" i="4"/>
  <c r="E559" i="4"/>
  <c r="T558" i="4"/>
  <c r="S558" i="4"/>
  <c r="R558" i="4"/>
  <c r="O558" i="4"/>
  <c r="N558" i="4"/>
  <c r="M558" i="4"/>
  <c r="L558" i="4"/>
  <c r="K558" i="4"/>
  <c r="J558" i="4"/>
  <c r="I558" i="4"/>
  <c r="H558" i="4"/>
  <c r="G558" i="4"/>
  <c r="F558" i="4"/>
  <c r="E558" i="4"/>
  <c r="D558" i="4"/>
  <c r="C558" i="4"/>
  <c r="R557" i="4"/>
  <c r="M557" i="4"/>
  <c r="L557" i="4"/>
  <c r="K557" i="4"/>
  <c r="J557" i="4"/>
  <c r="I557" i="4"/>
  <c r="H557" i="4"/>
  <c r="G557" i="4"/>
  <c r="F557" i="4"/>
  <c r="E557" i="4"/>
  <c r="S556" i="4"/>
  <c r="R556" i="4"/>
  <c r="N556" i="4"/>
  <c r="M556" i="4"/>
  <c r="L556" i="4"/>
  <c r="K556" i="4"/>
  <c r="J556" i="4"/>
  <c r="I556" i="4"/>
  <c r="H556" i="4"/>
  <c r="G556" i="4"/>
  <c r="F556" i="4"/>
  <c r="E556" i="4"/>
  <c r="S555" i="4"/>
  <c r="R555" i="4"/>
  <c r="N555" i="4"/>
  <c r="M555" i="4"/>
  <c r="L555" i="4"/>
  <c r="K555" i="4"/>
  <c r="J555" i="4"/>
  <c r="I555" i="4"/>
  <c r="H555" i="4"/>
  <c r="G555" i="4"/>
  <c r="F555" i="4"/>
  <c r="E555" i="4"/>
  <c r="R554" i="4"/>
  <c r="M554" i="4"/>
  <c r="L554" i="4"/>
  <c r="K554" i="4"/>
  <c r="J554" i="4"/>
  <c r="I554" i="4"/>
  <c r="H554" i="4"/>
  <c r="G554" i="4"/>
  <c r="F554" i="4"/>
  <c r="E554" i="4"/>
  <c r="R553" i="4"/>
  <c r="M553" i="4"/>
  <c r="L553" i="4"/>
  <c r="K553" i="4"/>
  <c r="J553" i="4"/>
  <c r="I553" i="4"/>
  <c r="H553" i="4"/>
  <c r="G553" i="4"/>
  <c r="F553" i="4"/>
  <c r="E553" i="4"/>
  <c r="R552" i="4"/>
  <c r="M552" i="4"/>
  <c r="L552" i="4"/>
  <c r="K552" i="4"/>
  <c r="J552" i="4"/>
  <c r="I552" i="4"/>
  <c r="H552" i="4"/>
  <c r="G552" i="4"/>
  <c r="F552" i="4"/>
  <c r="E552" i="4"/>
  <c r="T551" i="4"/>
  <c r="S551" i="4"/>
  <c r="R551" i="4"/>
  <c r="O551" i="4"/>
  <c r="N551" i="4"/>
  <c r="M551" i="4"/>
  <c r="L551" i="4"/>
  <c r="K551" i="4"/>
  <c r="J551" i="4"/>
  <c r="I551" i="4"/>
  <c r="H551" i="4"/>
  <c r="G551" i="4"/>
  <c r="F551" i="4"/>
  <c r="E551" i="4"/>
  <c r="D551" i="4"/>
  <c r="C551" i="4"/>
  <c r="T550" i="4"/>
  <c r="S550" i="4"/>
  <c r="R550" i="4"/>
  <c r="D550" i="4"/>
  <c r="C550" i="4"/>
  <c r="T549" i="4"/>
  <c r="S549" i="4"/>
  <c r="R549" i="4"/>
  <c r="D549" i="4"/>
  <c r="C549" i="4"/>
  <c r="T548" i="4"/>
  <c r="S548" i="4"/>
  <c r="R548" i="4"/>
  <c r="D548" i="4"/>
  <c r="C548" i="4"/>
  <c r="T547" i="4"/>
  <c r="S547" i="4"/>
  <c r="R547" i="4"/>
  <c r="D547" i="4"/>
  <c r="C547" i="4"/>
  <c r="U546" i="4"/>
  <c r="T546" i="4"/>
  <c r="S546" i="4"/>
  <c r="R546" i="4"/>
  <c r="P546" i="4"/>
  <c r="D546" i="4"/>
  <c r="C546" i="4"/>
  <c r="R545" i="4"/>
  <c r="M545" i="4"/>
  <c r="L545" i="4"/>
  <c r="K545" i="4"/>
  <c r="J545" i="4"/>
  <c r="I545" i="4"/>
  <c r="H545" i="4"/>
  <c r="G545" i="4"/>
  <c r="F545" i="4"/>
  <c r="E545" i="4"/>
  <c r="R544" i="4"/>
  <c r="M544" i="4"/>
  <c r="L544" i="4"/>
  <c r="K544" i="4"/>
  <c r="J544" i="4"/>
  <c r="I544" i="4"/>
  <c r="H544" i="4"/>
  <c r="G544" i="4"/>
  <c r="F544" i="4"/>
  <c r="E544" i="4"/>
  <c r="R543" i="4"/>
  <c r="M543" i="4"/>
  <c r="L543" i="4"/>
  <c r="K543" i="4"/>
  <c r="J543" i="4"/>
  <c r="I543" i="4"/>
  <c r="H543" i="4"/>
  <c r="G543" i="4"/>
  <c r="F543" i="4"/>
  <c r="E543" i="4"/>
  <c r="S542" i="4"/>
  <c r="R542" i="4"/>
  <c r="N542" i="4"/>
  <c r="M542" i="4"/>
  <c r="L542" i="4"/>
  <c r="K542" i="4"/>
  <c r="J542" i="4"/>
  <c r="I542" i="4"/>
  <c r="H542" i="4"/>
  <c r="G542" i="4"/>
  <c r="F542" i="4"/>
  <c r="E542" i="4"/>
  <c r="R541" i="4"/>
  <c r="M541" i="4"/>
  <c r="L541" i="4"/>
  <c r="K541" i="4"/>
  <c r="J541" i="4"/>
  <c r="I541" i="4"/>
  <c r="H541" i="4"/>
  <c r="G541" i="4"/>
  <c r="F541" i="4"/>
  <c r="E541" i="4"/>
  <c r="R540" i="4"/>
  <c r="M540" i="4"/>
  <c r="L540" i="4"/>
  <c r="K540" i="4"/>
  <c r="J540" i="4"/>
  <c r="I540" i="4"/>
  <c r="H540" i="4"/>
  <c r="G540" i="4"/>
  <c r="F540" i="4"/>
  <c r="E540" i="4"/>
  <c r="R539" i="4"/>
  <c r="M539" i="4"/>
  <c r="L539" i="4"/>
  <c r="K539" i="4"/>
  <c r="J539" i="4"/>
  <c r="I539" i="4"/>
  <c r="H539" i="4"/>
  <c r="G539" i="4"/>
  <c r="F539" i="4"/>
  <c r="E539" i="4"/>
  <c r="T538" i="4"/>
  <c r="S538" i="4"/>
  <c r="R538" i="4"/>
  <c r="O538" i="4"/>
  <c r="N538" i="4"/>
  <c r="M538" i="4"/>
  <c r="L538" i="4"/>
  <c r="K538" i="4"/>
  <c r="J538" i="4"/>
  <c r="I538" i="4"/>
  <c r="H538" i="4"/>
  <c r="G538" i="4"/>
  <c r="F538" i="4"/>
  <c r="E538" i="4"/>
  <c r="D538" i="4"/>
  <c r="C538" i="4"/>
  <c r="R537" i="4"/>
  <c r="M537" i="4"/>
  <c r="L537" i="4"/>
  <c r="K537" i="4"/>
  <c r="J537" i="4"/>
  <c r="I537" i="4"/>
  <c r="H537" i="4"/>
  <c r="G537" i="4"/>
  <c r="F537" i="4"/>
  <c r="E537" i="4"/>
  <c r="R536" i="4"/>
  <c r="M536" i="4"/>
  <c r="L536" i="4"/>
  <c r="K536" i="4"/>
  <c r="J536" i="4"/>
  <c r="I536" i="4"/>
  <c r="H536" i="4"/>
  <c r="G536" i="4"/>
  <c r="F536" i="4"/>
  <c r="E536" i="4"/>
  <c r="R535" i="4"/>
  <c r="M535" i="4"/>
  <c r="L535" i="4"/>
  <c r="K535" i="4"/>
  <c r="J535" i="4"/>
  <c r="I535" i="4"/>
  <c r="H535" i="4"/>
  <c r="G535" i="4"/>
  <c r="F535" i="4"/>
  <c r="E535" i="4"/>
  <c r="T534" i="4"/>
  <c r="S534" i="4"/>
  <c r="R534" i="4"/>
  <c r="O534" i="4"/>
  <c r="N534" i="4"/>
  <c r="M534" i="4"/>
  <c r="L534" i="4"/>
  <c r="K534" i="4"/>
  <c r="J534" i="4"/>
  <c r="I534" i="4"/>
  <c r="H534" i="4"/>
  <c r="G534" i="4"/>
  <c r="F534" i="4"/>
  <c r="E534" i="4"/>
  <c r="D534" i="4"/>
  <c r="C534" i="4"/>
  <c r="T533" i="4"/>
  <c r="S533" i="4"/>
  <c r="R533" i="4"/>
  <c r="D533" i="4"/>
  <c r="C533" i="4"/>
  <c r="T532" i="4"/>
  <c r="S532" i="4"/>
  <c r="R532" i="4"/>
  <c r="D532" i="4"/>
  <c r="C532" i="4"/>
  <c r="T531" i="4"/>
  <c r="S531" i="4"/>
  <c r="R531" i="4"/>
  <c r="D531" i="4"/>
  <c r="C531" i="4"/>
  <c r="S530" i="4"/>
  <c r="R530" i="4"/>
  <c r="N530" i="4"/>
  <c r="M530" i="4"/>
  <c r="L530" i="4"/>
  <c r="K530" i="4"/>
  <c r="J530" i="4"/>
  <c r="I530" i="4"/>
  <c r="H530" i="4"/>
  <c r="G530" i="4"/>
  <c r="F530" i="4"/>
  <c r="E530" i="4"/>
  <c r="S529" i="4"/>
  <c r="R529" i="4"/>
  <c r="N529" i="4"/>
  <c r="M529" i="4"/>
  <c r="L529" i="4"/>
  <c r="K529" i="4"/>
  <c r="J529" i="4"/>
  <c r="I529" i="4"/>
  <c r="H529" i="4"/>
  <c r="G529" i="4"/>
  <c r="F529" i="4"/>
  <c r="E529" i="4"/>
  <c r="T528" i="4"/>
  <c r="S528" i="4"/>
  <c r="R528" i="4"/>
  <c r="O528" i="4"/>
  <c r="N528" i="4"/>
  <c r="M528" i="4"/>
  <c r="L528" i="4"/>
  <c r="K528" i="4"/>
  <c r="J528" i="4"/>
  <c r="I528" i="4"/>
  <c r="H528" i="4"/>
  <c r="G528" i="4"/>
  <c r="F528" i="4"/>
  <c r="E528" i="4"/>
  <c r="D528" i="4"/>
  <c r="C528" i="4"/>
  <c r="S527" i="4"/>
  <c r="R527" i="4"/>
  <c r="N527" i="4"/>
  <c r="M527" i="4"/>
  <c r="L527" i="4"/>
  <c r="K527" i="4"/>
  <c r="J527" i="4"/>
  <c r="I527" i="4"/>
  <c r="H527" i="4"/>
  <c r="G527" i="4"/>
  <c r="F527" i="4"/>
  <c r="E527" i="4"/>
  <c r="S526" i="4"/>
  <c r="R526" i="4"/>
  <c r="N526" i="4"/>
  <c r="M526" i="4"/>
  <c r="L526" i="4"/>
  <c r="K526" i="4"/>
  <c r="J526" i="4"/>
  <c r="I526" i="4"/>
  <c r="H526" i="4"/>
  <c r="G526" i="4"/>
  <c r="F526" i="4"/>
  <c r="E526" i="4"/>
  <c r="S525" i="4"/>
  <c r="R525" i="4"/>
  <c r="N525" i="4"/>
  <c r="M525" i="4"/>
  <c r="L525" i="4"/>
  <c r="K525" i="4"/>
  <c r="J525" i="4"/>
  <c r="I525" i="4"/>
  <c r="H525" i="4"/>
  <c r="G525" i="4"/>
  <c r="F525" i="4"/>
  <c r="E525" i="4"/>
  <c r="R524" i="4"/>
  <c r="M524" i="4"/>
  <c r="L524" i="4"/>
  <c r="K524" i="4"/>
  <c r="J524" i="4"/>
  <c r="I524" i="4"/>
  <c r="H524" i="4"/>
  <c r="G524" i="4"/>
  <c r="F524" i="4"/>
  <c r="E524" i="4"/>
  <c r="T523" i="4"/>
  <c r="S523" i="4"/>
  <c r="R523" i="4"/>
  <c r="O523" i="4"/>
  <c r="N523" i="4"/>
  <c r="M523" i="4"/>
  <c r="L523" i="4"/>
  <c r="K523" i="4"/>
  <c r="J523" i="4"/>
  <c r="I523" i="4"/>
  <c r="H523" i="4"/>
  <c r="G523" i="4"/>
  <c r="F523" i="4"/>
  <c r="E523" i="4"/>
  <c r="D523" i="4"/>
  <c r="C523" i="4"/>
  <c r="R522" i="4"/>
  <c r="M522" i="4"/>
  <c r="L522" i="4"/>
  <c r="K522" i="4"/>
  <c r="J522" i="4"/>
  <c r="I522" i="4"/>
  <c r="H522" i="4"/>
  <c r="G522" i="4"/>
  <c r="F522" i="4"/>
  <c r="E522" i="4"/>
  <c r="R521" i="4"/>
  <c r="M521" i="4"/>
  <c r="L521" i="4"/>
  <c r="K521" i="4"/>
  <c r="J521" i="4"/>
  <c r="I521" i="4"/>
  <c r="H521" i="4"/>
  <c r="G521" i="4"/>
  <c r="F521" i="4"/>
  <c r="E521" i="4"/>
  <c r="S520" i="4"/>
  <c r="R520" i="4"/>
  <c r="N520" i="4"/>
  <c r="M520" i="4"/>
  <c r="L520" i="4"/>
  <c r="K520" i="4"/>
  <c r="J520" i="4"/>
  <c r="I520" i="4"/>
  <c r="H520" i="4"/>
  <c r="G520" i="4"/>
  <c r="F520" i="4"/>
  <c r="E520" i="4"/>
  <c r="R519" i="4"/>
  <c r="M519" i="4"/>
  <c r="L519" i="4"/>
  <c r="K519" i="4"/>
  <c r="J519" i="4"/>
  <c r="I519" i="4"/>
  <c r="H519" i="4"/>
  <c r="G519" i="4"/>
  <c r="F519" i="4"/>
  <c r="E519" i="4"/>
  <c r="R518" i="4"/>
  <c r="M518" i="4"/>
  <c r="L518" i="4"/>
  <c r="K518" i="4"/>
  <c r="J518" i="4"/>
  <c r="I518" i="4"/>
  <c r="H518" i="4"/>
  <c r="G518" i="4"/>
  <c r="F518" i="4"/>
  <c r="E518" i="4"/>
  <c r="V517" i="4"/>
  <c r="U517" i="4"/>
  <c r="T517" i="4"/>
  <c r="S517" i="4"/>
  <c r="R517" i="4"/>
  <c r="Q517" i="4"/>
  <c r="P517" i="4"/>
  <c r="O517" i="4"/>
  <c r="N517" i="4"/>
  <c r="M517" i="4"/>
  <c r="L517" i="4"/>
  <c r="K517" i="4"/>
  <c r="J517" i="4"/>
  <c r="I517" i="4"/>
  <c r="H517" i="4"/>
  <c r="G517" i="4"/>
  <c r="F517" i="4"/>
  <c r="E517" i="4"/>
  <c r="D517" i="4"/>
  <c r="C517" i="4"/>
  <c r="T516" i="4"/>
  <c r="S516" i="4"/>
  <c r="R516" i="4"/>
  <c r="D516" i="4"/>
  <c r="C516" i="4"/>
  <c r="T515" i="4"/>
  <c r="S515" i="4"/>
  <c r="R515" i="4"/>
  <c r="D515" i="4"/>
  <c r="C515" i="4"/>
  <c r="U514" i="4"/>
  <c r="T514" i="4"/>
  <c r="S514" i="4"/>
  <c r="R514" i="4"/>
  <c r="D514" i="4"/>
  <c r="C514" i="4"/>
  <c r="T513" i="4"/>
  <c r="S513" i="4"/>
  <c r="R513" i="4"/>
  <c r="D513" i="4"/>
  <c r="C513" i="4"/>
  <c r="T512" i="4"/>
  <c r="S512" i="4"/>
  <c r="R512" i="4"/>
  <c r="D512" i="4"/>
  <c r="C512" i="4"/>
  <c r="T511" i="4"/>
  <c r="S511" i="4"/>
  <c r="R511" i="4"/>
  <c r="D511" i="4"/>
  <c r="C511" i="4"/>
  <c r="T510" i="4"/>
  <c r="S510" i="4"/>
  <c r="R510" i="4"/>
  <c r="D510" i="4"/>
  <c r="C510" i="4"/>
  <c r="R509" i="4"/>
  <c r="M509" i="4"/>
  <c r="L509" i="4"/>
  <c r="K509" i="4"/>
  <c r="J509" i="4"/>
  <c r="I509" i="4"/>
  <c r="H509" i="4"/>
  <c r="G509" i="4"/>
  <c r="F509" i="4"/>
  <c r="E509" i="4"/>
  <c r="R508" i="4"/>
  <c r="M508" i="4"/>
  <c r="L508" i="4"/>
  <c r="K508" i="4"/>
  <c r="J508" i="4"/>
  <c r="I508" i="4"/>
  <c r="H508" i="4"/>
  <c r="G508" i="4"/>
  <c r="F508" i="4"/>
  <c r="E508" i="4"/>
  <c r="R507" i="4"/>
  <c r="M507" i="4"/>
  <c r="L507" i="4"/>
  <c r="K507" i="4"/>
  <c r="J507" i="4"/>
  <c r="I507" i="4"/>
  <c r="H507" i="4"/>
  <c r="G507" i="4"/>
  <c r="F507" i="4"/>
  <c r="E507" i="4"/>
  <c r="S506" i="4"/>
  <c r="R506" i="4"/>
  <c r="N506" i="4"/>
  <c r="M506" i="4"/>
  <c r="L506" i="4"/>
  <c r="K506" i="4"/>
  <c r="J506" i="4"/>
  <c r="I506" i="4"/>
  <c r="H506" i="4"/>
  <c r="G506" i="4"/>
  <c r="F506" i="4"/>
  <c r="E506" i="4"/>
  <c r="R505" i="4"/>
  <c r="M505" i="4"/>
  <c r="L505" i="4"/>
  <c r="K505" i="4"/>
  <c r="J505" i="4"/>
  <c r="I505" i="4"/>
  <c r="H505" i="4"/>
  <c r="G505" i="4"/>
  <c r="F505" i="4"/>
  <c r="E505" i="4"/>
  <c r="R504" i="4"/>
  <c r="M504" i="4"/>
  <c r="L504" i="4"/>
  <c r="K504" i="4"/>
  <c r="J504" i="4"/>
  <c r="I504" i="4"/>
  <c r="H504" i="4"/>
  <c r="G504" i="4"/>
  <c r="F504" i="4"/>
  <c r="E504" i="4"/>
  <c r="S503" i="4"/>
  <c r="R503" i="4"/>
  <c r="N503" i="4"/>
  <c r="M503" i="4"/>
  <c r="L503" i="4"/>
  <c r="K503" i="4"/>
  <c r="J503" i="4"/>
  <c r="I503" i="4"/>
  <c r="H503" i="4"/>
  <c r="G503" i="4"/>
  <c r="F503" i="4"/>
  <c r="E503" i="4"/>
  <c r="R502" i="4"/>
  <c r="M502" i="4"/>
  <c r="L502" i="4"/>
  <c r="K502" i="4"/>
  <c r="J502" i="4"/>
  <c r="I502" i="4"/>
  <c r="H502" i="4"/>
  <c r="G502" i="4"/>
  <c r="F502" i="4"/>
  <c r="E502" i="4"/>
  <c r="R501" i="4"/>
  <c r="M501" i="4"/>
  <c r="L501" i="4"/>
  <c r="K501" i="4"/>
  <c r="J501" i="4"/>
  <c r="I501" i="4"/>
  <c r="H501" i="4"/>
  <c r="G501" i="4"/>
  <c r="F501" i="4"/>
  <c r="E501" i="4"/>
  <c r="R500" i="4"/>
  <c r="M500" i="4"/>
  <c r="L500" i="4"/>
  <c r="K500" i="4"/>
  <c r="J500" i="4"/>
  <c r="I500" i="4"/>
  <c r="H500" i="4"/>
  <c r="G500" i="4"/>
  <c r="F500" i="4"/>
  <c r="E500" i="4"/>
  <c r="T499" i="4"/>
  <c r="S499" i="4"/>
  <c r="R499" i="4"/>
  <c r="O499" i="4"/>
  <c r="N499" i="4"/>
  <c r="M499" i="4"/>
  <c r="L499" i="4"/>
  <c r="K499" i="4"/>
  <c r="J499" i="4"/>
  <c r="I499" i="4"/>
  <c r="H499" i="4"/>
  <c r="G499" i="4"/>
  <c r="F499" i="4"/>
  <c r="E499" i="4"/>
  <c r="D499" i="4"/>
  <c r="C499" i="4"/>
  <c r="T498" i="4"/>
  <c r="S498" i="4"/>
  <c r="R498" i="4"/>
  <c r="D498" i="4"/>
  <c r="C498" i="4"/>
  <c r="T497" i="4"/>
  <c r="S497" i="4"/>
  <c r="R497" i="4"/>
  <c r="D497" i="4"/>
  <c r="C497" i="4"/>
  <c r="T496" i="4"/>
  <c r="S496" i="4"/>
  <c r="R496" i="4"/>
  <c r="D496" i="4"/>
  <c r="C496" i="4"/>
  <c r="V495" i="4"/>
  <c r="U495" i="4"/>
  <c r="T495" i="4"/>
  <c r="S495" i="4"/>
  <c r="R495" i="4"/>
  <c r="Q495" i="4"/>
  <c r="P495" i="4"/>
  <c r="D495" i="4"/>
  <c r="C495" i="4"/>
  <c r="T494" i="4"/>
  <c r="S494" i="4"/>
  <c r="R494" i="4"/>
  <c r="D494" i="4"/>
  <c r="C494" i="4"/>
  <c r="T493" i="4"/>
  <c r="S493" i="4"/>
  <c r="R493" i="4"/>
  <c r="D493" i="4"/>
  <c r="C493" i="4"/>
  <c r="T492" i="4"/>
  <c r="S492" i="4"/>
  <c r="R492" i="4"/>
  <c r="D492" i="4"/>
  <c r="C492" i="4"/>
  <c r="T491" i="4"/>
  <c r="S491" i="4"/>
  <c r="R491" i="4"/>
  <c r="D491" i="4"/>
  <c r="C491" i="4"/>
  <c r="T490" i="4"/>
  <c r="S490" i="4"/>
  <c r="R490" i="4"/>
  <c r="D490" i="4"/>
  <c r="C490" i="4"/>
  <c r="T489" i="4"/>
  <c r="S489" i="4"/>
  <c r="R489" i="4"/>
  <c r="O489" i="4"/>
  <c r="N489" i="4"/>
  <c r="M489" i="4"/>
  <c r="L489" i="4"/>
  <c r="K489" i="4"/>
  <c r="J489" i="4"/>
  <c r="I489" i="4"/>
  <c r="H489" i="4"/>
  <c r="G489" i="4"/>
  <c r="F489" i="4"/>
  <c r="E489" i="4"/>
  <c r="D489" i="4"/>
  <c r="C489" i="4"/>
  <c r="T488" i="4"/>
  <c r="S488" i="4"/>
  <c r="R488" i="4"/>
  <c r="D488" i="4"/>
  <c r="C488" i="4"/>
  <c r="U487" i="4"/>
  <c r="T487" i="4"/>
  <c r="S487" i="4"/>
  <c r="R487" i="4"/>
  <c r="P487" i="4"/>
  <c r="D487" i="4"/>
  <c r="C487" i="4"/>
  <c r="S486" i="4"/>
  <c r="R486" i="4"/>
  <c r="N486" i="4"/>
  <c r="M486" i="4"/>
  <c r="L486" i="4"/>
  <c r="K486" i="4"/>
  <c r="J486" i="4"/>
  <c r="I486" i="4"/>
  <c r="H486" i="4"/>
  <c r="G486" i="4"/>
  <c r="F486" i="4"/>
  <c r="E486" i="4"/>
  <c r="T485" i="4"/>
  <c r="S485" i="4"/>
  <c r="R485" i="4"/>
  <c r="O485" i="4"/>
  <c r="N485" i="4"/>
  <c r="M485" i="4"/>
  <c r="L485" i="4"/>
  <c r="K485" i="4"/>
  <c r="J485" i="4"/>
  <c r="I485" i="4"/>
  <c r="H485" i="4"/>
  <c r="G485" i="4"/>
  <c r="F485" i="4"/>
  <c r="E485" i="4"/>
  <c r="D485" i="4"/>
  <c r="C485" i="4"/>
  <c r="T484" i="4"/>
  <c r="S484" i="4"/>
  <c r="R484" i="4"/>
  <c r="D484" i="4"/>
  <c r="C484" i="4"/>
  <c r="T483" i="4"/>
  <c r="S483" i="4"/>
  <c r="R483" i="4"/>
  <c r="D483" i="4"/>
  <c r="C483" i="4"/>
  <c r="T482" i="4"/>
  <c r="S482" i="4"/>
  <c r="R482" i="4"/>
  <c r="D482" i="4"/>
  <c r="C482" i="4"/>
  <c r="T481" i="4"/>
  <c r="S481" i="4"/>
  <c r="R481" i="4"/>
  <c r="D481" i="4"/>
  <c r="C481" i="4"/>
  <c r="T480" i="4"/>
  <c r="S480" i="4"/>
  <c r="R480" i="4"/>
  <c r="D480" i="4"/>
  <c r="C480" i="4"/>
  <c r="T479" i="4"/>
  <c r="S479" i="4"/>
  <c r="R479" i="4"/>
  <c r="D479" i="4"/>
  <c r="C479" i="4"/>
  <c r="T478" i="4"/>
  <c r="S478" i="4"/>
  <c r="R478" i="4"/>
  <c r="D478" i="4"/>
  <c r="C478" i="4"/>
  <c r="S477" i="4"/>
  <c r="R477" i="4"/>
  <c r="N477" i="4"/>
  <c r="M477" i="4"/>
  <c r="L477" i="4"/>
  <c r="K477" i="4"/>
  <c r="J477" i="4"/>
  <c r="I477" i="4"/>
  <c r="H477" i="4"/>
  <c r="G477" i="4"/>
  <c r="F477" i="4"/>
  <c r="E477" i="4"/>
  <c r="T476" i="4"/>
  <c r="S476" i="4"/>
  <c r="R476" i="4"/>
  <c r="O476" i="4"/>
  <c r="N476" i="4"/>
  <c r="M476" i="4"/>
  <c r="L476" i="4"/>
  <c r="K476" i="4"/>
  <c r="J476" i="4"/>
  <c r="I476" i="4"/>
  <c r="H476" i="4"/>
  <c r="G476" i="4"/>
  <c r="F476" i="4"/>
  <c r="E476" i="4"/>
  <c r="D476" i="4"/>
  <c r="C476" i="4"/>
  <c r="R475" i="4"/>
  <c r="M475" i="4"/>
  <c r="L475" i="4"/>
  <c r="K475" i="4"/>
  <c r="J475" i="4"/>
  <c r="I475" i="4"/>
  <c r="H475" i="4"/>
  <c r="G475" i="4"/>
  <c r="F475" i="4"/>
  <c r="E475" i="4"/>
  <c r="S474" i="4"/>
  <c r="R474" i="4"/>
  <c r="N474" i="4"/>
  <c r="M474" i="4"/>
  <c r="L474" i="4"/>
  <c r="K474" i="4"/>
  <c r="J474" i="4"/>
  <c r="I474" i="4"/>
  <c r="H474" i="4"/>
  <c r="G474" i="4"/>
  <c r="F474" i="4"/>
  <c r="E474" i="4"/>
  <c r="R473" i="4"/>
  <c r="M473" i="4"/>
  <c r="L473" i="4"/>
  <c r="K473" i="4"/>
  <c r="J473" i="4"/>
  <c r="I473" i="4"/>
  <c r="H473" i="4"/>
  <c r="G473" i="4"/>
  <c r="F473" i="4"/>
  <c r="E473" i="4"/>
  <c r="R472" i="4"/>
  <c r="M472" i="4"/>
  <c r="L472" i="4"/>
  <c r="K472" i="4"/>
  <c r="J472" i="4"/>
  <c r="I472" i="4"/>
  <c r="H472" i="4"/>
  <c r="G472" i="4"/>
  <c r="F472" i="4"/>
  <c r="E472" i="4"/>
  <c r="S471" i="4"/>
  <c r="R471" i="4"/>
  <c r="N471" i="4"/>
  <c r="M471" i="4"/>
  <c r="L471" i="4"/>
  <c r="K471" i="4"/>
  <c r="J471" i="4"/>
  <c r="I471" i="4"/>
  <c r="H471" i="4"/>
  <c r="G471" i="4"/>
  <c r="F471" i="4"/>
  <c r="E471" i="4"/>
  <c r="V470" i="4"/>
  <c r="U470" i="4"/>
  <c r="T470" i="4"/>
  <c r="S470" i="4"/>
  <c r="R470" i="4"/>
  <c r="Q470" i="4"/>
  <c r="P470" i="4"/>
  <c r="O470" i="4"/>
  <c r="N470" i="4"/>
  <c r="M470" i="4"/>
  <c r="L470" i="4"/>
  <c r="K470" i="4"/>
  <c r="J470" i="4"/>
  <c r="I470" i="4"/>
  <c r="H470" i="4"/>
  <c r="G470" i="4"/>
  <c r="F470" i="4"/>
  <c r="E470" i="4"/>
  <c r="D470" i="4"/>
  <c r="C470" i="4"/>
  <c r="T469" i="4"/>
  <c r="S469" i="4"/>
  <c r="R469" i="4"/>
  <c r="D469" i="4"/>
  <c r="C469" i="4"/>
  <c r="T468" i="4"/>
  <c r="S468" i="4"/>
  <c r="R468" i="4"/>
  <c r="D468" i="4"/>
  <c r="C468" i="4"/>
  <c r="T467" i="4"/>
  <c r="S467" i="4"/>
  <c r="R467" i="4"/>
  <c r="D467" i="4"/>
  <c r="C467" i="4"/>
  <c r="T466" i="4"/>
  <c r="S466" i="4"/>
  <c r="R466" i="4"/>
  <c r="D466" i="4"/>
  <c r="C466" i="4"/>
  <c r="T465" i="4"/>
  <c r="S465" i="4"/>
  <c r="R465" i="4"/>
  <c r="D465" i="4"/>
  <c r="C465" i="4"/>
  <c r="T464" i="4"/>
  <c r="S464" i="4"/>
  <c r="R464" i="4"/>
  <c r="D464" i="4"/>
  <c r="C464" i="4"/>
  <c r="T463" i="4"/>
  <c r="S463" i="4"/>
  <c r="R463" i="4"/>
  <c r="D463" i="4"/>
  <c r="C463" i="4"/>
  <c r="U462" i="4"/>
  <c r="T462" i="4"/>
  <c r="S462" i="4"/>
  <c r="R462" i="4"/>
  <c r="D462" i="4"/>
  <c r="C462" i="4"/>
  <c r="T461" i="4"/>
  <c r="S461" i="4"/>
  <c r="R461" i="4"/>
  <c r="D461" i="4"/>
  <c r="C461" i="4"/>
  <c r="T460" i="4"/>
  <c r="S460" i="4"/>
  <c r="R460" i="4"/>
  <c r="D460" i="4"/>
  <c r="C460" i="4"/>
  <c r="T459" i="4"/>
  <c r="S459" i="4"/>
  <c r="R459" i="4"/>
  <c r="D459" i="4"/>
  <c r="C459" i="4"/>
  <c r="T458" i="4"/>
  <c r="S458" i="4"/>
  <c r="R458" i="4"/>
  <c r="D458" i="4"/>
  <c r="C458" i="4"/>
  <c r="T457" i="4"/>
  <c r="S457" i="4"/>
  <c r="R457" i="4"/>
  <c r="D457" i="4"/>
  <c r="C457" i="4"/>
  <c r="T456" i="4"/>
  <c r="S456" i="4"/>
  <c r="R456" i="4"/>
  <c r="D456" i="4"/>
  <c r="C456" i="4"/>
  <c r="T455" i="4"/>
  <c r="S455" i="4"/>
  <c r="R455" i="4"/>
  <c r="D455" i="4"/>
  <c r="C455" i="4"/>
  <c r="T454" i="4"/>
  <c r="S454" i="4"/>
  <c r="R454" i="4"/>
  <c r="D454" i="4"/>
  <c r="C454" i="4"/>
  <c r="T453" i="4"/>
  <c r="S453" i="4"/>
  <c r="R453" i="4"/>
  <c r="D453" i="4"/>
  <c r="C453" i="4"/>
  <c r="T452" i="4"/>
  <c r="S452" i="4"/>
  <c r="R452" i="4"/>
  <c r="D452" i="4"/>
  <c r="C452" i="4"/>
  <c r="V451" i="4"/>
  <c r="U451" i="4"/>
  <c r="T451" i="4"/>
  <c r="S451" i="4"/>
  <c r="R451" i="4"/>
  <c r="Q451" i="4"/>
  <c r="D451" i="4"/>
  <c r="C451" i="4"/>
  <c r="R450" i="4"/>
  <c r="M450" i="4"/>
  <c r="L450" i="4"/>
  <c r="K450" i="4"/>
  <c r="J450" i="4"/>
  <c r="I450" i="4"/>
  <c r="H450" i="4"/>
  <c r="G450" i="4"/>
  <c r="F450" i="4"/>
  <c r="E450" i="4"/>
  <c r="R449" i="4"/>
  <c r="M449" i="4"/>
  <c r="L449" i="4"/>
  <c r="K449" i="4"/>
  <c r="J449" i="4"/>
  <c r="I449" i="4"/>
  <c r="H449" i="4"/>
  <c r="G449" i="4"/>
  <c r="F449" i="4"/>
  <c r="E449" i="4"/>
  <c r="R448" i="4"/>
  <c r="M448" i="4"/>
  <c r="L448" i="4"/>
  <c r="K448" i="4"/>
  <c r="J448" i="4"/>
  <c r="I448" i="4"/>
  <c r="H448" i="4"/>
  <c r="G448" i="4"/>
  <c r="F448" i="4"/>
  <c r="E448" i="4"/>
  <c r="R447" i="4"/>
  <c r="M447" i="4"/>
  <c r="L447" i="4"/>
  <c r="K447" i="4"/>
  <c r="J447" i="4"/>
  <c r="I447" i="4"/>
  <c r="H447" i="4"/>
  <c r="G447" i="4"/>
  <c r="F447" i="4"/>
  <c r="E447" i="4"/>
  <c r="R446" i="4"/>
  <c r="M446" i="4"/>
  <c r="L446" i="4"/>
  <c r="K446" i="4"/>
  <c r="J446" i="4"/>
  <c r="I446" i="4"/>
  <c r="H446" i="4"/>
  <c r="G446" i="4"/>
  <c r="F446" i="4"/>
  <c r="E446" i="4"/>
  <c r="R445" i="4"/>
  <c r="M445" i="4"/>
  <c r="L445" i="4"/>
  <c r="K445" i="4"/>
  <c r="J445" i="4"/>
  <c r="I445" i="4"/>
  <c r="H445" i="4"/>
  <c r="G445" i="4"/>
  <c r="F445" i="4"/>
  <c r="E445" i="4"/>
  <c r="S444" i="4"/>
  <c r="R444" i="4"/>
  <c r="N444" i="4"/>
  <c r="M444" i="4"/>
  <c r="L444" i="4"/>
  <c r="K444" i="4"/>
  <c r="J444" i="4"/>
  <c r="I444" i="4"/>
  <c r="H444" i="4"/>
  <c r="G444" i="4"/>
  <c r="F444" i="4"/>
  <c r="E444" i="4"/>
  <c r="R443" i="4"/>
  <c r="M443" i="4"/>
  <c r="L443" i="4"/>
  <c r="K443" i="4"/>
  <c r="J443" i="4"/>
  <c r="I443" i="4"/>
  <c r="H443" i="4"/>
  <c r="G443" i="4"/>
  <c r="F443" i="4"/>
  <c r="E443" i="4"/>
  <c r="R442" i="4"/>
  <c r="M442" i="4"/>
  <c r="L442" i="4"/>
  <c r="K442" i="4"/>
  <c r="J442" i="4"/>
  <c r="I442" i="4"/>
  <c r="H442" i="4"/>
  <c r="G442" i="4"/>
  <c r="F442" i="4"/>
  <c r="E442" i="4"/>
  <c r="R441" i="4"/>
  <c r="M441" i="4"/>
  <c r="L441" i="4"/>
  <c r="K441" i="4"/>
  <c r="J441" i="4"/>
  <c r="I441" i="4"/>
  <c r="H441" i="4"/>
  <c r="G441" i="4"/>
  <c r="F441" i="4"/>
  <c r="E441" i="4"/>
  <c r="R440" i="4"/>
  <c r="M440" i="4"/>
  <c r="L440" i="4"/>
  <c r="K440" i="4"/>
  <c r="J440" i="4"/>
  <c r="I440" i="4"/>
  <c r="H440" i="4"/>
  <c r="G440" i="4"/>
  <c r="F440" i="4"/>
  <c r="E440" i="4"/>
  <c r="R439" i="4"/>
  <c r="M439" i="4"/>
  <c r="L439" i="4"/>
  <c r="K439" i="4"/>
  <c r="J439" i="4"/>
  <c r="I439" i="4"/>
  <c r="H439" i="4"/>
  <c r="G439" i="4"/>
  <c r="F439" i="4"/>
  <c r="E439" i="4"/>
  <c r="R438" i="4"/>
  <c r="M438" i="4"/>
  <c r="L438" i="4"/>
  <c r="K438" i="4"/>
  <c r="J438" i="4"/>
  <c r="I438" i="4"/>
  <c r="H438" i="4"/>
  <c r="G438" i="4"/>
  <c r="F438" i="4"/>
  <c r="E438" i="4"/>
  <c r="S437" i="4"/>
  <c r="R437" i="4"/>
  <c r="N437" i="4"/>
  <c r="M437" i="4"/>
  <c r="L437" i="4"/>
  <c r="K437" i="4"/>
  <c r="J437" i="4"/>
  <c r="I437" i="4"/>
  <c r="H437" i="4"/>
  <c r="G437" i="4"/>
  <c r="F437" i="4"/>
  <c r="E437" i="4"/>
  <c r="R436" i="4"/>
  <c r="M436" i="4"/>
  <c r="L436" i="4"/>
  <c r="K436" i="4"/>
  <c r="J436" i="4"/>
  <c r="I436" i="4"/>
  <c r="H436" i="4"/>
  <c r="G436" i="4"/>
  <c r="F436" i="4"/>
  <c r="E436" i="4"/>
  <c r="R435" i="4"/>
  <c r="M435" i="4"/>
  <c r="L435" i="4"/>
  <c r="K435" i="4"/>
  <c r="J435" i="4"/>
  <c r="I435" i="4"/>
  <c r="H435" i="4"/>
  <c r="G435" i="4"/>
  <c r="F435" i="4"/>
  <c r="E435" i="4"/>
  <c r="R434" i="4"/>
  <c r="M434" i="4"/>
  <c r="L434" i="4"/>
  <c r="K434" i="4"/>
  <c r="J434" i="4"/>
  <c r="I434" i="4"/>
  <c r="H434" i="4"/>
  <c r="G434" i="4"/>
  <c r="F434" i="4"/>
  <c r="E434" i="4"/>
  <c r="R433" i="4"/>
  <c r="M433" i="4"/>
  <c r="L433" i="4"/>
  <c r="K433" i="4"/>
  <c r="J433" i="4"/>
  <c r="I433" i="4"/>
  <c r="H433" i="4"/>
  <c r="G433" i="4"/>
  <c r="F433" i="4"/>
  <c r="E433" i="4"/>
  <c r="R432" i="4"/>
  <c r="M432" i="4"/>
  <c r="L432" i="4"/>
  <c r="K432" i="4"/>
  <c r="J432" i="4"/>
  <c r="I432" i="4"/>
  <c r="H432" i="4"/>
  <c r="G432" i="4"/>
  <c r="F432" i="4"/>
  <c r="E432" i="4"/>
  <c r="R431" i="4"/>
  <c r="M431" i="4"/>
  <c r="L431" i="4"/>
  <c r="K431" i="4"/>
  <c r="J431" i="4"/>
  <c r="I431" i="4"/>
  <c r="H431" i="4"/>
  <c r="G431" i="4"/>
  <c r="F431" i="4"/>
  <c r="E431" i="4"/>
  <c r="T430" i="4"/>
  <c r="S430" i="4"/>
  <c r="R430" i="4"/>
  <c r="O430" i="4"/>
  <c r="N430" i="4"/>
  <c r="M430" i="4"/>
  <c r="L430" i="4"/>
  <c r="K430" i="4"/>
  <c r="J430" i="4"/>
  <c r="I430" i="4"/>
  <c r="H430" i="4"/>
  <c r="G430" i="4"/>
  <c r="F430" i="4"/>
  <c r="E430" i="4"/>
  <c r="D430" i="4"/>
  <c r="C430" i="4"/>
  <c r="T429" i="4"/>
  <c r="S429" i="4"/>
  <c r="R429" i="4"/>
  <c r="D429" i="4"/>
  <c r="C429" i="4"/>
  <c r="T428" i="4"/>
  <c r="S428" i="4"/>
  <c r="R428" i="4"/>
  <c r="D428" i="4"/>
  <c r="C428" i="4"/>
  <c r="T427" i="4"/>
  <c r="S427" i="4"/>
  <c r="R427" i="4"/>
  <c r="D427" i="4"/>
  <c r="C427" i="4"/>
  <c r="T426" i="4"/>
  <c r="S426" i="4"/>
  <c r="R426" i="4"/>
  <c r="D426" i="4"/>
  <c r="C426" i="4"/>
  <c r="U425" i="4"/>
  <c r="T425" i="4"/>
  <c r="S425" i="4"/>
  <c r="R425" i="4"/>
  <c r="P425" i="4"/>
  <c r="D425" i="4"/>
  <c r="C425" i="4"/>
  <c r="R424" i="4"/>
  <c r="M424" i="4"/>
  <c r="L424" i="4"/>
  <c r="K424" i="4"/>
  <c r="J424" i="4"/>
  <c r="I424" i="4"/>
  <c r="H424" i="4"/>
  <c r="G424" i="4"/>
  <c r="F424" i="4"/>
  <c r="E424" i="4"/>
  <c r="R423" i="4"/>
  <c r="M423" i="4"/>
  <c r="L423" i="4"/>
  <c r="K423" i="4"/>
  <c r="J423" i="4"/>
  <c r="I423" i="4"/>
  <c r="H423" i="4"/>
  <c r="G423" i="4"/>
  <c r="F423" i="4"/>
  <c r="E423" i="4"/>
  <c r="R422" i="4"/>
  <c r="M422" i="4"/>
  <c r="L422" i="4"/>
  <c r="K422" i="4"/>
  <c r="J422" i="4"/>
  <c r="I422" i="4"/>
  <c r="H422" i="4"/>
  <c r="G422" i="4"/>
  <c r="F422" i="4"/>
  <c r="E422" i="4"/>
  <c r="S421" i="4"/>
  <c r="R421" i="4"/>
  <c r="N421" i="4"/>
  <c r="M421" i="4"/>
  <c r="L421" i="4"/>
  <c r="K421" i="4"/>
  <c r="J421" i="4"/>
  <c r="I421" i="4"/>
  <c r="H421" i="4"/>
  <c r="G421" i="4"/>
  <c r="F421" i="4"/>
  <c r="E421" i="4"/>
  <c r="R420" i="4"/>
  <c r="M420" i="4"/>
  <c r="L420" i="4"/>
  <c r="K420" i="4"/>
  <c r="J420" i="4"/>
  <c r="I420" i="4"/>
  <c r="H420" i="4"/>
  <c r="G420" i="4"/>
  <c r="F420" i="4"/>
  <c r="E420" i="4"/>
  <c r="R419" i="4"/>
  <c r="M419" i="4"/>
  <c r="L419" i="4"/>
  <c r="K419" i="4"/>
  <c r="J419" i="4"/>
  <c r="I419" i="4"/>
  <c r="H419" i="4"/>
  <c r="G419" i="4"/>
  <c r="F419" i="4"/>
  <c r="E419" i="4"/>
  <c r="S418" i="4"/>
  <c r="R418" i="4"/>
  <c r="N418" i="4"/>
  <c r="M418" i="4"/>
  <c r="L418" i="4"/>
  <c r="K418" i="4"/>
  <c r="J418" i="4"/>
  <c r="I418" i="4"/>
  <c r="H418" i="4"/>
  <c r="G418" i="4"/>
  <c r="F418" i="4"/>
  <c r="E418" i="4"/>
  <c r="R417" i="4"/>
  <c r="M417" i="4"/>
  <c r="L417" i="4"/>
  <c r="K417" i="4"/>
  <c r="J417" i="4"/>
  <c r="I417" i="4"/>
  <c r="H417" i="4"/>
  <c r="G417" i="4"/>
  <c r="F417" i="4"/>
  <c r="E417" i="4"/>
  <c r="R416" i="4"/>
  <c r="M416" i="4"/>
  <c r="L416" i="4"/>
  <c r="K416" i="4"/>
  <c r="J416" i="4"/>
  <c r="I416" i="4"/>
  <c r="H416" i="4"/>
  <c r="G416" i="4"/>
  <c r="F416" i="4"/>
  <c r="E416" i="4"/>
  <c r="T415" i="4"/>
  <c r="S415" i="4"/>
  <c r="R415" i="4"/>
  <c r="O415" i="4"/>
  <c r="N415" i="4"/>
  <c r="M415" i="4"/>
  <c r="L415" i="4"/>
  <c r="K415" i="4"/>
  <c r="J415" i="4"/>
  <c r="I415" i="4"/>
  <c r="H415" i="4"/>
  <c r="G415" i="4"/>
  <c r="F415" i="4"/>
  <c r="E415" i="4"/>
  <c r="D415" i="4"/>
  <c r="C415" i="4"/>
  <c r="T414" i="4"/>
  <c r="S414" i="4"/>
  <c r="R414" i="4"/>
  <c r="D414" i="4"/>
  <c r="C414" i="4"/>
  <c r="T413" i="4"/>
  <c r="S413" i="4"/>
  <c r="R413" i="4"/>
  <c r="D413" i="4"/>
  <c r="C413" i="4"/>
  <c r="T412" i="4"/>
  <c r="S412" i="4"/>
  <c r="R412" i="4"/>
  <c r="D412" i="4"/>
  <c r="C412" i="4"/>
  <c r="T411" i="4"/>
  <c r="S411" i="4"/>
  <c r="R411" i="4"/>
  <c r="D411" i="4"/>
  <c r="C411" i="4"/>
  <c r="U410" i="4"/>
  <c r="T410" i="4"/>
  <c r="S410" i="4"/>
  <c r="R410" i="4"/>
  <c r="P410" i="4"/>
  <c r="D410" i="4"/>
  <c r="C410" i="4"/>
  <c r="R409" i="4"/>
  <c r="M409" i="4"/>
  <c r="L409" i="4"/>
  <c r="K409" i="4"/>
  <c r="J409" i="4"/>
  <c r="I409" i="4"/>
  <c r="H409" i="4"/>
  <c r="G409" i="4"/>
  <c r="F409" i="4"/>
  <c r="E409" i="4"/>
  <c r="R408" i="4"/>
  <c r="M408" i="4"/>
  <c r="L408" i="4"/>
  <c r="K408" i="4"/>
  <c r="J408" i="4"/>
  <c r="I408" i="4"/>
  <c r="H408" i="4"/>
  <c r="G408" i="4"/>
  <c r="F408" i="4"/>
  <c r="E408" i="4"/>
  <c r="S407" i="4"/>
  <c r="R407" i="4"/>
  <c r="N407" i="4"/>
  <c r="M407" i="4"/>
  <c r="L407" i="4"/>
  <c r="K407" i="4"/>
  <c r="J407" i="4"/>
  <c r="I407" i="4"/>
  <c r="H407" i="4"/>
  <c r="G407" i="4"/>
  <c r="F407" i="4"/>
  <c r="E407" i="4"/>
  <c r="R406" i="4"/>
  <c r="M406" i="4"/>
  <c r="L406" i="4"/>
  <c r="K406" i="4"/>
  <c r="J406" i="4"/>
  <c r="I406" i="4"/>
  <c r="H406" i="4"/>
  <c r="G406" i="4"/>
  <c r="F406" i="4"/>
  <c r="E406" i="4"/>
  <c r="R405" i="4"/>
  <c r="M405" i="4"/>
  <c r="L405" i="4"/>
  <c r="K405" i="4"/>
  <c r="J405" i="4"/>
  <c r="I405" i="4"/>
  <c r="H405" i="4"/>
  <c r="G405" i="4"/>
  <c r="F405" i="4"/>
  <c r="E405" i="4"/>
  <c r="T404" i="4"/>
  <c r="S404" i="4"/>
  <c r="R404" i="4"/>
  <c r="O404" i="4"/>
  <c r="N404" i="4"/>
  <c r="M404" i="4"/>
  <c r="L404" i="4"/>
  <c r="K404" i="4"/>
  <c r="J404" i="4"/>
  <c r="I404" i="4"/>
  <c r="H404" i="4"/>
  <c r="G404" i="4"/>
  <c r="F404" i="4"/>
  <c r="E404" i="4"/>
  <c r="D404" i="4"/>
  <c r="C404" i="4"/>
  <c r="T403" i="4"/>
  <c r="S403" i="4"/>
  <c r="R403" i="4"/>
  <c r="D403" i="4"/>
  <c r="C403" i="4"/>
  <c r="T402" i="4"/>
  <c r="S402" i="4"/>
  <c r="R402" i="4"/>
  <c r="D402" i="4"/>
  <c r="C402" i="4"/>
  <c r="T401" i="4"/>
  <c r="S401" i="4"/>
  <c r="R401" i="4"/>
  <c r="D401" i="4"/>
  <c r="C401" i="4"/>
  <c r="T400" i="4"/>
  <c r="S400" i="4"/>
  <c r="R400" i="4"/>
  <c r="D400" i="4"/>
  <c r="C400" i="4"/>
  <c r="U399" i="4"/>
  <c r="T399" i="4"/>
  <c r="S399" i="4"/>
  <c r="R399" i="4"/>
  <c r="P399" i="4"/>
  <c r="D399" i="4"/>
  <c r="C399" i="4"/>
  <c r="T398" i="4"/>
  <c r="S398" i="4"/>
  <c r="R398" i="4"/>
  <c r="D398" i="4"/>
  <c r="C398" i="4"/>
  <c r="T397" i="4"/>
  <c r="S397" i="4"/>
  <c r="R397" i="4"/>
  <c r="D397" i="4"/>
  <c r="C397" i="4"/>
  <c r="T396" i="4"/>
  <c r="S396" i="4"/>
  <c r="R396" i="4"/>
  <c r="D396" i="4"/>
  <c r="C396" i="4"/>
  <c r="T395" i="4"/>
  <c r="S395" i="4"/>
  <c r="R395" i="4"/>
  <c r="O395" i="4"/>
  <c r="N395" i="4"/>
  <c r="M395" i="4"/>
  <c r="L395" i="4"/>
  <c r="K395" i="4"/>
  <c r="J395" i="4"/>
  <c r="I395" i="4"/>
  <c r="H395" i="4"/>
  <c r="G395" i="4"/>
  <c r="F395" i="4"/>
  <c r="E395" i="4"/>
  <c r="D395" i="4"/>
  <c r="C395" i="4"/>
  <c r="T394" i="4"/>
  <c r="S394" i="4"/>
  <c r="R394" i="4"/>
  <c r="D394" i="4"/>
  <c r="C394" i="4"/>
  <c r="T393" i="4"/>
  <c r="S393" i="4"/>
  <c r="R393" i="4"/>
  <c r="D393" i="4"/>
  <c r="C393" i="4"/>
  <c r="T392" i="4"/>
  <c r="S392" i="4"/>
  <c r="R392" i="4"/>
  <c r="D392" i="4"/>
  <c r="C392" i="4"/>
  <c r="S391" i="4"/>
  <c r="R391" i="4"/>
  <c r="N391" i="4"/>
  <c r="M391" i="4"/>
  <c r="L391" i="4"/>
  <c r="K391" i="4"/>
  <c r="J391" i="4"/>
  <c r="I391" i="4"/>
  <c r="H391" i="4"/>
  <c r="G391" i="4"/>
  <c r="F391" i="4"/>
  <c r="E391" i="4"/>
  <c r="R390" i="4"/>
  <c r="M390" i="4"/>
  <c r="L390" i="4"/>
  <c r="K390" i="4"/>
  <c r="J390" i="4"/>
  <c r="I390" i="4"/>
  <c r="H390" i="4"/>
  <c r="G390" i="4"/>
  <c r="F390" i="4"/>
  <c r="E390" i="4"/>
  <c r="S389" i="4"/>
  <c r="R389" i="4"/>
  <c r="N389" i="4"/>
  <c r="M389" i="4"/>
  <c r="L389" i="4"/>
  <c r="K389" i="4"/>
  <c r="J389" i="4"/>
  <c r="I389" i="4"/>
  <c r="H389" i="4"/>
  <c r="G389" i="4"/>
  <c r="F389" i="4"/>
  <c r="E389" i="4"/>
  <c r="S388" i="4"/>
  <c r="R388" i="4"/>
  <c r="N388" i="4"/>
  <c r="M388" i="4"/>
  <c r="L388" i="4"/>
  <c r="K388" i="4"/>
  <c r="J388" i="4"/>
  <c r="I388" i="4"/>
  <c r="H388" i="4"/>
  <c r="G388" i="4"/>
  <c r="F388" i="4"/>
  <c r="E388" i="4"/>
  <c r="R387" i="4"/>
  <c r="M387" i="4"/>
  <c r="L387" i="4"/>
  <c r="K387" i="4"/>
  <c r="J387" i="4"/>
  <c r="I387" i="4"/>
  <c r="H387" i="4"/>
  <c r="G387" i="4"/>
  <c r="F387" i="4"/>
  <c r="E387" i="4"/>
  <c r="R386" i="4"/>
  <c r="M386" i="4"/>
  <c r="L386" i="4"/>
  <c r="K386" i="4"/>
  <c r="J386" i="4"/>
  <c r="I386" i="4"/>
  <c r="H386" i="4"/>
  <c r="G386" i="4"/>
  <c r="F386" i="4"/>
  <c r="E386" i="4"/>
  <c r="R385" i="4"/>
  <c r="M385" i="4"/>
  <c r="L385" i="4"/>
  <c r="K385" i="4"/>
  <c r="J385" i="4"/>
  <c r="I385" i="4"/>
  <c r="H385" i="4"/>
  <c r="G385" i="4"/>
  <c r="F385" i="4"/>
  <c r="E385" i="4"/>
  <c r="R384" i="4"/>
  <c r="M384" i="4"/>
  <c r="L384" i="4"/>
  <c r="K384" i="4"/>
  <c r="J384" i="4"/>
  <c r="I384" i="4"/>
  <c r="H384" i="4"/>
  <c r="G384" i="4"/>
  <c r="F384" i="4"/>
  <c r="E384" i="4"/>
  <c r="R383" i="4"/>
  <c r="M383" i="4"/>
  <c r="L383" i="4"/>
  <c r="K383" i="4"/>
  <c r="J383" i="4"/>
  <c r="I383" i="4"/>
  <c r="H383" i="4"/>
  <c r="G383" i="4"/>
  <c r="F383" i="4"/>
  <c r="E383" i="4"/>
  <c r="R382" i="4"/>
  <c r="M382" i="4"/>
  <c r="L382" i="4"/>
  <c r="K382" i="4"/>
  <c r="J382" i="4"/>
  <c r="I382" i="4"/>
  <c r="H382" i="4"/>
  <c r="G382" i="4"/>
  <c r="F382" i="4"/>
  <c r="E382" i="4"/>
  <c r="R381" i="4"/>
  <c r="M381" i="4"/>
  <c r="L381" i="4"/>
  <c r="K381" i="4"/>
  <c r="J381" i="4"/>
  <c r="I381" i="4"/>
  <c r="H381" i="4"/>
  <c r="G381" i="4"/>
  <c r="F381" i="4"/>
  <c r="E381" i="4"/>
  <c r="R380" i="4"/>
  <c r="M380" i="4"/>
  <c r="L380" i="4"/>
  <c r="K380" i="4"/>
  <c r="J380" i="4"/>
  <c r="I380" i="4"/>
  <c r="H380" i="4"/>
  <c r="G380" i="4"/>
  <c r="F380" i="4"/>
  <c r="E380" i="4"/>
  <c r="R379" i="4"/>
  <c r="M379" i="4"/>
  <c r="L379" i="4"/>
  <c r="K379" i="4"/>
  <c r="J379" i="4"/>
  <c r="I379" i="4"/>
  <c r="H379" i="4"/>
  <c r="G379" i="4"/>
  <c r="F379" i="4"/>
  <c r="E379" i="4"/>
  <c r="R378" i="4"/>
  <c r="M378" i="4"/>
  <c r="L378" i="4"/>
  <c r="K378" i="4"/>
  <c r="J378" i="4"/>
  <c r="I378" i="4"/>
  <c r="H378" i="4"/>
  <c r="G378" i="4"/>
  <c r="F378" i="4"/>
  <c r="E378" i="4"/>
  <c r="R377" i="4"/>
  <c r="M377" i="4"/>
  <c r="L377" i="4"/>
  <c r="K377" i="4"/>
  <c r="J377" i="4"/>
  <c r="I377" i="4"/>
  <c r="H377" i="4"/>
  <c r="G377" i="4"/>
  <c r="F377" i="4"/>
  <c r="E377" i="4"/>
  <c r="R376" i="4"/>
  <c r="M376" i="4"/>
  <c r="L376" i="4"/>
  <c r="K376" i="4"/>
  <c r="J376" i="4"/>
  <c r="I376" i="4"/>
  <c r="H376" i="4"/>
  <c r="G376" i="4"/>
  <c r="F376" i="4"/>
  <c r="E376" i="4"/>
  <c r="U375" i="4"/>
  <c r="T375" i="4"/>
  <c r="S375" i="4"/>
  <c r="R375" i="4"/>
  <c r="P375" i="4"/>
  <c r="O375" i="4"/>
  <c r="N375" i="4"/>
  <c r="M375" i="4"/>
  <c r="L375" i="4"/>
  <c r="K375" i="4"/>
  <c r="J375" i="4"/>
  <c r="I375" i="4"/>
  <c r="H375" i="4"/>
  <c r="G375" i="4"/>
  <c r="F375" i="4"/>
  <c r="E375" i="4"/>
  <c r="D375" i="4"/>
  <c r="C375" i="4"/>
  <c r="T374" i="4"/>
  <c r="S374" i="4"/>
  <c r="R374" i="4"/>
  <c r="D374" i="4"/>
  <c r="C374" i="4"/>
  <c r="R373" i="4"/>
  <c r="M373" i="4"/>
  <c r="L373" i="4"/>
  <c r="K373" i="4"/>
  <c r="J373" i="4"/>
  <c r="I373" i="4"/>
  <c r="H373" i="4"/>
  <c r="G373" i="4"/>
  <c r="F373" i="4"/>
  <c r="E373" i="4"/>
  <c r="R372" i="4"/>
  <c r="M372" i="4"/>
  <c r="L372" i="4"/>
  <c r="K372" i="4"/>
  <c r="J372" i="4"/>
  <c r="I372" i="4"/>
  <c r="H372" i="4"/>
  <c r="G372" i="4"/>
  <c r="F372" i="4"/>
  <c r="E372" i="4"/>
  <c r="S371" i="4"/>
  <c r="R371" i="4"/>
  <c r="N371" i="4"/>
  <c r="M371" i="4"/>
  <c r="L371" i="4"/>
  <c r="K371" i="4"/>
  <c r="J371" i="4"/>
  <c r="I371" i="4"/>
  <c r="H371" i="4"/>
  <c r="G371" i="4"/>
  <c r="F371" i="4"/>
  <c r="E371" i="4"/>
  <c r="R370" i="4"/>
  <c r="M370" i="4"/>
  <c r="L370" i="4"/>
  <c r="K370" i="4"/>
  <c r="J370" i="4"/>
  <c r="I370" i="4"/>
  <c r="H370" i="4"/>
  <c r="G370" i="4"/>
  <c r="F370" i="4"/>
  <c r="E370" i="4"/>
  <c r="R369" i="4"/>
  <c r="M369" i="4"/>
  <c r="L369" i="4"/>
  <c r="K369" i="4"/>
  <c r="J369" i="4"/>
  <c r="I369" i="4"/>
  <c r="H369" i="4"/>
  <c r="G369" i="4"/>
  <c r="F369" i="4"/>
  <c r="E369" i="4"/>
  <c r="R368" i="4"/>
  <c r="M368" i="4"/>
  <c r="L368" i="4"/>
  <c r="K368" i="4"/>
  <c r="J368" i="4"/>
  <c r="I368" i="4"/>
  <c r="H368" i="4"/>
  <c r="G368" i="4"/>
  <c r="F368" i="4"/>
  <c r="E368" i="4"/>
  <c r="T367" i="4"/>
  <c r="S367" i="4"/>
  <c r="R367" i="4"/>
  <c r="O367" i="4"/>
  <c r="N367" i="4"/>
  <c r="M367" i="4"/>
  <c r="L367" i="4"/>
  <c r="K367" i="4"/>
  <c r="J367" i="4"/>
  <c r="I367" i="4"/>
  <c r="H367" i="4"/>
  <c r="G367" i="4"/>
  <c r="F367" i="4"/>
  <c r="E367" i="4"/>
  <c r="D367" i="4"/>
  <c r="C367" i="4"/>
  <c r="R366" i="4"/>
  <c r="M366" i="4"/>
  <c r="L366" i="4"/>
  <c r="K366" i="4"/>
  <c r="J366" i="4"/>
  <c r="I366" i="4"/>
  <c r="H366" i="4"/>
  <c r="G366" i="4"/>
  <c r="F366" i="4"/>
  <c r="E366" i="4"/>
  <c r="S365" i="4"/>
  <c r="R365" i="4"/>
  <c r="N365" i="4"/>
  <c r="M365" i="4"/>
  <c r="L365" i="4"/>
  <c r="K365" i="4"/>
  <c r="J365" i="4"/>
  <c r="I365" i="4"/>
  <c r="H365" i="4"/>
  <c r="G365" i="4"/>
  <c r="F365" i="4"/>
  <c r="E365" i="4"/>
  <c r="R364" i="4"/>
  <c r="M364" i="4"/>
  <c r="L364" i="4"/>
  <c r="K364" i="4"/>
  <c r="J364" i="4"/>
  <c r="I364" i="4"/>
  <c r="H364" i="4"/>
  <c r="G364" i="4"/>
  <c r="F364" i="4"/>
  <c r="E364" i="4"/>
  <c r="R363" i="4"/>
  <c r="M363" i="4"/>
  <c r="L363" i="4"/>
  <c r="K363" i="4"/>
  <c r="J363" i="4"/>
  <c r="I363" i="4"/>
  <c r="H363" i="4"/>
  <c r="G363" i="4"/>
  <c r="F363" i="4"/>
  <c r="E363" i="4"/>
  <c r="R362" i="4"/>
  <c r="M362" i="4"/>
  <c r="L362" i="4"/>
  <c r="K362" i="4"/>
  <c r="J362" i="4"/>
  <c r="I362" i="4"/>
  <c r="H362" i="4"/>
  <c r="G362" i="4"/>
  <c r="F362" i="4"/>
  <c r="E362" i="4"/>
  <c r="R361" i="4"/>
  <c r="M361" i="4"/>
  <c r="L361" i="4"/>
  <c r="K361" i="4"/>
  <c r="J361" i="4"/>
  <c r="I361" i="4"/>
  <c r="H361" i="4"/>
  <c r="G361" i="4"/>
  <c r="F361" i="4"/>
  <c r="E361" i="4"/>
  <c r="T360" i="4"/>
  <c r="S360" i="4"/>
  <c r="R360" i="4"/>
  <c r="O360" i="4"/>
  <c r="N360" i="4"/>
  <c r="M360" i="4"/>
  <c r="L360" i="4"/>
  <c r="K360" i="4"/>
  <c r="J360" i="4"/>
  <c r="I360" i="4"/>
  <c r="H360" i="4"/>
  <c r="G360" i="4"/>
  <c r="F360" i="4"/>
  <c r="E360" i="4"/>
  <c r="D360" i="4"/>
  <c r="C360" i="4"/>
  <c r="U359" i="4"/>
  <c r="T359" i="4"/>
  <c r="S359" i="4"/>
  <c r="R359" i="4"/>
  <c r="P359" i="4"/>
  <c r="D359" i="4"/>
  <c r="C359" i="4"/>
  <c r="T358" i="4"/>
  <c r="S358" i="4"/>
  <c r="R358" i="4"/>
  <c r="D358" i="4"/>
  <c r="C358" i="4"/>
  <c r="T357" i="4"/>
  <c r="S357" i="4"/>
  <c r="R357" i="4"/>
  <c r="D357" i="4"/>
  <c r="C357" i="4"/>
  <c r="T356" i="4"/>
  <c r="S356" i="4"/>
  <c r="R356" i="4"/>
  <c r="O356" i="4"/>
  <c r="N356" i="4"/>
  <c r="M356" i="4"/>
  <c r="L356" i="4"/>
  <c r="K356" i="4"/>
  <c r="J356" i="4"/>
  <c r="I356" i="4"/>
  <c r="H356" i="4"/>
  <c r="G356" i="4"/>
  <c r="F356" i="4"/>
  <c r="E356" i="4"/>
  <c r="D356" i="4"/>
  <c r="C356" i="4"/>
  <c r="T355" i="4"/>
  <c r="S355" i="4"/>
  <c r="R355" i="4"/>
  <c r="D355" i="4"/>
  <c r="C355" i="4"/>
  <c r="R354" i="4"/>
  <c r="M354" i="4"/>
  <c r="L354" i="4"/>
  <c r="K354" i="4"/>
  <c r="J354" i="4"/>
  <c r="I354" i="4"/>
  <c r="H354" i="4"/>
  <c r="G354" i="4"/>
  <c r="F354" i="4"/>
  <c r="E354" i="4"/>
  <c r="R353" i="4"/>
  <c r="M353" i="4"/>
  <c r="L353" i="4"/>
  <c r="K353" i="4"/>
  <c r="J353" i="4"/>
  <c r="I353" i="4"/>
  <c r="H353" i="4"/>
  <c r="G353" i="4"/>
  <c r="F353" i="4"/>
  <c r="E353" i="4"/>
  <c r="S352" i="4"/>
  <c r="R352" i="4"/>
  <c r="N352" i="4"/>
  <c r="M352" i="4"/>
  <c r="L352" i="4"/>
  <c r="K352" i="4"/>
  <c r="J352" i="4"/>
  <c r="I352" i="4"/>
  <c r="H352" i="4"/>
  <c r="G352" i="4"/>
  <c r="F352" i="4"/>
  <c r="E352" i="4"/>
  <c r="R351" i="4"/>
  <c r="M351" i="4"/>
  <c r="L351" i="4"/>
  <c r="K351" i="4"/>
  <c r="J351" i="4"/>
  <c r="I351" i="4"/>
  <c r="H351" i="4"/>
  <c r="G351" i="4"/>
  <c r="F351" i="4"/>
  <c r="E351" i="4"/>
  <c r="U350" i="4"/>
  <c r="T350" i="4"/>
  <c r="S350" i="4"/>
  <c r="R350" i="4"/>
  <c r="P350" i="4"/>
  <c r="O350" i="4"/>
  <c r="N350" i="4"/>
  <c r="M350" i="4"/>
  <c r="L350" i="4"/>
  <c r="K350" i="4"/>
  <c r="J350" i="4"/>
  <c r="I350" i="4"/>
  <c r="H350" i="4"/>
  <c r="G350" i="4"/>
  <c r="F350" i="4"/>
  <c r="E350" i="4"/>
  <c r="D350" i="4"/>
  <c r="C350" i="4"/>
  <c r="T349" i="4"/>
  <c r="S349" i="4"/>
  <c r="R349" i="4"/>
  <c r="D349" i="4"/>
  <c r="C349" i="4"/>
  <c r="R348" i="4"/>
  <c r="M348" i="4"/>
  <c r="L348" i="4"/>
  <c r="K348" i="4"/>
  <c r="J348" i="4"/>
  <c r="I348" i="4"/>
  <c r="H348" i="4"/>
  <c r="G348" i="4"/>
  <c r="F348" i="4"/>
  <c r="E348" i="4"/>
  <c r="S347" i="4"/>
  <c r="R347" i="4"/>
  <c r="N347" i="4"/>
  <c r="M347" i="4"/>
  <c r="L347" i="4"/>
  <c r="K347" i="4"/>
  <c r="J347" i="4"/>
  <c r="I347" i="4"/>
  <c r="H347" i="4"/>
  <c r="G347" i="4"/>
  <c r="F347" i="4"/>
  <c r="E347" i="4"/>
  <c r="T346" i="4"/>
  <c r="S346" i="4"/>
  <c r="R346" i="4"/>
  <c r="O346" i="4"/>
  <c r="N346" i="4"/>
  <c r="M346" i="4"/>
  <c r="L346" i="4"/>
  <c r="K346" i="4"/>
  <c r="J346" i="4"/>
  <c r="I346" i="4"/>
  <c r="H346" i="4"/>
  <c r="G346" i="4"/>
  <c r="F346" i="4"/>
  <c r="E346" i="4"/>
  <c r="D346" i="4"/>
  <c r="C346" i="4"/>
  <c r="T345" i="4"/>
  <c r="S345" i="4"/>
  <c r="R345" i="4"/>
  <c r="O345" i="4"/>
  <c r="N345" i="4"/>
  <c r="M345" i="4"/>
  <c r="L345" i="4"/>
  <c r="K345" i="4"/>
  <c r="J345" i="4"/>
  <c r="I345" i="4"/>
  <c r="H345" i="4"/>
  <c r="G345" i="4"/>
  <c r="F345" i="4"/>
  <c r="E345" i="4"/>
  <c r="D345" i="4"/>
  <c r="C345" i="4"/>
  <c r="S344" i="4"/>
  <c r="R344" i="4"/>
  <c r="N344" i="4"/>
  <c r="M344" i="4"/>
  <c r="L344" i="4"/>
  <c r="K344" i="4"/>
  <c r="J344" i="4"/>
  <c r="I344" i="4"/>
  <c r="H344" i="4"/>
  <c r="G344" i="4"/>
  <c r="F344" i="4"/>
  <c r="E344" i="4"/>
  <c r="T343" i="4"/>
  <c r="S343" i="4"/>
  <c r="R343" i="4"/>
  <c r="O343" i="4"/>
  <c r="N343" i="4"/>
  <c r="M343" i="4"/>
  <c r="L343" i="4"/>
  <c r="K343" i="4"/>
  <c r="J343" i="4"/>
  <c r="I343" i="4"/>
  <c r="H343" i="4"/>
  <c r="G343" i="4"/>
  <c r="F343" i="4"/>
  <c r="E343" i="4"/>
  <c r="D343" i="4"/>
  <c r="C343" i="4"/>
  <c r="T342" i="4"/>
  <c r="S342" i="4"/>
  <c r="R342" i="4"/>
  <c r="D342" i="4"/>
  <c r="C342" i="4"/>
  <c r="U341" i="4"/>
  <c r="T341" i="4"/>
  <c r="S341" i="4"/>
  <c r="R341" i="4"/>
  <c r="P341" i="4"/>
  <c r="D341" i="4"/>
  <c r="C341" i="4"/>
  <c r="T340" i="4"/>
  <c r="S340" i="4"/>
  <c r="R340" i="4"/>
  <c r="D340" i="4"/>
  <c r="C340" i="4"/>
  <c r="T339" i="4"/>
  <c r="S339" i="4"/>
  <c r="R339" i="4"/>
  <c r="D339" i="4"/>
  <c r="C339" i="4"/>
  <c r="R338" i="4"/>
  <c r="M338" i="4"/>
  <c r="L338" i="4"/>
  <c r="K338" i="4"/>
  <c r="J338" i="4"/>
  <c r="I338" i="4"/>
  <c r="H338" i="4"/>
  <c r="G338" i="4"/>
  <c r="F338" i="4"/>
  <c r="E338" i="4"/>
  <c r="R337" i="4"/>
  <c r="M337" i="4"/>
  <c r="L337" i="4"/>
  <c r="K337" i="4"/>
  <c r="J337" i="4"/>
  <c r="I337" i="4"/>
  <c r="H337" i="4"/>
  <c r="G337" i="4"/>
  <c r="F337" i="4"/>
  <c r="E337" i="4"/>
  <c r="T336" i="4"/>
  <c r="S336" i="4"/>
  <c r="R336" i="4"/>
  <c r="O336" i="4"/>
  <c r="N336" i="4"/>
  <c r="M336" i="4"/>
  <c r="L336" i="4"/>
  <c r="K336" i="4"/>
  <c r="J336" i="4"/>
  <c r="I336" i="4"/>
  <c r="H336" i="4"/>
  <c r="G336" i="4"/>
  <c r="F336" i="4"/>
  <c r="E336" i="4"/>
  <c r="D336" i="4"/>
  <c r="C336" i="4"/>
  <c r="T335" i="4"/>
  <c r="S335" i="4"/>
  <c r="R335" i="4"/>
  <c r="D335" i="4"/>
  <c r="C335" i="4"/>
  <c r="T334" i="4"/>
  <c r="S334" i="4"/>
  <c r="R334" i="4"/>
  <c r="D334" i="4"/>
  <c r="C334" i="4"/>
  <c r="T333" i="4"/>
  <c r="S333" i="4"/>
  <c r="R333" i="4"/>
  <c r="D333" i="4"/>
  <c r="C333" i="4"/>
  <c r="T332" i="4"/>
  <c r="S332" i="4"/>
  <c r="R332" i="4"/>
  <c r="D332" i="4"/>
  <c r="C332" i="4"/>
  <c r="S331" i="4"/>
  <c r="R331" i="4"/>
  <c r="N331" i="4"/>
  <c r="M331" i="4"/>
  <c r="L331" i="4"/>
  <c r="K331" i="4"/>
  <c r="J331" i="4"/>
  <c r="I331" i="4"/>
  <c r="H331" i="4"/>
  <c r="G331" i="4"/>
  <c r="F331" i="4"/>
  <c r="E331" i="4"/>
  <c r="R330" i="4"/>
  <c r="M330" i="4"/>
  <c r="L330" i="4"/>
  <c r="K330" i="4"/>
  <c r="J330" i="4"/>
  <c r="I330" i="4"/>
  <c r="H330" i="4"/>
  <c r="G330" i="4"/>
  <c r="F330" i="4"/>
  <c r="E330" i="4"/>
  <c r="R329" i="4"/>
  <c r="M329" i="4"/>
  <c r="L329" i="4"/>
  <c r="K329" i="4"/>
  <c r="J329" i="4"/>
  <c r="I329" i="4"/>
  <c r="H329" i="4"/>
  <c r="G329" i="4"/>
  <c r="F329" i="4"/>
  <c r="E329" i="4"/>
  <c r="R328" i="4"/>
  <c r="M328" i="4"/>
  <c r="L328" i="4"/>
  <c r="K328" i="4"/>
  <c r="J328" i="4"/>
  <c r="I328" i="4"/>
  <c r="H328" i="4"/>
  <c r="G328" i="4"/>
  <c r="F328" i="4"/>
  <c r="E328" i="4"/>
  <c r="R327" i="4"/>
  <c r="M327" i="4"/>
  <c r="L327" i="4"/>
  <c r="K327" i="4"/>
  <c r="J327" i="4"/>
  <c r="I327" i="4"/>
  <c r="H327" i="4"/>
  <c r="G327" i="4"/>
  <c r="F327" i="4"/>
  <c r="E327" i="4"/>
  <c r="R326" i="4"/>
  <c r="M326" i="4"/>
  <c r="L326" i="4"/>
  <c r="K326" i="4"/>
  <c r="J326" i="4"/>
  <c r="I326" i="4"/>
  <c r="H326" i="4"/>
  <c r="G326" i="4"/>
  <c r="F326" i="4"/>
  <c r="E326" i="4"/>
  <c r="R325" i="4"/>
  <c r="M325" i="4"/>
  <c r="L325" i="4"/>
  <c r="K325" i="4"/>
  <c r="J325" i="4"/>
  <c r="I325" i="4"/>
  <c r="H325" i="4"/>
  <c r="G325" i="4"/>
  <c r="F325" i="4"/>
  <c r="E325" i="4"/>
  <c r="R324" i="4"/>
  <c r="M324" i="4"/>
  <c r="L324" i="4"/>
  <c r="K324" i="4"/>
  <c r="J324" i="4"/>
  <c r="I324" i="4"/>
  <c r="H324" i="4"/>
  <c r="G324" i="4"/>
  <c r="F324" i="4"/>
  <c r="E324" i="4"/>
  <c r="R323" i="4"/>
  <c r="M323" i="4"/>
  <c r="L323" i="4"/>
  <c r="K323" i="4"/>
  <c r="J323" i="4"/>
  <c r="I323" i="4"/>
  <c r="H323" i="4"/>
  <c r="G323" i="4"/>
  <c r="F323" i="4"/>
  <c r="E323" i="4"/>
  <c r="S322" i="4"/>
  <c r="R322" i="4"/>
  <c r="N322" i="4"/>
  <c r="M322" i="4"/>
  <c r="L322" i="4"/>
  <c r="K322" i="4"/>
  <c r="J322" i="4"/>
  <c r="I322" i="4"/>
  <c r="H322" i="4"/>
  <c r="G322" i="4"/>
  <c r="F322" i="4"/>
  <c r="E322" i="4"/>
  <c r="R321" i="4"/>
  <c r="M321" i="4"/>
  <c r="L321" i="4"/>
  <c r="K321" i="4"/>
  <c r="J321" i="4"/>
  <c r="I321" i="4"/>
  <c r="H321" i="4"/>
  <c r="G321" i="4"/>
  <c r="F321" i="4"/>
  <c r="E321" i="4"/>
  <c r="S320" i="4"/>
  <c r="R320" i="4"/>
  <c r="N320" i="4"/>
  <c r="M320" i="4"/>
  <c r="L320" i="4"/>
  <c r="K320" i="4"/>
  <c r="J320" i="4"/>
  <c r="I320" i="4"/>
  <c r="H320" i="4"/>
  <c r="G320" i="4"/>
  <c r="F320" i="4"/>
  <c r="E320" i="4"/>
  <c r="R319" i="4"/>
  <c r="M319" i="4"/>
  <c r="L319" i="4"/>
  <c r="K319" i="4"/>
  <c r="J319" i="4"/>
  <c r="I319" i="4"/>
  <c r="H319" i="4"/>
  <c r="G319" i="4"/>
  <c r="F319" i="4"/>
  <c r="E319" i="4"/>
  <c r="R318" i="4"/>
  <c r="M318" i="4"/>
  <c r="L318" i="4"/>
  <c r="K318" i="4"/>
  <c r="J318" i="4"/>
  <c r="I318" i="4"/>
  <c r="H318" i="4"/>
  <c r="G318" i="4"/>
  <c r="F318" i="4"/>
  <c r="E318" i="4"/>
  <c r="R317" i="4"/>
  <c r="M317" i="4"/>
  <c r="L317" i="4"/>
  <c r="K317" i="4"/>
  <c r="J317" i="4"/>
  <c r="I317" i="4"/>
  <c r="H317" i="4"/>
  <c r="G317" i="4"/>
  <c r="F317" i="4"/>
  <c r="E317" i="4"/>
  <c r="R316" i="4"/>
  <c r="M316" i="4"/>
  <c r="L316" i="4"/>
  <c r="K316" i="4"/>
  <c r="J316" i="4"/>
  <c r="I316" i="4"/>
  <c r="H316" i="4"/>
  <c r="G316" i="4"/>
  <c r="F316" i="4"/>
  <c r="E316" i="4"/>
  <c r="R315" i="4"/>
  <c r="M315" i="4"/>
  <c r="L315" i="4"/>
  <c r="K315" i="4"/>
  <c r="J315" i="4"/>
  <c r="I315" i="4"/>
  <c r="H315" i="4"/>
  <c r="G315" i="4"/>
  <c r="F315" i="4"/>
  <c r="E315" i="4"/>
  <c r="T314" i="4"/>
  <c r="S314" i="4"/>
  <c r="R314" i="4"/>
  <c r="O314" i="4"/>
  <c r="N314" i="4"/>
  <c r="M314" i="4"/>
  <c r="L314" i="4"/>
  <c r="K314" i="4"/>
  <c r="J314" i="4"/>
  <c r="I314" i="4"/>
  <c r="H314" i="4"/>
  <c r="G314" i="4"/>
  <c r="F314" i="4"/>
  <c r="E314" i="4"/>
  <c r="D314" i="4"/>
  <c r="C314" i="4"/>
  <c r="T313" i="4"/>
  <c r="S313" i="4"/>
  <c r="R313" i="4"/>
  <c r="D313" i="4"/>
  <c r="C313" i="4"/>
  <c r="T312" i="4"/>
  <c r="S312" i="4"/>
  <c r="R312" i="4"/>
  <c r="O312" i="4"/>
  <c r="N312" i="4"/>
  <c r="M312" i="4"/>
  <c r="L312" i="4"/>
  <c r="K312" i="4"/>
  <c r="J312" i="4"/>
  <c r="I312" i="4"/>
  <c r="H312" i="4"/>
  <c r="G312" i="4"/>
  <c r="F312" i="4"/>
  <c r="E312" i="4"/>
  <c r="D312" i="4"/>
  <c r="C312" i="4"/>
  <c r="T311" i="4"/>
  <c r="S311" i="4"/>
  <c r="R311" i="4"/>
  <c r="D311" i="4"/>
  <c r="C311" i="4"/>
  <c r="T310" i="4"/>
  <c r="S310" i="4"/>
  <c r="R310" i="4"/>
  <c r="D310" i="4"/>
  <c r="C310" i="4"/>
  <c r="R309" i="4"/>
  <c r="M309" i="4"/>
  <c r="L309" i="4"/>
  <c r="K309" i="4"/>
  <c r="J309" i="4"/>
  <c r="I309" i="4"/>
  <c r="H309" i="4"/>
  <c r="G309" i="4"/>
  <c r="F309" i="4"/>
  <c r="E309" i="4"/>
  <c r="R308" i="4"/>
  <c r="M308" i="4"/>
  <c r="L308" i="4"/>
  <c r="K308" i="4"/>
  <c r="J308" i="4"/>
  <c r="I308" i="4"/>
  <c r="H308" i="4"/>
  <c r="G308" i="4"/>
  <c r="F308" i="4"/>
  <c r="E308" i="4"/>
  <c r="R307" i="4"/>
  <c r="M307" i="4"/>
  <c r="L307" i="4"/>
  <c r="K307" i="4"/>
  <c r="J307" i="4"/>
  <c r="I307" i="4"/>
  <c r="H307" i="4"/>
  <c r="G307" i="4"/>
  <c r="F307" i="4"/>
  <c r="E307" i="4"/>
  <c r="R306" i="4"/>
  <c r="M306" i="4"/>
  <c r="L306" i="4"/>
  <c r="K306" i="4"/>
  <c r="J306" i="4"/>
  <c r="I306" i="4"/>
  <c r="H306" i="4"/>
  <c r="G306" i="4"/>
  <c r="F306" i="4"/>
  <c r="E306" i="4"/>
  <c r="S305" i="4"/>
  <c r="R305" i="4"/>
  <c r="N305" i="4"/>
  <c r="M305" i="4"/>
  <c r="L305" i="4"/>
  <c r="K305" i="4"/>
  <c r="J305" i="4"/>
  <c r="I305" i="4"/>
  <c r="H305" i="4"/>
  <c r="G305" i="4"/>
  <c r="F305" i="4"/>
  <c r="E305" i="4"/>
  <c r="S304" i="4"/>
  <c r="R304" i="4"/>
  <c r="N304" i="4"/>
  <c r="M304" i="4"/>
  <c r="L304" i="4"/>
  <c r="K304" i="4"/>
  <c r="J304" i="4"/>
  <c r="I304" i="4"/>
  <c r="H304" i="4"/>
  <c r="G304" i="4"/>
  <c r="F304" i="4"/>
  <c r="E304" i="4"/>
  <c r="R303" i="4"/>
  <c r="M303" i="4"/>
  <c r="L303" i="4"/>
  <c r="K303" i="4"/>
  <c r="J303" i="4"/>
  <c r="I303" i="4"/>
  <c r="H303" i="4"/>
  <c r="G303" i="4"/>
  <c r="F303" i="4"/>
  <c r="E303" i="4"/>
  <c r="T302" i="4"/>
  <c r="S302" i="4"/>
  <c r="R302" i="4"/>
  <c r="O302" i="4"/>
  <c r="N302" i="4"/>
  <c r="M302" i="4"/>
  <c r="L302" i="4"/>
  <c r="K302" i="4"/>
  <c r="J302" i="4"/>
  <c r="I302" i="4"/>
  <c r="H302" i="4"/>
  <c r="G302" i="4"/>
  <c r="F302" i="4"/>
  <c r="E302" i="4"/>
  <c r="D302" i="4"/>
  <c r="C302" i="4"/>
  <c r="R301" i="4"/>
  <c r="M301" i="4"/>
  <c r="L301" i="4"/>
  <c r="K301" i="4"/>
  <c r="J301" i="4"/>
  <c r="I301" i="4"/>
  <c r="H301" i="4"/>
  <c r="G301" i="4"/>
  <c r="F301" i="4"/>
  <c r="E301" i="4"/>
  <c r="R300" i="4"/>
  <c r="M300" i="4"/>
  <c r="L300" i="4"/>
  <c r="K300" i="4"/>
  <c r="J300" i="4"/>
  <c r="I300" i="4"/>
  <c r="H300" i="4"/>
  <c r="G300" i="4"/>
  <c r="F300" i="4"/>
  <c r="E300" i="4"/>
  <c r="R299" i="4"/>
  <c r="M299" i="4"/>
  <c r="L299" i="4"/>
  <c r="K299" i="4"/>
  <c r="J299" i="4"/>
  <c r="I299" i="4"/>
  <c r="H299" i="4"/>
  <c r="G299" i="4"/>
  <c r="F299" i="4"/>
  <c r="E299" i="4"/>
  <c r="R298" i="4"/>
  <c r="M298" i="4"/>
  <c r="L298" i="4"/>
  <c r="K298" i="4"/>
  <c r="J298" i="4"/>
  <c r="I298" i="4"/>
  <c r="H298" i="4"/>
  <c r="G298" i="4"/>
  <c r="F298" i="4"/>
  <c r="E298" i="4"/>
  <c r="S297" i="4"/>
  <c r="R297" i="4"/>
  <c r="N297" i="4"/>
  <c r="M297" i="4"/>
  <c r="L297" i="4"/>
  <c r="K297" i="4"/>
  <c r="J297" i="4"/>
  <c r="I297" i="4"/>
  <c r="H297" i="4"/>
  <c r="G297" i="4"/>
  <c r="F297" i="4"/>
  <c r="E297" i="4"/>
  <c r="T296" i="4"/>
  <c r="S296" i="4"/>
  <c r="R296" i="4"/>
  <c r="O296" i="4"/>
  <c r="N296" i="4"/>
  <c r="M296" i="4"/>
  <c r="L296" i="4"/>
  <c r="K296" i="4"/>
  <c r="J296" i="4"/>
  <c r="I296" i="4"/>
  <c r="H296" i="4"/>
  <c r="G296" i="4"/>
  <c r="F296" i="4"/>
  <c r="E296" i="4"/>
  <c r="D296" i="4"/>
  <c r="C296" i="4"/>
  <c r="R295" i="4"/>
  <c r="M295" i="4"/>
  <c r="L295" i="4"/>
  <c r="K295" i="4"/>
  <c r="J295" i="4"/>
  <c r="I295" i="4"/>
  <c r="H295" i="4"/>
  <c r="G295" i="4"/>
  <c r="F295" i="4"/>
  <c r="E295" i="4"/>
  <c r="R294" i="4"/>
  <c r="M294" i="4"/>
  <c r="L294" i="4"/>
  <c r="K294" i="4"/>
  <c r="J294" i="4"/>
  <c r="I294" i="4"/>
  <c r="H294" i="4"/>
  <c r="G294" i="4"/>
  <c r="F294" i="4"/>
  <c r="E294" i="4"/>
  <c r="R293" i="4"/>
  <c r="M293" i="4"/>
  <c r="L293" i="4"/>
  <c r="K293" i="4"/>
  <c r="J293" i="4"/>
  <c r="I293" i="4"/>
  <c r="H293" i="4"/>
  <c r="G293" i="4"/>
  <c r="F293" i="4"/>
  <c r="E293" i="4"/>
  <c r="R292" i="4"/>
  <c r="M292" i="4"/>
  <c r="L292" i="4"/>
  <c r="K292" i="4"/>
  <c r="J292" i="4"/>
  <c r="I292" i="4"/>
  <c r="H292" i="4"/>
  <c r="G292" i="4"/>
  <c r="F292" i="4"/>
  <c r="E292" i="4"/>
  <c r="R291" i="4"/>
  <c r="M291" i="4"/>
  <c r="L291" i="4"/>
  <c r="K291" i="4"/>
  <c r="J291" i="4"/>
  <c r="I291" i="4"/>
  <c r="H291" i="4"/>
  <c r="G291" i="4"/>
  <c r="F291" i="4"/>
  <c r="E291" i="4"/>
  <c r="R290" i="4"/>
  <c r="M290" i="4"/>
  <c r="L290" i="4"/>
  <c r="K290" i="4"/>
  <c r="J290" i="4"/>
  <c r="I290" i="4"/>
  <c r="H290" i="4"/>
  <c r="G290" i="4"/>
  <c r="F290" i="4"/>
  <c r="E290" i="4"/>
  <c r="R289" i="4"/>
  <c r="M289" i="4"/>
  <c r="L289" i="4"/>
  <c r="K289" i="4"/>
  <c r="J289" i="4"/>
  <c r="I289" i="4"/>
  <c r="H289" i="4"/>
  <c r="G289" i="4"/>
  <c r="F289" i="4"/>
  <c r="E289" i="4"/>
  <c r="S288" i="4"/>
  <c r="R288" i="4"/>
  <c r="N288" i="4"/>
  <c r="M288" i="4"/>
  <c r="L288" i="4"/>
  <c r="K288" i="4"/>
  <c r="J288" i="4"/>
  <c r="I288" i="4"/>
  <c r="H288" i="4"/>
  <c r="G288" i="4"/>
  <c r="F288" i="4"/>
  <c r="E288" i="4"/>
  <c r="R287" i="4"/>
  <c r="M287" i="4"/>
  <c r="L287" i="4"/>
  <c r="K287" i="4"/>
  <c r="J287" i="4"/>
  <c r="I287" i="4"/>
  <c r="H287" i="4"/>
  <c r="G287" i="4"/>
  <c r="F287" i="4"/>
  <c r="E287" i="4"/>
  <c r="R286" i="4"/>
  <c r="M286" i="4"/>
  <c r="L286" i="4"/>
  <c r="K286" i="4"/>
  <c r="J286" i="4"/>
  <c r="I286" i="4"/>
  <c r="H286" i="4"/>
  <c r="G286" i="4"/>
  <c r="F286" i="4"/>
  <c r="E286" i="4"/>
  <c r="R285" i="4"/>
  <c r="M285" i="4"/>
  <c r="L285" i="4"/>
  <c r="K285" i="4"/>
  <c r="J285" i="4"/>
  <c r="I285" i="4"/>
  <c r="H285" i="4"/>
  <c r="G285" i="4"/>
  <c r="F285" i="4"/>
  <c r="E285" i="4"/>
  <c r="R284" i="4"/>
  <c r="M284" i="4"/>
  <c r="L284" i="4"/>
  <c r="K284" i="4"/>
  <c r="J284" i="4"/>
  <c r="I284" i="4"/>
  <c r="H284" i="4"/>
  <c r="G284" i="4"/>
  <c r="F284" i="4"/>
  <c r="E284" i="4"/>
  <c r="R283" i="4"/>
  <c r="M283" i="4"/>
  <c r="L283" i="4"/>
  <c r="K283" i="4"/>
  <c r="J283" i="4"/>
  <c r="I283" i="4"/>
  <c r="H283" i="4"/>
  <c r="G283" i="4"/>
  <c r="F283" i="4"/>
  <c r="E283" i="4"/>
  <c r="R282" i="4"/>
  <c r="M282" i="4"/>
  <c r="L282" i="4"/>
  <c r="K282" i="4"/>
  <c r="J282" i="4"/>
  <c r="I282" i="4"/>
  <c r="H282" i="4"/>
  <c r="G282" i="4"/>
  <c r="F282" i="4"/>
  <c r="E282" i="4"/>
  <c r="R281" i="4"/>
  <c r="M281" i="4"/>
  <c r="L281" i="4"/>
  <c r="K281" i="4"/>
  <c r="J281" i="4"/>
  <c r="I281" i="4"/>
  <c r="H281" i="4"/>
  <c r="G281" i="4"/>
  <c r="F281" i="4"/>
  <c r="E281" i="4"/>
  <c r="R280" i="4"/>
  <c r="M280" i="4"/>
  <c r="L280" i="4"/>
  <c r="K280" i="4"/>
  <c r="J280" i="4"/>
  <c r="I280" i="4"/>
  <c r="H280" i="4"/>
  <c r="G280" i="4"/>
  <c r="F280" i="4"/>
  <c r="E280" i="4"/>
  <c r="R279" i="4"/>
  <c r="M279" i="4"/>
  <c r="L279" i="4"/>
  <c r="K279" i="4"/>
  <c r="J279" i="4"/>
  <c r="I279" i="4"/>
  <c r="H279" i="4"/>
  <c r="G279" i="4"/>
  <c r="F279" i="4"/>
  <c r="E279" i="4"/>
  <c r="R278" i="4"/>
  <c r="M278" i="4"/>
  <c r="L278" i="4"/>
  <c r="K278" i="4"/>
  <c r="J278" i="4"/>
  <c r="I278" i="4"/>
  <c r="H278" i="4"/>
  <c r="G278" i="4"/>
  <c r="F278" i="4"/>
  <c r="E278" i="4"/>
  <c r="R277" i="4"/>
  <c r="M277" i="4"/>
  <c r="L277" i="4"/>
  <c r="K277" i="4"/>
  <c r="J277" i="4"/>
  <c r="I277" i="4"/>
  <c r="H277" i="4"/>
  <c r="G277" i="4"/>
  <c r="F277" i="4"/>
  <c r="E277" i="4"/>
  <c r="R276" i="4"/>
  <c r="M276" i="4"/>
  <c r="L276" i="4"/>
  <c r="K276" i="4"/>
  <c r="J276" i="4"/>
  <c r="I276" i="4"/>
  <c r="H276" i="4"/>
  <c r="G276" i="4"/>
  <c r="F276" i="4"/>
  <c r="E276" i="4"/>
  <c r="R275" i="4"/>
  <c r="M275" i="4"/>
  <c r="L275" i="4"/>
  <c r="K275" i="4"/>
  <c r="J275" i="4"/>
  <c r="I275" i="4"/>
  <c r="H275" i="4"/>
  <c r="G275" i="4"/>
  <c r="F275" i="4"/>
  <c r="E275" i="4"/>
  <c r="R274" i="4"/>
  <c r="M274" i="4"/>
  <c r="L274" i="4"/>
  <c r="K274" i="4"/>
  <c r="J274" i="4"/>
  <c r="I274" i="4"/>
  <c r="H274" i="4"/>
  <c r="G274" i="4"/>
  <c r="F274" i="4"/>
  <c r="E274" i="4"/>
  <c r="R273" i="4"/>
  <c r="M273" i="4"/>
  <c r="L273" i="4"/>
  <c r="K273" i="4"/>
  <c r="J273" i="4"/>
  <c r="I273" i="4"/>
  <c r="H273" i="4"/>
  <c r="G273" i="4"/>
  <c r="F273" i="4"/>
  <c r="E273" i="4"/>
  <c r="S272" i="4"/>
  <c r="R272" i="4"/>
  <c r="N272" i="4"/>
  <c r="M272" i="4"/>
  <c r="L272" i="4"/>
  <c r="K272" i="4"/>
  <c r="J272" i="4"/>
  <c r="I272" i="4"/>
  <c r="H272" i="4"/>
  <c r="G272" i="4"/>
  <c r="F272" i="4"/>
  <c r="E272" i="4"/>
  <c r="R271" i="4"/>
  <c r="M271" i="4"/>
  <c r="L271" i="4"/>
  <c r="K271" i="4"/>
  <c r="J271" i="4"/>
  <c r="I271" i="4"/>
  <c r="H271" i="4"/>
  <c r="G271" i="4"/>
  <c r="F271" i="4"/>
  <c r="E271" i="4"/>
  <c r="R270" i="4"/>
  <c r="M270" i="4"/>
  <c r="L270" i="4"/>
  <c r="K270" i="4"/>
  <c r="J270" i="4"/>
  <c r="I270" i="4"/>
  <c r="H270" i="4"/>
  <c r="G270" i="4"/>
  <c r="F270" i="4"/>
  <c r="E270" i="4"/>
  <c r="R269" i="4"/>
  <c r="M269" i="4"/>
  <c r="L269" i="4"/>
  <c r="K269" i="4"/>
  <c r="J269" i="4"/>
  <c r="I269" i="4"/>
  <c r="H269" i="4"/>
  <c r="G269" i="4"/>
  <c r="F269" i="4"/>
  <c r="E269" i="4"/>
  <c r="R268" i="4"/>
  <c r="M268" i="4"/>
  <c r="L268" i="4"/>
  <c r="K268" i="4"/>
  <c r="J268" i="4"/>
  <c r="I268" i="4"/>
  <c r="H268" i="4"/>
  <c r="G268" i="4"/>
  <c r="F268" i="4"/>
  <c r="E268" i="4"/>
  <c r="R267" i="4"/>
  <c r="M267" i="4"/>
  <c r="L267" i="4"/>
  <c r="K267" i="4"/>
  <c r="J267" i="4"/>
  <c r="I267" i="4"/>
  <c r="H267" i="4"/>
  <c r="G267" i="4"/>
  <c r="F267" i="4"/>
  <c r="E267" i="4"/>
  <c r="R266" i="4"/>
  <c r="M266" i="4"/>
  <c r="L266" i="4"/>
  <c r="K266" i="4"/>
  <c r="J266" i="4"/>
  <c r="I266" i="4"/>
  <c r="H266" i="4"/>
  <c r="G266" i="4"/>
  <c r="F266" i="4"/>
  <c r="E266" i="4"/>
  <c r="R265" i="4"/>
  <c r="M265" i="4"/>
  <c r="L265" i="4"/>
  <c r="K265" i="4"/>
  <c r="J265" i="4"/>
  <c r="I265" i="4"/>
  <c r="H265" i="4"/>
  <c r="G265" i="4"/>
  <c r="F265" i="4"/>
  <c r="E265" i="4"/>
  <c r="R264" i="4"/>
  <c r="M264" i="4"/>
  <c r="L264" i="4"/>
  <c r="K264" i="4"/>
  <c r="J264" i="4"/>
  <c r="I264" i="4"/>
  <c r="H264" i="4"/>
  <c r="G264" i="4"/>
  <c r="F264" i="4"/>
  <c r="E264" i="4"/>
  <c r="R263" i="4"/>
  <c r="M263" i="4"/>
  <c r="L263" i="4"/>
  <c r="K263" i="4"/>
  <c r="J263" i="4"/>
  <c r="I263" i="4"/>
  <c r="H263" i="4"/>
  <c r="G263" i="4"/>
  <c r="F263" i="4"/>
  <c r="E263" i="4"/>
  <c r="R262" i="4"/>
  <c r="M262" i="4"/>
  <c r="L262" i="4"/>
  <c r="K262" i="4"/>
  <c r="J262" i="4"/>
  <c r="I262" i="4"/>
  <c r="H262" i="4"/>
  <c r="G262" i="4"/>
  <c r="F262" i="4"/>
  <c r="E262" i="4"/>
  <c r="R261" i="4"/>
  <c r="M261" i="4"/>
  <c r="L261" i="4"/>
  <c r="K261" i="4"/>
  <c r="J261" i="4"/>
  <c r="I261" i="4"/>
  <c r="H261" i="4"/>
  <c r="G261" i="4"/>
  <c r="F261" i="4"/>
  <c r="E261" i="4"/>
  <c r="R260" i="4"/>
  <c r="M260" i="4"/>
  <c r="L260" i="4"/>
  <c r="K260" i="4"/>
  <c r="J260" i="4"/>
  <c r="I260" i="4"/>
  <c r="H260" i="4"/>
  <c r="G260" i="4"/>
  <c r="F260" i="4"/>
  <c r="E260" i="4"/>
  <c r="R259" i="4"/>
  <c r="M259" i="4"/>
  <c r="L259" i="4"/>
  <c r="K259" i="4"/>
  <c r="J259" i="4"/>
  <c r="I259" i="4"/>
  <c r="H259" i="4"/>
  <c r="G259" i="4"/>
  <c r="F259" i="4"/>
  <c r="E259" i="4"/>
  <c r="R258" i="4"/>
  <c r="M258" i="4"/>
  <c r="L258" i="4"/>
  <c r="K258" i="4"/>
  <c r="J258" i="4"/>
  <c r="I258" i="4"/>
  <c r="H258" i="4"/>
  <c r="G258" i="4"/>
  <c r="F258" i="4"/>
  <c r="E258" i="4"/>
  <c r="R257" i="4"/>
  <c r="M257" i="4"/>
  <c r="L257" i="4"/>
  <c r="K257" i="4"/>
  <c r="J257" i="4"/>
  <c r="I257" i="4"/>
  <c r="H257" i="4"/>
  <c r="G257" i="4"/>
  <c r="F257" i="4"/>
  <c r="E257" i="4"/>
  <c r="R256" i="4"/>
  <c r="M256" i="4"/>
  <c r="L256" i="4"/>
  <c r="K256" i="4"/>
  <c r="J256" i="4"/>
  <c r="I256" i="4"/>
  <c r="H256" i="4"/>
  <c r="G256" i="4"/>
  <c r="F256" i="4"/>
  <c r="E256" i="4"/>
  <c r="R255" i="4"/>
  <c r="M255" i="4"/>
  <c r="L255" i="4"/>
  <c r="K255" i="4"/>
  <c r="J255" i="4"/>
  <c r="I255" i="4"/>
  <c r="H255" i="4"/>
  <c r="G255" i="4"/>
  <c r="F255" i="4"/>
  <c r="E255" i="4"/>
  <c r="R254" i="4"/>
  <c r="M254" i="4"/>
  <c r="L254" i="4"/>
  <c r="K254" i="4"/>
  <c r="J254" i="4"/>
  <c r="I254" i="4"/>
  <c r="H254" i="4"/>
  <c r="G254" i="4"/>
  <c r="F254" i="4"/>
  <c r="E254" i="4"/>
  <c r="R253" i="4"/>
  <c r="M253" i="4"/>
  <c r="L253" i="4"/>
  <c r="K253" i="4"/>
  <c r="J253" i="4"/>
  <c r="I253" i="4"/>
  <c r="H253" i="4"/>
  <c r="G253" i="4"/>
  <c r="F253" i="4"/>
  <c r="E253" i="4"/>
  <c r="U252" i="4"/>
  <c r="T252" i="4"/>
  <c r="S252" i="4"/>
  <c r="R252" i="4"/>
  <c r="P252" i="4"/>
  <c r="O252" i="4"/>
  <c r="N252" i="4"/>
  <c r="M252" i="4"/>
  <c r="L252" i="4"/>
  <c r="K252" i="4"/>
  <c r="J252" i="4"/>
  <c r="I252" i="4"/>
  <c r="H252" i="4"/>
  <c r="G252" i="4"/>
  <c r="F252" i="4"/>
  <c r="E252" i="4"/>
  <c r="D252" i="4"/>
  <c r="C252" i="4"/>
  <c r="R251" i="4"/>
  <c r="M251" i="4"/>
  <c r="L251" i="4"/>
  <c r="K251" i="4"/>
  <c r="J251" i="4"/>
  <c r="I251" i="4"/>
  <c r="H251" i="4"/>
  <c r="G251" i="4"/>
  <c r="F251" i="4"/>
  <c r="E251" i="4"/>
  <c r="S250" i="4"/>
  <c r="R250" i="4"/>
  <c r="N250" i="4"/>
  <c r="M250" i="4"/>
  <c r="L250" i="4"/>
  <c r="K250" i="4"/>
  <c r="J250" i="4"/>
  <c r="I250" i="4"/>
  <c r="H250" i="4"/>
  <c r="G250" i="4"/>
  <c r="F250" i="4"/>
  <c r="E250" i="4"/>
  <c r="R249" i="4"/>
  <c r="M249" i="4"/>
  <c r="L249" i="4"/>
  <c r="K249" i="4"/>
  <c r="J249" i="4"/>
  <c r="I249" i="4"/>
  <c r="H249" i="4"/>
  <c r="G249" i="4"/>
  <c r="F249" i="4"/>
  <c r="E249" i="4"/>
  <c r="R248" i="4"/>
  <c r="M248" i="4"/>
  <c r="L248" i="4"/>
  <c r="K248" i="4"/>
  <c r="J248" i="4"/>
  <c r="I248" i="4"/>
  <c r="H248" i="4"/>
  <c r="G248" i="4"/>
  <c r="F248" i="4"/>
  <c r="E248" i="4"/>
  <c r="T247" i="4"/>
  <c r="S247" i="4"/>
  <c r="R247" i="4"/>
  <c r="O247" i="4"/>
  <c r="N247" i="4"/>
  <c r="M247" i="4"/>
  <c r="L247" i="4"/>
  <c r="K247" i="4"/>
  <c r="J247" i="4"/>
  <c r="I247" i="4"/>
  <c r="H247" i="4"/>
  <c r="G247" i="4"/>
  <c r="F247" i="4"/>
  <c r="E247" i="4"/>
  <c r="D247" i="4"/>
  <c r="C247" i="4"/>
  <c r="T246" i="4"/>
  <c r="S246" i="4"/>
  <c r="R246" i="4"/>
  <c r="D246" i="4"/>
  <c r="C246" i="4"/>
  <c r="S245" i="4"/>
  <c r="R245" i="4"/>
  <c r="N245" i="4"/>
  <c r="M245" i="4"/>
  <c r="L245" i="4"/>
  <c r="K245" i="4"/>
  <c r="J245" i="4"/>
  <c r="I245" i="4"/>
  <c r="H245" i="4"/>
  <c r="G245" i="4"/>
  <c r="F245" i="4"/>
  <c r="E245" i="4"/>
  <c r="R244" i="4"/>
  <c r="M244" i="4"/>
  <c r="L244" i="4"/>
  <c r="K244" i="4"/>
  <c r="J244" i="4"/>
  <c r="I244" i="4"/>
  <c r="H244" i="4"/>
  <c r="G244" i="4"/>
  <c r="F244" i="4"/>
  <c r="E244" i="4"/>
  <c r="U243" i="4"/>
  <c r="T243" i="4"/>
  <c r="S243" i="4"/>
  <c r="R243" i="4"/>
  <c r="P243" i="4"/>
  <c r="O243" i="4"/>
  <c r="N243" i="4"/>
  <c r="M243" i="4"/>
  <c r="L243" i="4"/>
  <c r="K243" i="4"/>
  <c r="J243" i="4"/>
  <c r="I243" i="4"/>
  <c r="H243" i="4"/>
  <c r="G243" i="4"/>
  <c r="F243" i="4"/>
  <c r="E243" i="4"/>
  <c r="D243" i="4"/>
  <c r="C243" i="4"/>
  <c r="T242" i="4"/>
  <c r="S242" i="4"/>
  <c r="R242" i="4"/>
  <c r="D242" i="4"/>
  <c r="C242" i="4"/>
  <c r="R241" i="4"/>
  <c r="M241" i="4"/>
  <c r="L241" i="4"/>
  <c r="K241" i="4"/>
  <c r="J241" i="4"/>
  <c r="I241" i="4"/>
  <c r="H241" i="4"/>
  <c r="G241" i="4"/>
  <c r="F241" i="4"/>
  <c r="E241" i="4"/>
  <c r="S240" i="4"/>
  <c r="R240" i="4"/>
  <c r="N240" i="4"/>
  <c r="M240" i="4"/>
  <c r="L240" i="4"/>
  <c r="K240" i="4"/>
  <c r="J240" i="4"/>
  <c r="I240" i="4"/>
  <c r="H240" i="4"/>
  <c r="G240" i="4"/>
  <c r="F240" i="4"/>
  <c r="E240" i="4"/>
  <c r="S239" i="4"/>
  <c r="R239" i="4"/>
  <c r="N239" i="4"/>
  <c r="M239" i="4"/>
  <c r="L239" i="4"/>
  <c r="K239" i="4"/>
  <c r="J239" i="4"/>
  <c r="I239" i="4"/>
  <c r="H239" i="4"/>
  <c r="G239" i="4"/>
  <c r="F239" i="4"/>
  <c r="E239" i="4"/>
  <c r="R238" i="4"/>
  <c r="M238" i="4"/>
  <c r="L238" i="4"/>
  <c r="K238" i="4"/>
  <c r="J238" i="4"/>
  <c r="I238" i="4"/>
  <c r="H238" i="4"/>
  <c r="G238" i="4"/>
  <c r="F238" i="4"/>
  <c r="E238" i="4"/>
  <c r="R237" i="4"/>
  <c r="M237" i="4"/>
  <c r="L237" i="4"/>
  <c r="K237" i="4"/>
  <c r="J237" i="4"/>
  <c r="I237" i="4"/>
  <c r="H237" i="4"/>
  <c r="G237" i="4"/>
  <c r="F237" i="4"/>
  <c r="E237" i="4"/>
  <c r="R236" i="4"/>
  <c r="M236" i="4"/>
  <c r="L236" i="4"/>
  <c r="K236" i="4"/>
  <c r="J236" i="4"/>
  <c r="I236" i="4"/>
  <c r="H236" i="4"/>
  <c r="G236" i="4"/>
  <c r="F236" i="4"/>
  <c r="E236" i="4"/>
  <c r="R235" i="4"/>
  <c r="M235" i="4"/>
  <c r="L235" i="4"/>
  <c r="K235" i="4"/>
  <c r="J235" i="4"/>
  <c r="I235" i="4"/>
  <c r="H235" i="4"/>
  <c r="G235" i="4"/>
  <c r="F235" i="4"/>
  <c r="E235" i="4"/>
  <c r="S234" i="4"/>
  <c r="R234" i="4"/>
  <c r="N234" i="4"/>
  <c r="M234" i="4"/>
  <c r="L234" i="4"/>
  <c r="K234" i="4"/>
  <c r="J234" i="4"/>
  <c r="I234" i="4"/>
  <c r="H234" i="4"/>
  <c r="G234" i="4"/>
  <c r="F234" i="4"/>
  <c r="E234" i="4"/>
  <c r="R233" i="4"/>
  <c r="M233" i="4"/>
  <c r="L233" i="4"/>
  <c r="K233" i="4"/>
  <c r="J233" i="4"/>
  <c r="I233" i="4"/>
  <c r="H233" i="4"/>
  <c r="G233" i="4"/>
  <c r="F233" i="4"/>
  <c r="E233" i="4"/>
  <c r="R232" i="4"/>
  <c r="M232" i="4"/>
  <c r="L232" i="4"/>
  <c r="K232" i="4"/>
  <c r="J232" i="4"/>
  <c r="I232" i="4"/>
  <c r="H232" i="4"/>
  <c r="G232" i="4"/>
  <c r="F232" i="4"/>
  <c r="E232" i="4"/>
  <c r="R231" i="4"/>
  <c r="M231" i="4"/>
  <c r="L231" i="4"/>
  <c r="K231" i="4"/>
  <c r="J231" i="4"/>
  <c r="I231" i="4"/>
  <c r="H231" i="4"/>
  <c r="G231" i="4"/>
  <c r="F231" i="4"/>
  <c r="E231" i="4"/>
  <c r="T230" i="4"/>
  <c r="S230" i="4"/>
  <c r="R230" i="4"/>
  <c r="O230" i="4"/>
  <c r="N230" i="4"/>
  <c r="M230" i="4"/>
  <c r="L230" i="4"/>
  <c r="K230" i="4"/>
  <c r="J230" i="4"/>
  <c r="I230" i="4"/>
  <c r="H230" i="4"/>
  <c r="G230" i="4"/>
  <c r="F230" i="4"/>
  <c r="E230" i="4"/>
  <c r="D230" i="4"/>
  <c r="C230" i="4"/>
  <c r="R229" i="4"/>
  <c r="M229" i="4"/>
  <c r="L229" i="4"/>
  <c r="K229" i="4"/>
  <c r="J229" i="4"/>
  <c r="I229" i="4"/>
  <c r="H229" i="4"/>
  <c r="G229" i="4"/>
  <c r="F229" i="4"/>
  <c r="E229" i="4"/>
  <c r="S228" i="4"/>
  <c r="R228" i="4"/>
  <c r="N228" i="4"/>
  <c r="M228" i="4"/>
  <c r="L228" i="4"/>
  <c r="K228" i="4"/>
  <c r="J228" i="4"/>
  <c r="I228" i="4"/>
  <c r="H228" i="4"/>
  <c r="G228" i="4"/>
  <c r="F228" i="4"/>
  <c r="E228" i="4"/>
  <c r="R227" i="4"/>
  <c r="M227" i="4"/>
  <c r="L227" i="4"/>
  <c r="K227" i="4"/>
  <c r="J227" i="4"/>
  <c r="I227" i="4"/>
  <c r="H227" i="4"/>
  <c r="G227" i="4"/>
  <c r="F227" i="4"/>
  <c r="E227" i="4"/>
  <c r="R226" i="4"/>
  <c r="M226" i="4"/>
  <c r="L226" i="4"/>
  <c r="K226" i="4"/>
  <c r="J226" i="4"/>
  <c r="I226" i="4"/>
  <c r="H226" i="4"/>
  <c r="G226" i="4"/>
  <c r="F226" i="4"/>
  <c r="E226" i="4"/>
  <c r="R225" i="4"/>
  <c r="M225" i="4"/>
  <c r="L225" i="4"/>
  <c r="K225" i="4"/>
  <c r="J225" i="4"/>
  <c r="I225" i="4"/>
  <c r="H225" i="4"/>
  <c r="G225" i="4"/>
  <c r="F225" i="4"/>
  <c r="E225" i="4"/>
  <c r="R224" i="4"/>
  <c r="M224" i="4"/>
  <c r="L224" i="4"/>
  <c r="K224" i="4"/>
  <c r="J224" i="4"/>
  <c r="I224" i="4"/>
  <c r="H224" i="4"/>
  <c r="G224" i="4"/>
  <c r="F224" i="4"/>
  <c r="E224" i="4"/>
  <c r="R223" i="4"/>
  <c r="M223" i="4"/>
  <c r="L223" i="4"/>
  <c r="K223" i="4"/>
  <c r="J223" i="4"/>
  <c r="I223" i="4"/>
  <c r="H223" i="4"/>
  <c r="G223" i="4"/>
  <c r="F223" i="4"/>
  <c r="E223" i="4"/>
  <c r="R222" i="4"/>
  <c r="M222" i="4"/>
  <c r="L222" i="4"/>
  <c r="K222" i="4"/>
  <c r="J222" i="4"/>
  <c r="I222" i="4"/>
  <c r="H222" i="4"/>
  <c r="G222" i="4"/>
  <c r="F222" i="4"/>
  <c r="E222" i="4"/>
  <c r="R221" i="4"/>
  <c r="M221" i="4"/>
  <c r="L221" i="4"/>
  <c r="K221" i="4"/>
  <c r="J221" i="4"/>
  <c r="I221" i="4"/>
  <c r="H221" i="4"/>
  <c r="G221" i="4"/>
  <c r="F221" i="4"/>
  <c r="E221" i="4"/>
  <c r="T220" i="4"/>
  <c r="S220" i="4"/>
  <c r="R220" i="4"/>
  <c r="O220" i="4"/>
  <c r="N220" i="4"/>
  <c r="M220" i="4"/>
  <c r="L220" i="4"/>
  <c r="K220" i="4"/>
  <c r="J220" i="4"/>
  <c r="I220" i="4"/>
  <c r="H220" i="4"/>
  <c r="G220" i="4"/>
  <c r="F220" i="4"/>
  <c r="E220" i="4"/>
  <c r="D220" i="4"/>
  <c r="C220" i="4"/>
  <c r="T219" i="4"/>
  <c r="S219" i="4"/>
  <c r="R219" i="4"/>
  <c r="D219" i="4"/>
  <c r="C219" i="4"/>
  <c r="T218" i="4"/>
  <c r="S218" i="4"/>
  <c r="R218" i="4"/>
  <c r="D218" i="4"/>
  <c r="C218" i="4"/>
  <c r="R217" i="4"/>
  <c r="M217" i="4"/>
  <c r="L217" i="4"/>
  <c r="K217" i="4"/>
  <c r="J217" i="4"/>
  <c r="I217" i="4"/>
  <c r="H217" i="4"/>
  <c r="G217" i="4"/>
  <c r="F217" i="4"/>
  <c r="E217" i="4"/>
  <c r="R216" i="4"/>
  <c r="M216" i="4"/>
  <c r="L216" i="4"/>
  <c r="K216" i="4"/>
  <c r="J216" i="4"/>
  <c r="I216" i="4"/>
  <c r="H216" i="4"/>
  <c r="G216" i="4"/>
  <c r="F216" i="4"/>
  <c r="E216" i="4"/>
  <c r="S215" i="4"/>
  <c r="R215" i="4"/>
  <c r="N215" i="4"/>
  <c r="M215" i="4"/>
  <c r="L215" i="4"/>
  <c r="K215" i="4"/>
  <c r="J215" i="4"/>
  <c r="I215" i="4"/>
  <c r="H215" i="4"/>
  <c r="G215" i="4"/>
  <c r="F215" i="4"/>
  <c r="E215" i="4"/>
  <c r="R214" i="4"/>
  <c r="M214" i="4"/>
  <c r="L214" i="4"/>
  <c r="K214" i="4"/>
  <c r="J214" i="4"/>
  <c r="I214" i="4"/>
  <c r="H214" i="4"/>
  <c r="G214" i="4"/>
  <c r="F214" i="4"/>
  <c r="E214" i="4"/>
  <c r="R213" i="4"/>
  <c r="M213" i="4"/>
  <c r="L213" i="4"/>
  <c r="K213" i="4"/>
  <c r="J213" i="4"/>
  <c r="I213" i="4"/>
  <c r="H213" i="4"/>
  <c r="G213" i="4"/>
  <c r="F213" i="4"/>
  <c r="E213" i="4"/>
  <c r="R212" i="4"/>
  <c r="M212" i="4"/>
  <c r="L212" i="4"/>
  <c r="K212" i="4"/>
  <c r="J212" i="4"/>
  <c r="I212" i="4"/>
  <c r="H212" i="4"/>
  <c r="G212" i="4"/>
  <c r="F212" i="4"/>
  <c r="E212" i="4"/>
  <c r="R211" i="4"/>
  <c r="M211" i="4"/>
  <c r="L211" i="4"/>
  <c r="K211" i="4"/>
  <c r="J211" i="4"/>
  <c r="I211" i="4"/>
  <c r="H211" i="4"/>
  <c r="G211" i="4"/>
  <c r="F211" i="4"/>
  <c r="E211" i="4"/>
  <c r="T210" i="4"/>
  <c r="S210" i="4"/>
  <c r="R210" i="4"/>
  <c r="O210" i="4"/>
  <c r="N210" i="4"/>
  <c r="M210" i="4"/>
  <c r="L210" i="4"/>
  <c r="K210" i="4"/>
  <c r="J210" i="4"/>
  <c r="I210" i="4"/>
  <c r="H210" i="4"/>
  <c r="G210" i="4"/>
  <c r="F210" i="4"/>
  <c r="E210" i="4"/>
  <c r="D210" i="4"/>
  <c r="C210" i="4"/>
  <c r="T209" i="4"/>
  <c r="S209" i="4"/>
  <c r="R209" i="4"/>
  <c r="D209" i="4"/>
  <c r="C209" i="4"/>
  <c r="R208" i="4"/>
  <c r="M208" i="4"/>
  <c r="L208" i="4"/>
  <c r="K208" i="4"/>
  <c r="J208" i="4"/>
  <c r="I208" i="4"/>
  <c r="H208" i="4"/>
  <c r="G208" i="4"/>
  <c r="F208" i="4"/>
  <c r="E208" i="4"/>
  <c r="S207" i="4"/>
  <c r="R207" i="4"/>
  <c r="N207" i="4"/>
  <c r="M207" i="4"/>
  <c r="L207" i="4"/>
  <c r="K207" i="4"/>
  <c r="J207" i="4"/>
  <c r="I207" i="4"/>
  <c r="H207" i="4"/>
  <c r="G207" i="4"/>
  <c r="F207" i="4"/>
  <c r="E207" i="4"/>
  <c r="R206" i="4"/>
  <c r="M206" i="4"/>
  <c r="L206" i="4"/>
  <c r="K206" i="4"/>
  <c r="J206" i="4"/>
  <c r="I206" i="4"/>
  <c r="H206" i="4"/>
  <c r="G206" i="4"/>
  <c r="F206" i="4"/>
  <c r="E206" i="4"/>
  <c r="R205" i="4"/>
  <c r="M205" i="4"/>
  <c r="L205" i="4"/>
  <c r="K205" i="4"/>
  <c r="J205" i="4"/>
  <c r="I205" i="4"/>
  <c r="H205" i="4"/>
  <c r="G205" i="4"/>
  <c r="F205" i="4"/>
  <c r="E205" i="4"/>
  <c r="T204" i="4"/>
  <c r="S204" i="4"/>
  <c r="R204" i="4"/>
  <c r="O204" i="4"/>
  <c r="N204" i="4"/>
  <c r="M204" i="4"/>
  <c r="L204" i="4"/>
  <c r="K204" i="4"/>
  <c r="J204" i="4"/>
  <c r="I204" i="4"/>
  <c r="H204" i="4"/>
  <c r="G204" i="4"/>
  <c r="F204" i="4"/>
  <c r="E204" i="4"/>
  <c r="D204" i="4"/>
  <c r="C204" i="4"/>
  <c r="T203" i="4"/>
  <c r="S203" i="4"/>
  <c r="R203" i="4"/>
  <c r="D203" i="4"/>
  <c r="C203" i="4"/>
  <c r="R202" i="4"/>
  <c r="M202" i="4"/>
  <c r="L202" i="4"/>
  <c r="K202" i="4"/>
  <c r="J202" i="4"/>
  <c r="I202" i="4"/>
  <c r="H202" i="4"/>
  <c r="G202" i="4"/>
  <c r="F202" i="4"/>
  <c r="E202" i="4"/>
  <c r="S201" i="4"/>
  <c r="R201" i="4"/>
  <c r="N201" i="4"/>
  <c r="M201" i="4"/>
  <c r="L201" i="4"/>
  <c r="K201" i="4"/>
  <c r="J201" i="4"/>
  <c r="I201" i="4"/>
  <c r="H201" i="4"/>
  <c r="G201" i="4"/>
  <c r="F201" i="4"/>
  <c r="E201" i="4"/>
  <c r="R200" i="4"/>
  <c r="M200" i="4"/>
  <c r="L200" i="4"/>
  <c r="K200" i="4"/>
  <c r="J200" i="4"/>
  <c r="I200" i="4"/>
  <c r="H200" i="4"/>
  <c r="G200" i="4"/>
  <c r="F200" i="4"/>
  <c r="E200" i="4"/>
  <c r="R199" i="4"/>
  <c r="M199" i="4"/>
  <c r="L199" i="4"/>
  <c r="K199" i="4"/>
  <c r="J199" i="4"/>
  <c r="I199" i="4"/>
  <c r="H199" i="4"/>
  <c r="G199" i="4"/>
  <c r="F199" i="4"/>
  <c r="E199" i="4"/>
  <c r="R198" i="4"/>
  <c r="M198" i="4"/>
  <c r="L198" i="4"/>
  <c r="K198" i="4"/>
  <c r="J198" i="4"/>
  <c r="I198" i="4"/>
  <c r="H198" i="4"/>
  <c r="G198" i="4"/>
  <c r="F198" i="4"/>
  <c r="E198" i="4"/>
  <c r="R197" i="4"/>
  <c r="M197" i="4"/>
  <c r="L197" i="4"/>
  <c r="K197" i="4"/>
  <c r="J197" i="4"/>
  <c r="I197" i="4"/>
  <c r="H197" i="4"/>
  <c r="G197" i="4"/>
  <c r="F197" i="4"/>
  <c r="E197" i="4"/>
  <c r="R196" i="4"/>
  <c r="M196" i="4"/>
  <c r="L196" i="4"/>
  <c r="K196" i="4"/>
  <c r="J196" i="4"/>
  <c r="I196" i="4"/>
  <c r="H196" i="4"/>
  <c r="G196" i="4"/>
  <c r="F196" i="4"/>
  <c r="E196" i="4"/>
  <c r="R195" i="4"/>
  <c r="M195" i="4"/>
  <c r="L195" i="4"/>
  <c r="K195" i="4"/>
  <c r="J195" i="4"/>
  <c r="I195" i="4"/>
  <c r="H195" i="4"/>
  <c r="G195" i="4"/>
  <c r="F195" i="4"/>
  <c r="E195" i="4"/>
  <c r="R194" i="4"/>
  <c r="M194" i="4"/>
  <c r="L194" i="4"/>
  <c r="K194" i="4"/>
  <c r="J194" i="4"/>
  <c r="I194" i="4"/>
  <c r="H194" i="4"/>
  <c r="G194" i="4"/>
  <c r="F194" i="4"/>
  <c r="E194" i="4"/>
  <c r="R193" i="4"/>
  <c r="M193" i="4"/>
  <c r="L193" i="4"/>
  <c r="K193" i="4"/>
  <c r="J193" i="4"/>
  <c r="I193" i="4"/>
  <c r="H193" i="4"/>
  <c r="G193" i="4"/>
  <c r="F193" i="4"/>
  <c r="E193" i="4"/>
  <c r="R192" i="4"/>
  <c r="M192" i="4"/>
  <c r="L192" i="4"/>
  <c r="K192" i="4"/>
  <c r="J192" i="4"/>
  <c r="I192" i="4"/>
  <c r="H192" i="4"/>
  <c r="G192" i="4"/>
  <c r="F192" i="4"/>
  <c r="E192" i="4"/>
  <c r="R191" i="4"/>
  <c r="M191" i="4"/>
  <c r="L191" i="4"/>
  <c r="K191" i="4"/>
  <c r="J191" i="4"/>
  <c r="I191" i="4"/>
  <c r="H191" i="4"/>
  <c r="G191" i="4"/>
  <c r="F191" i="4"/>
  <c r="E191" i="4"/>
  <c r="S190" i="4"/>
  <c r="R190" i="4"/>
  <c r="N190" i="4"/>
  <c r="M190" i="4"/>
  <c r="L190" i="4"/>
  <c r="K190" i="4"/>
  <c r="J190" i="4"/>
  <c r="I190" i="4"/>
  <c r="H190" i="4"/>
  <c r="G190" i="4"/>
  <c r="F190" i="4"/>
  <c r="E190" i="4"/>
  <c r="R189" i="4"/>
  <c r="M189" i="4"/>
  <c r="L189" i="4"/>
  <c r="K189" i="4"/>
  <c r="J189" i="4"/>
  <c r="I189" i="4"/>
  <c r="H189" i="4"/>
  <c r="G189" i="4"/>
  <c r="F189" i="4"/>
  <c r="E189" i="4"/>
  <c r="R188" i="4"/>
  <c r="M188" i="4"/>
  <c r="L188" i="4"/>
  <c r="K188" i="4"/>
  <c r="J188" i="4"/>
  <c r="I188" i="4"/>
  <c r="H188" i="4"/>
  <c r="G188" i="4"/>
  <c r="F188" i="4"/>
  <c r="E188" i="4"/>
  <c r="R187" i="4"/>
  <c r="M187" i="4"/>
  <c r="L187" i="4"/>
  <c r="K187" i="4"/>
  <c r="J187" i="4"/>
  <c r="I187" i="4"/>
  <c r="H187" i="4"/>
  <c r="G187" i="4"/>
  <c r="F187" i="4"/>
  <c r="E187" i="4"/>
  <c r="R186" i="4"/>
  <c r="M186" i="4"/>
  <c r="L186" i="4"/>
  <c r="K186" i="4"/>
  <c r="J186" i="4"/>
  <c r="I186" i="4"/>
  <c r="H186" i="4"/>
  <c r="G186" i="4"/>
  <c r="F186" i="4"/>
  <c r="E186" i="4"/>
  <c r="R185" i="4"/>
  <c r="M185" i="4"/>
  <c r="L185" i="4"/>
  <c r="K185" i="4"/>
  <c r="J185" i="4"/>
  <c r="I185" i="4"/>
  <c r="H185" i="4"/>
  <c r="G185" i="4"/>
  <c r="F185" i="4"/>
  <c r="E185" i="4"/>
  <c r="R184" i="4"/>
  <c r="M184" i="4"/>
  <c r="L184" i="4"/>
  <c r="K184" i="4"/>
  <c r="J184" i="4"/>
  <c r="I184" i="4"/>
  <c r="H184" i="4"/>
  <c r="G184" i="4"/>
  <c r="F184" i="4"/>
  <c r="E184" i="4"/>
  <c r="R183" i="4"/>
  <c r="M183" i="4"/>
  <c r="L183" i="4"/>
  <c r="K183" i="4"/>
  <c r="J183" i="4"/>
  <c r="I183" i="4"/>
  <c r="H183" i="4"/>
  <c r="G183" i="4"/>
  <c r="F183" i="4"/>
  <c r="E183" i="4"/>
  <c r="R182" i="4"/>
  <c r="M182" i="4"/>
  <c r="L182" i="4"/>
  <c r="K182" i="4"/>
  <c r="J182" i="4"/>
  <c r="I182" i="4"/>
  <c r="H182" i="4"/>
  <c r="G182" i="4"/>
  <c r="F182" i="4"/>
  <c r="E182" i="4"/>
  <c r="R181" i="4"/>
  <c r="M181" i="4"/>
  <c r="L181" i="4"/>
  <c r="K181" i="4"/>
  <c r="J181" i="4"/>
  <c r="I181" i="4"/>
  <c r="H181" i="4"/>
  <c r="G181" i="4"/>
  <c r="F181" i="4"/>
  <c r="E181" i="4"/>
  <c r="U180" i="4"/>
  <c r="T180" i="4"/>
  <c r="S180" i="4"/>
  <c r="R180" i="4"/>
  <c r="P180" i="4"/>
  <c r="O180" i="4"/>
  <c r="N180" i="4"/>
  <c r="M180" i="4"/>
  <c r="L180" i="4"/>
  <c r="K180" i="4"/>
  <c r="J180" i="4"/>
  <c r="I180" i="4"/>
  <c r="H180" i="4"/>
  <c r="G180" i="4"/>
  <c r="F180" i="4"/>
  <c r="E180" i="4"/>
  <c r="D180" i="4"/>
  <c r="C180" i="4"/>
  <c r="T179" i="4"/>
  <c r="S179" i="4"/>
  <c r="R179" i="4"/>
  <c r="D179" i="4"/>
  <c r="C179" i="4"/>
  <c r="R178" i="4"/>
  <c r="M178" i="4"/>
  <c r="L178" i="4"/>
  <c r="K178" i="4"/>
  <c r="J178" i="4"/>
  <c r="I178" i="4"/>
  <c r="H178" i="4"/>
  <c r="G178" i="4"/>
  <c r="F178" i="4"/>
  <c r="E178" i="4"/>
  <c r="S177" i="4"/>
  <c r="R177" i="4"/>
  <c r="N177" i="4"/>
  <c r="M177" i="4"/>
  <c r="L177" i="4"/>
  <c r="K177" i="4"/>
  <c r="J177" i="4"/>
  <c r="I177" i="4"/>
  <c r="H177" i="4"/>
  <c r="G177" i="4"/>
  <c r="F177" i="4"/>
  <c r="E177" i="4"/>
  <c r="R176" i="4"/>
  <c r="M176" i="4"/>
  <c r="L176" i="4"/>
  <c r="K176" i="4"/>
  <c r="J176" i="4"/>
  <c r="I176" i="4"/>
  <c r="H176" i="4"/>
  <c r="G176" i="4"/>
  <c r="F176" i="4"/>
  <c r="E176" i="4"/>
  <c r="S175" i="4"/>
  <c r="R175" i="4"/>
  <c r="N175" i="4"/>
  <c r="M175" i="4"/>
  <c r="L175" i="4"/>
  <c r="K175" i="4"/>
  <c r="J175" i="4"/>
  <c r="I175" i="4"/>
  <c r="H175" i="4"/>
  <c r="G175" i="4"/>
  <c r="F175" i="4"/>
  <c r="E175" i="4"/>
  <c r="R174" i="4"/>
  <c r="M174" i="4"/>
  <c r="L174" i="4"/>
  <c r="K174" i="4"/>
  <c r="J174" i="4"/>
  <c r="I174" i="4"/>
  <c r="H174" i="4"/>
  <c r="G174" i="4"/>
  <c r="F174" i="4"/>
  <c r="E174" i="4"/>
  <c r="R173" i="4"/>
  <c r="M173" i="4"/>
  <c r="L173" i="4"/>
  <c r="K173" i="4"/>
  <c r="J173" i="4"/>
  <c r="I173" i="4"/>
  <c r="H173" i="4"/>
  <c r="G173" i="4"/>
  <c r="F173" i="4"/>
  <c r="E173" i="4"/>
  <c r="R172" i="4"/>
  <c r="M172" i="4"/>
  <c r="L172" i="4"/>
  <c r="K172" i="4"/>
  <c r="J172" i="4"/>
  <c r="I172" i="4"/>
  <c r="H172" i="4"/>
  <c r="G172" i="4"/>
  <c r="F172" i="4"/>
  <c r="E172" i="4"/>
  <c r="S171" i="4"/>
  <c r="R171" i="4"/>
  <c r="N171" i="4"/>
  <c r="M171" i="4"/>
  <c r="L171" i="4"/>
  <c r="K171" i="4"/>
  <c r="J171" i="4"/>
  <c r="I171" i="4"/>
  <c r="H171" i="4"/>
  <c r="G171" i="4"/>
  <c r="F171" i="4"/>
  <c r="E171" i="4"/>
  <c r="R170" i="4"/>
  <c r="M170" i="4"/>
  <c r="L170" i="4"/>
  <c r="K170" i="4"/>
  <c r="J170" i="4"/>
  <c r="I170" i="4"/>
  <c r="H170" i="4"/>
  <c r="G170" i="4"/>
  <c r="F170" i="4"/>
  <c r="E170" i="4"/>
  <c r="R169" i="4"/>
  <c r="M169" i="4"/>
  <c r="L169" i="4"/>
  <c r="K169" i="4"/>
  <c r="J169" i="4"/>
  <c r="I169" i="4"/>
  <c r="H169" i="4"/>
  <c r="G169" i="4"/>
  <c r="F169" i="4"/>
  <c r="E169" i="4"/>
  <c r="T168" i="4"/>
  <c r="S168" i="4"/>
  <c r="R168" i="4"/>
  <c r="O168" i="4"/>
  <c r="N168" i="4"/>
  <c r="M168" i="4"/>
  <c r="L168" i="4"/>
  <c r="K168" i="4"/>
  <c r="J168" i="4"/>
  <c r="I168" i="4"/>
  <c r="H168" i="4"/>
  <c r="G168" i="4"/>
  <c r="F168" i="4"/>
  <c r="E168" i="4"/>
  <c r="D168" i="4"/>
  <c r="C168" i="4"/>
  <c r="T167" i="4"/>
  <c r="S167" i="4"/>
  <c r="R167" i="4"/>
  <c r="D167" i="4"/>
  <c r="C167" i="4"/>
  <c r="T166" i="4"/>
  <c r="S166" i="4"/>
  <c r="R166" i="4"/>
  <c r="D166" i="4"/>
  <c r="C166" i="4"/>
  <c r="T165" i="4"/>
  <c r="S165" i="4"/>
  <c r="R165" i="4"/>
  <c r="D165" i="4"/>
  <c r="C165" i="4"/>
  <c r="T164" i="4"/>
  <c r="S164" i="4"/>
  <c r="R164" i="4"/>
  <c r="D164" i="4"/>
  <c r="C164" i="4"/>
  <c r="R163" i="4"/>
  <c r="M163" i="4"/>
  <c r="L163" i="4"/>
  <c r="K163" i="4"/>
  <c r="J163" i="4"/>
  <c r="I163" i="4"/>
  <c r="H163" i="4"/>
  <c r="G163" i="4"/>
  <c r="F163" i="4"/>
  <c r="E163" i="4"/>
  <c r="R162" i="4"/>
  <c r="M162" i="4"/>
  <c r="L162" i="4"/>
  <c r="K162" i="4"/>
  <c r="J162" i="4"/>
  <c r="I162" i="4"/>
  <c r="H162" i="4"/>
  <c r="G162" i="4"/>
  <c r="F162" i="4"/>
  <c r="E162" i="4"/>
  <c r="S161" i="4"/>
  <c r="R161" i="4"/>
  <c r="N161" i="4"/>
  <c r="M161" i="4"/>
  <c r="L161" i="4"/>
  <c r="K161" i="4"/>
  <c r="J161" i="4"/>
  <c r="I161" i="4"/>
  <c r="H161" i="4"/>
  <c r="G161" i="4"/>
  <c r="F161" i="4"/>
  <c r="E161" i="4"/>
  <c r="R160" i="4"/>
  <c r="M160" i="4"/>
  <c r="L160" i="4"/>
  <c r="K160" i="4"/>
  <c r="J160" i="4"/>
  <c r="I160" i="4"/>
  <c r="H160" i="4"/>
  <c r="G160" i="4"/>
  <c r="F160" i="4"/>
  <c r="E160" i="4"/>
  <c r="R159" i="4"/>
  <c r="M159" i="4"/>
  <c r="L159" i="4"/>
  <c r="K159" i="4"/>
  <c r="J159" i="4"/>
  <c r="I159" i="4"/>
  <c r="H159" i="4"/>
  <c r="G159" i="4"/>
  <c r="F159" i="4"/>
  <c r="E159" i="4"/>
  <c r="R158" i="4"/>
  <c r="M158" i="4"/>
  <c r="L158" i="4"/>
  <c r="K158" i="4"/>
  <c r="J158" i="4"/>
  <c r="I158" i="4"/>
  <c r="H158" i="4"/>
  <c r="G158" i="4"/>
  <c r="F158" i="4"/>
  <c r="E158" i="4"/>
  <c r="R157" i="4"/>
  <c r="M157" i="4"/>
  <c r="L157" i="4"/>
  <c r="K157" i="4"/>
  <c r="J157" i="4"/>
  <c r="I157" i="4"/>
  <c r="H157" i="4"/>
  <c r="G157" i="4"/>
  <c r="F157" i="4"/>
  <c r="E157" i="4"/>
  <c r="R156" i="4"/>
  <c r="M156" i="4"/>
  <c r="L156" i="4"/>
  <c r="K156" i="4"/>
  <c r="J156" i="4"/>
  <c r="I156" i="4"/>
  <c r="H156" i="4"/>
  <c r="G156" i="4"/>
  <c r="F156" i="4"/>
  <c r="E156" i="4"/>
  <c r="R155" i="4"/>
  <c r="M155" i="4"/>
  <c r="L155" i="4"/>
  <c r="K155" i="4"/>
  <c r="J155" i="4"/>
  <c r="I155" i="4"/>
  <c r="H155" i="4"/>
  <c r="G155" i="4"/>
  <c r="F155" i="4"/>
  <c r="E155" i="4"/>
  <c r="R154" i="4"/>
  <c r="M154" i="4"/>
  <c r="L154" i="4"/>
  <c r="K154" i="4"/>
  <c r="J154" i="4"/>
  <c r="I154" i="4"/>
  <c r="H154" i="4"/>
  <c r="G154" i="4"/>
  <c r="F154" i="4"/>
  <c r="E154" i="4"/>
  <c r="R153" i="4"/>
  <c r="M153" i="4"/>
  <c r="L153" i="4"/>
  <c r="K153" i="4"/>
  <c r="J153" i="4"/>
  <c r="I153" i="4"/>
  <c r="H153" i="4"/>
  <c r="G153" i="4"/>
  <c r="F153" i="4"/>
  <c r="E153" i="4"/>
  <c r="R152" i="4"/>
  <c r="M152" i="4"/>
  <c r="L152" i="4"/>
  <c r="K152" i="4"/>
  <c r="J152" i="4"/>
  <c r="I152" i="4"/>
  <c r="H152" i="4"/>
  <c r="G152" i="4"/>
  <c r="F152" i="4"/>
  <c r="E152" i="4"/>
  <c r="S151" i="4"/>
  <c r="R151" i="4"/>
  <c r="N151" i="4"/>
  <c r="M151" i="4"/>
  <c r="L151" i="4"/>
  <c r="K151" i="4"/>
  <c r="J151" i="4"/>
  <c r="I151" i="4"/>
  <c r="H151" i="4"/>
  <c r="G151" i="4"/>
  <c r="F151" i="4"/>
  <c r="E151" i="4"/>
  <c r="R150" i="4"/>
  <c r="M150" i="4"/>
  <c r="L150" i="4"/>
  <c r="K150" i="4"/>
  <c r="J150" i="4"/>
  <c r="I150" i="4"/>
  <c r="H150" i="4"/>
  <c r="G150" i="4"/>
  <c r="F150" i="4"/>
  <c r="E150" i="4"/>
  <c r="R149" i="4"/>
  <c r="M149" i="4"/>
  <c r="L149" i="4"/>
  <c r="K149" i="4"/>
  <c r="J149" i="4"/>
  <c r="I149" i="4"/>
  <c r="H149" i="4"/>
  <c r="G149" i="4"/>
  <c r="F149" i="4"/>
  <c r="E149" i="4"/>
  <c r="R148" i="4"/>
  <c r="M148" i="4"/>
  <c r="L148" i="4"/>
  <c r="K148" i="4"/>
  <c r="J148" i="4"/>
  <c r="I148" i="4"/>
  <c r="H148" i="4"/>
  <c r="G148" i="4"/>
  <c r="F148" i="4"/>
  <c r="E148" i="4"/>
  <c r="R147" i="4"/>
  <c r="M147" i="4"/>
  <c r="L147" i="4"/>
  <c r="K147" i="4"/>
  <c r="J147" i="4"/>
  <c r="I147" i="4"/>
  <c r="H147" i="4"/>
  <c r="G147" i="4"/>
  <c r="F147" i="4"/>
  <c r="E147" i="4"/>
  <c r="S146" i="4"/>
  <c r="R146" i="4"/>
  <c r="N146" i="4"/>
  <c r="M146" i="4"/>
  <c r="L146" i="4"/>
  <c r="K146" i="4"/>
  <c r="J146" i="4"/>
  <c r="I146" i="4"/>
  <c r="H146" i="4"/>
  <c r="G146" i="4"/>
  <c r="F146" i="4"/>
  <c r="E146" i="4"/>
  <c r="R145" i="4"/>
  <c r="M145" i="4"/>
  <c r="L145" i="4"/>
  <c r="K145" i="4"/>
  <c r="J145" i="4"/>
  <c r="I145" i="4"/>
  <c r="H145" i="4"/>
  <c r="G145" i="4"/>
  <c r="F145" i="4"/>
  <c r="E145" i="4"/>
  <c r="R144" i="4"/>
  <c r="M144" i="4"/>
  <c r="L144" i="4"/>
  <c r="K144" i="4"/>
  <c r="J144" i="4"/>
  <c r="I144" i="4"/>
  <c r="H144" i="4"/>
  <c r="G144" i="4"/>
  <c r="F144" i="4"/>
  <c r="E144" i="4"/>
  <c r="T143" i="4"/>
  <c r="S143" i="4"/>
  <c r="R143" i="4"/>
  <c r="O143" i="4"/>
  <c r="N143" i="4"/>
  <c r="M143" i="4"/>
  <c r="L143" i="4"/>
  <c r="K143" i="4"/>
  <c r="J143" i="4"/>
  <c r="I143" i="4"/>
  <c r="H143" i="4"/>
  <c r="G143" i="4"/>
  <c r="F143" i="4"/>
  <c r="E143" i="4"/>
  <c r="D143" i="4"/>
  <c r="C143" i="4"/>
  <c r="R142" i="4"/>
  <c r="M142" i="4"/>
  <c r="L142" i="4"/>
  <c r="K142" i="4"/>
  <c r="J142" i="4"/>
  <c r="I142" i="4"/>
  <c r="H142" i="4"/>
  <c r="G142" i="4"/>
  <c r="F142" i="4"/>
  <c r="E142" i="4"/>
  <c r="R141" i="4"/>
  <c r="M141" i="4"/>
  <c r="L141" i="4"/>
  <c r="K141" i="4"/>
  <c r="J141" i="4"/>
  <c r="I141" i="4"/>
  <c r="H141" i="4"/>
  <c r="G141" i="4"/>
  <c r="F141" i="4"/>
  <c r="E141" i="4"/>
  <c r="S140" i="4"/>
  <c r="R140" i="4"/>
  <c r="N140" i="4"/>
  <c r="M140" i="4"/>
  <c r="L140" i="4"/>
  <c r="K140" i="4"/>
  <c r="J140" i="4"/>
  <c r="I140" i="4"/>
  <c r="H140" i="4"/>
  <c r="G140" i="4"/>
  <c r="F140" i="4"/>
  <c r="E140" i="4"/>
  <c r="R139" i="4"/>
  <c r="M139" i="4"/>
  <c r="L139" i="4"/>
  <c r="K139" i="4"/>
  <c r="J139" i="4"/>
  <c r="I139" i="4"/>
  <c r="H139" i="4"/>
  <c r="G139" i="4"/>
  <c r="F139" i="4"/>
  <c r="E139" i="4"/>
  <c r="R138" i="4"/>
  <c r="M138" i="4"/>
  <c r="L138" i="4"/>
  <c r="K138" i="4"/>
  <c r="J138" i="4"/>
  <c r="I138" i="4"/>
  <c r="H138" i="4"/>
  <c r="G138" i="4"/>
  <c r="F138" i="4"/>
  <c r="E138" i="4"/>
  <c r="T137" i="4"/>
  <c r="S137" i="4"/>
  <c r="R137" i="4"/>
  <c r="O137" i="4"/>
  <c r="N137" i="4"/>
  <c r="M137" i="4"/>
  <c r="L137" i="4"/>
  <c r="K137" i="4"/>
  <c r="J137" i="4"/>
  <c r="I137" i="4"/>
  <c r="H137" i="4"/>
  <c r="G137" i="4"/>
  <c r="F137" i="4"/>
  <c r="E137" i="4"/>
  <c r="D137" i="4"/>
  <c r="C137" i="4"/>
  <c r="T136" i="4"/>
  <c r="S136" i="4"/>
  <c r="R136" i="4"/>
  <c r="D136" i="4"/>
  <c r="C136" i="4"/>
  <c r="T135" i="4"/>
  <c r="S135" i="4"/>
  <c r="R135" i="4"/>
  <c r="D135" i="4"/>
  <c r="C135" i="4"/>
  <c r="T134" i="4"/>
  <c r="S134" i="4"/>
  <c r="R134" i="4"/>
  <c r="D134" i="4"/>
  <c r="C134" i="4"/>
  <c r="T133" i="4"/>
  <c r="S133" i="4"/>
  <c r="R133" i="4"/>
  <c r="D133" i="4"/>
  <c r="C133" i="4"/>
  <c r="S132" i="4"/>
  <c r="R132" i="4"/>
  <c r="N132" i="4"/>
  <c r="M132" i="4"/>
  <c r="L132" i="4"/>
  <c r="K132" i="4"/>
  <c r="J132" i="4"/>
  <c r="I132" i="4"/>
  <c r="H132" i="4"/>
  <c r="G132" i="4"/>
  <c r="F132" i="4"/>
  <c r="E132" i="4"/>
  <c r="T131" i="4"/>
  <c r="S131" i="4"/>
  <c r="R131" i="4"/>
  <c r="O131" i="4"/>
  <c r="N131" i="4"/>
  <c r="M131" i="4"/>
  <c r="L131" i="4"/>
  <c r="K131" i="4"/>
  <c r="J131" i="4"/>
  <c r="I131" i="4"/>
  <c r="H131" i="4"/>
  <c r="G131" i="4"/>
  <c r="F131" i="4"/>
  <c r="E131" i="4"/>
  <c r="D131" i="4"/>
  <c r="C131" i="4"/>
  <c r="S130" i="4"/>
  <c r="R130" i="4"/>
  <c r="N130" i="4"/>
  <c r="M130" i="4"/>
  <c r="L130" i="4"/>
  <c r="K130" i="4"/>
  <c r="J130" i="4"/>
  <c r="I130" i="4"/>
  <c r="H130" i="4"/>
  <c r="G130" i="4"/>
  <c r="F130" i="4"/>
  <c r="E130" i="4"/>
  <c r="V129" i="4"/>
  <c r="U129" i="4"/>
  <c r="T129" i="4"/>
  <c r="S129" i="4"/>
  <c r="R129" i="4"/>
  <c r="Q129" i="4"/>
  <c r="P129" i="4"/>
  <c r="O129" i="4"/>
  <c r="N129" i="4"/>
  <c r="M129" i="4"/>
  <c r="L129" i="4"/>
  <c r="K129" i="4"/>
  <c r="J129" i="4"/>
  <c r="I129" i="4"/>
  <c r="H129" i="4"/>
  <c r="G129" i="4"/>
  <c r="F129" i="4"/>
  <c r="E129" i="4"/>
  <c r="D129" i="4"/>
  <c r="C129" i="4"/>
  <c r="S128" i="4"/>
  <c r="R128" i="4"/>
  <c r="N128" i="4"/>
  <c r="M128" i="4"/>
  <c r="L128" i="4"/>
  <c r="K128" i="4"/>
  <c r="J128" i="4"/>
  <c r="I128" i="4"/>
  <c r="H128" i="4"/>
  <c r="G128" i="4"/>
  <c r="F128" i="4"/>
  <c r="E128" i="4"/>
  <c r="S127" i="4"/>
  <c r="R127" i="4"/>
  <c r="N127" i="4"/>
  <c r="M127" i="4"/>
  <c r="L127" i="4"/>
  <c r="K127" i="4"/>
  <c r="J127" i="4"/>
  <c r="I127" i="4"/>
  <c r="H127" i="4"/>
  <c r="G127" i="4"/>
  <c r="F127" i="4"/>
  <c r="E127" i="4"/>
  <c r="T126" i="4"/>
  <c r="S126" i="4"/>
  <c r="R126" i="4"/>
  <c r="O126" i="4"/>
  <c r="N126" i="4"/>
  <c r="M126" i="4"/>
  <c r="L126" i="4"/>
  <c r="K126" i="4"/>
  <c r="J126" i="4"/>
  <c r="I126" i="4"/>
  <c r="H126" i="4"/>
  <c r="G126" i="4"/>
  <c r="F126" i="4"/>
  <c r="E126" i="4"/>
  <c r="D126" i="4"/>
  <c r="C126" i="4"/>
  <c r="T125" i="4"/>
  <c r="S125" i="4"/>
  <c r="R125" i="4"/>
  <c r="D125" i="4"/>
  <c r="C125" i="4"/>
  <c r="T124" i="4"/>
  <c r="S124" i="4"/>
  <c r="R124" i="4"/>
  <c r="O124" i="4"/>
  <c r="N124" i="4"/>
  <c r="M124" i="4"/>
  <c r="L124" i="4"/>
  <c r="K124" i="4"/>
  <c r="J124" i="4"/>
  <c r="I124" i="4"/>
  <c r="H124" i="4"/>
  <c r="G124" i="4"/>
  <c r="F124" i="4"/>
  <c r="E124" i="4"/>
  <c r="D124" i="4"/>
  <c r="C124" i="4"/>
  <c r="T123" i="4"/>
  <c r="S123" i="4"/>
  <c r="R123" i="4"/>
  <c r="D123" i="4"/>
  <c r="C123" i="4"/>
  <c r="U122" i="4"/>
  <c r="T122" i="4"/>
  <c r="S122" i="4"/>
  <c r="R122" i="4"/>
  <c r="P122" i="4"/>
  <c r="D122" i="4"/>
  <c r="C122" i="4"/>
  <c r="T121" i="4"/>
  <c r="S121" i="4"/>
  <c r="R121" i="4"/>
  <c r="O121" i="4"/>
  <c r="N121" i="4"/>
  <c r="M121" i="4"/>
  <c r="L121" i="4"/>
  <c r="K121" i="4"/>
  <c r="J121" i="4"/>
  <c r="I121" i="4"/>
  <c r="H121" i="4"/>
  <c r="G121" i="4"/>
  <c r="F121" i="4"/>
  <c r="E121" i="4"/>
  <c r="D121" i="4"/>
  <c r="C121" i="4"/>
  <c r="T120" i="4"/>
  <c r="S120" i="4"/>
  <c r="R120" i="4"/>
  <c r="D120" i="4"/>
  <c r="C120" i="4"/>
  <c r="U119" i="4"/>
  <c r="T119" i="4"/>
  <c r="S119" i="4"/>
  <c r="R119" i="4"/>
  <c r="P119" i="4"/>
  <c r="D119" i="4"/>
  <c r="C119" i="4"/>
  <c r="T118" i="4"/>
  <c r="S118" i="4"/>
  <c r="R118" i="4"/>
  <c r="D118" i="4"/>
  <c r="C118" i="4"/>
  <c r="T117" i="4"/>
  <c r="S117" i="4"/>
  <c r="R117" i="4"/>
  <c r="D117" i="4"/>
  <c r="C117" i="4"/>
  <c r="T116" i="4"/>
  <c r="S116" i="4"/>
  <c r="R116" i="4"/>
  <c r="D116" i="4"/>
  <c r="C116" i="4"/>
  <c r="U115" i="4"/>
  <c r="T115" i="4"/>
  <c r="S115" i="4"/>
  <c r="R115" i="4"/>
  <c r="D115" i="4"/>
  <c r="C115" i="4"/>
  <c r="T114" i="4"/>
  <c r="S114" i="4"/>
  <c r="R114" i="4"/>
  <c r="O114" i="4"/>
  <c r="N114" i="4"/>
  <c r="M114" i="4"/>
  <c r="L114" i="4"/>
  <c r="K114" i="4"/>
  <c r="J114" i="4"/>
  <c r="I114" i="4"/>
  <c r="H114" i="4"/>
  <c r="G114" i="4"/>
  <c r="F114" i="4"/>
  <c r="E114" i="4"/>
  <c r="D114" i="4"/>
  <c r="C114" i="4"/>
  <c r="T113" i="4"/>
  <c r="S113" i="4"/>
  <c r="R113" i="4"/>
  <c r="D113" i="4"/>
  <c r="C113" i="4"/>
  <c r="U112" i="4"/>
  <c r="T112" i="4"/>
  <c r="S112" i="4"/>
  <c r="R112" i="4"/>
  <c r="P112" i="4"/>
  <c r="D112" i="4"/>
  <c r="C112" i="4"/>
  <c r="T111" i="4"/>
  <c r="S111" i="4"/>
  <c r="R111" i="4"/>
  <c r="D111" i="4"/>
  <c r="C111" i="4"/>
  <c r="T110" i="4"/>
  <c r="S110" i="4"/>
  <c r="R110" i="4"/>
  <c r="D110" i="4"/>
  <c r="C110" i="4"/>
  <c r="T109" i="4"/>
  <c r="S109" i="4"/>
  <c r="R109" i="4"/>
  <c r="D109" i="4"/>
  <c r="C109" i="4"/>
  <c r="R108" i="4"/>
  <c r="M108" i="4"/>
  <c r="L108" i="4"/>
  <c r="K108" i="4"/>
  <c r="J108" i="4"/>
  <c r="I108" i="4"/>
  <c r="H108" i="4"/>
  <c r="G108" i="4"/>
  <c r="F108" i="4"/>
  <c r="E108" i="4"/>
  <c r="T107" i="4"/>
  <c r="S107" i="4"/>
  <c r="R107" i="4"/>
  <c r="O107" i="4"/>
  <c r="N107" i="4"/>
  <c r="M107" i="4"/>
  <c r="L107" i="4"/>
  <c r="K107" i="4"/>
  <c r="J107" i="4"/>
  <c r="I107" i="4"/>
  <c r="H107" i="4"/>
  <c r="G107" i="4"/>
  <c r="F107" i="4"/>
  <c r="E107" i="4"/>
  <c r="D107" i="4"/>
  <c r="C107" i="4"/>
  <c r="T106" i="4"/>
  <c r="S106" i="4"/>
  <c r="R106" i="4"/>
  <c r="D106" i="4"/>
  <c r="C106" i="4"/>
  <c r="U105" i="4"/>
  <c r="T105" i="4"/>
  <c r="S105" i="4"/>
  <c r="R105" i="4"/>
  <c r="P105" i="4"/>
  <c r="D105" i="4"/>
  <c r="C105" i="4"/>
  <c r="T104" i="4"/>
  <c r="S104" i="4"/>
  <c r="R104" i="4"/>
  <c r="D104" i="4"/>
  <c r="C104" i="4"/>
  <c r="R103" i="4"/>
  <c r="M103" i="4"/>
  <c r="L103" i="4"/>
  <c r="K103" i="4"/>
  <c r="J103" i="4"/>
  <c r="I103" i="4"/>
  <c r="H103" i="4"/>
  <c r="G103" i="4"/>
  <c r="F103" i="4"/>
  <c r="E103" i="4"/>
  <c r="R102" i="4"/>
  <c r="M102" i="4"/>
  <c r="L102" i="4"/>
  <c r="K102" i="4"/>
  <c r="J102" i="4"/>
  <c r="I102" i="4"/>
  <c r="H102" i="4"/>
  <c r="G102" i="4"/>
  <c r="F102" i="4"/>
  <c r="E102" i="4"/>
  <c r="R101" i="4"/>
  <c r="M101" i="4"/>
  <c r="L101" i="4"/>
  <c r="K101" i="4"/>
  <c r="J101" i="4"/>
  <c r="I101" i="4"/>
  <c r="H101" i="4"/>
  <c r="G101" i="4"/>
  <c r="F101" i="4"/>
  <c r="E101" i="4"/>
  <c r="R100" i="4"/>
  <c r="M100" i="4"/>
  <c r="L100" i="4"/>
  <c r="K100" i="4"/>
  <c r="J100" i="4"/>
  <c r="I100" i="4"/>
  <c r="H100" i="4"/>
  <c r="G100" i="4"/>
  <c r="F100" i="4"/>
  <c r="E100" i="4"/>
  <c r="S99" i="4"/>
  <c r="R99" i="4"/>
  <c r="N99" i="4"/>
  <c r="M99" i="4"/>
  <c r="L99" i="4"/>
  <c r="K99" i="4"/>
  <c r="J99" i="4"/>
  <c r="I99" i="4"/>
  <c r="H99" i="4"/>
  <c r="G99" i="4"/>
  <c r="F99" i="4"/>
  <c r="E99" i="4"/>
  <c r="R98" i="4"/>
  <c r="M98" i="4"/>
  <c r="L98" i="4"/>
  <c r="K98" i="4"/>
  <c r="J98" i="4"/>
  <c r="I98" i="4"/>
  <c r="H98" i="4"/>
  <c r="G98" i="4"/>
  <c r="F98" i="4"/>
  <c r="E98" i="4"/>
  <c r="R97" i="4"/>
  <c r="M97" i="4"/>
  <c r="L97" i="4"/>
  <c r="K97" i="4"/>
  <c r="J97" i="4"/>
  <c r="I97" i="4"/>
  <c r="H97" i="4"/>
  <c r="G97" i="4"/>
  <c r="F97" i="4"/>
  <c r="E97" i="4"/>
  <c r="R96" i="4"/>
  <c r="M96" i="4"/>
  <c r="L96" i="4"/>
  <c r="K96" i="4"/>
  <c r="J96" i="4"/>
  <c r="I96" i="4"/>
  <c r="H96" i="4"/>
  <c r="G96" i="4"/>
  <c r="F96" i="4"/>
  <c r="E96" i="4"/>
  <c r="T95" i="4"/>
  <c r="S95" i="4"/>
  <c r="R95" i="4"/>
  <c r="O95" i="4"/>
  <c r="N95" i="4"/>
  <c r="M95" i="4"/>
  <c r="L95" i="4"/>
  <c r="K95" i="4"/>
  <c r="J95" i="4"/>
  <c r="I95" i="4"/>
  <c r="H95" i="4"/>
  <c r="G95" i="4"/>
  <c r="F95" i="4"/>
  <c r="E95" i="4"/>
  <c r="D95" i="4"/>
  <c r="C95" i="4"/>
  <c r="T94" i="4"/>
  <c r="S94" i="4"/>
  <c r="R94" i="4"/>
  <c r="D94" i="4"/>
  <c r="C94" i="4"/>
  <c r="T93" i="4"/>
  <c r="S93" i="4"/>
  <c r="R93" i="4"/>
  <c r="D93" i="4"/>
  <c r="C93" i="4"/>
  <c r="T92" i="4"/>
  <c r="S92" i="4"/>
  <c r="R92" i="4"/>
  <c r="D92" i="4"/>
  <c r="C92" i="4"/>
  <c r="T91" i="4"/>
  <c r="S91" i="4"/>
  <c r="R91" i="4"/>
  <c r="D91" i="4"/>
  <c r="C91" i="4"/>
  <c r="T90" i="4"/>
  <c r="S90" i="4"/>
  <c r="R90" i="4"/>
  <c r="D90" i="4"/>
  <c r="C90" i="4"/>
  <c r="U89" i="4"/>
  <c r="T89" i="4"/>
  <c r="S89" i="4"/>
  <c r="R89" i="4"/>
  <c r="P89" i="4"/>
  <c r="D89" i="4"/>
  <c r="C89" i="4"/>
  <c r="T88" i="4"/>
  <c r="S88" i="4"/>
  <c r="R88" i="4"/>
  <c r="D88" i="4"/>
  <c r="C88" i="4"/>
  <c r="T87" i="4"/>
  <c r="S87" i="4"/>
  <c r="R87" i="4"/>
  <c r="O87" i="4"/>
  <c r="N87" i="4"/>
  <c r="M87" i="4"/>
  <c r="L87" i="4"/>
  <c r="K87" i="4"/>
  <c r="J87" i="4"/>
  <c r="I87" i="4"/>
  <c r="H87" i="4"/>
  <c r="G87" i="4"/>
  <c r="F87" i="4"/>
  <c r="E87" i="4"/>
  <c r="D87" i="4"/>
  <c r="C87" i="4"/>
  <c r="T86" i="4"/>
  <c r="S86" i="4"/>
  <c r="R86" i="4"/>
  <c r="D86" i="4"/>
  <c r="C86" i="4"/>
  <c r="T85" i="4"/>
  <c r="S85" i="4"/>
  <c r="R85" i="4"/>
  <c r="D85" i="4"/>
  <c r="C85" i="4"/>
  <c r="S84" i="4"/>
  <c r="R84" i="4"/>
  <c r="N84" i="4"/>
  <c r="M84" i="4"/>
  <c r="L84" i="4"/>
  <c r="K84" i="4"/>
  <c r="J84" i="4"/>
  <c r="I84" i="4"/>
  <c r="H84" i="4"/>
  <c r="G84" i="4"/>
  <c r="F84" i="4"/>
  <c r="E84" i="4"/>
  <c r="T83" i="4"/>
  <c r="S83" i="4"/>
  <c r="R83" i="4"/>
  <c r="O83" i="4"/>
  <c r="N83" i="4"/>
  <c r="M83" i="4"/>
  <c r="L83" i="4"/>
  <c r="K83" i="4"/>
  <c r="J83" i="4"/>
  <c r="I83" i="4"/>
  <c r="H83" i="4"/>
  <c r="G83" i="4"/>
  <c r="F83" i="4"/>
  <c r="E83" i="4"/>
  <c r="D83" i="4"/>
  <c r="C83" i="4"/>
  <c r="U82" i="4"/>
  <c r="T82" i="4"/>
  <c r="S82" i="4"/>
  <c r="R82" i="4"/>
  <c r="P82" i="4"/>
  <c r="D82" i="4"/>
  <c r="C82" i="4"/>
  <c r="R81" i="4"/>
  <c r="M81" i="4"/>
  <c r="L81" i="4"/>
  <c r="K81" i="4"/>
  <c r="J81" i="4"/>
  <c r="I81" i="4"/>
  <c r="H81" i="4"/>
  <c r="G81" i="4"/>
  <c r="F81" i="4"/>
  <c r="E81" i="4"/>
  <c r="R80" i="4"/>
  <c r="M80" i="4"/>
  <c r="L80" i="4"/>
  <c r="K80" i="4"/>
  <c r="J80" i="4"/>
  <c r="I80" i="4"/>
  <c r="H80" i="4"/>
  <c r="G80" i="4"/>
  <c r="F80" i="4"/>
  <c r="E80" i="4"/>
  <c r="S79" i="4"/>
  <c r="R79" i="4"/>
  <c r="N79" i="4"/>
  <c r="M79" i="4"/>
  <c r="L79" i="4"/>
  <c r="K79" i="4"/>
  <c r="J79" i="4"/>
  <c r="I79" i="4"/>
  <c r="H79" i="4"/>
  <c r="G79" i="4"/>
  <c r="F79" i="4"/>
  <c r="E79" i="4"/>
  <c r="R78" i="4"/>
  <c r="M78" i="4"/>
  <c r="L78" i="4"/>
  <c r="K78" i="4"/>
  <c r="J78" i="4"/>
  <c r="I78" i="4"/>
  <c r="H78" i="4"/>
  <c r="G78" i="4"/>
  <c r="F78" i="4"/>
  <c r="E78" i="4"/>
  <c r="T77" i="4"/>
  <c r="S77" i="4"/>
  <c r="R77" i="4"/>
  <c r="O77" i="4"/>
  <c r="N77" i="4"/>
  <c r="M77" i="4"/>
  <c r="L77" i="4"/>
  <c r="K77" i="4"/>
  <c r="J77" i="4"/>
  <c r="I77" i="4"/>
  <c r="H77" i="4"/>
  <c r="G77" i="4"/>
  <c r="F77" i="4"/>
  <c r="E77" i="4"/>
  <c r="D77" i="4"/>
  <c r="C77" i="4"/>
  <c r="T76" i="4"/>
  <c r="S76" i="4"/>
  <c r="R76" i="4"/>
  <c r="D76" i="4"/>
  <c r="C76" i="4"/>
  <c r="V75" i="4"/>
  <c r="U75" i="4"/>
  <c r="T75" i="4"/>
  <c r="S75" i="4"/>
  <c r="R75" i="4"/>
  <c r="Q75" i="4"/>
  <c r="P75" i="4"/>
  <c r="D75" i="4"/>
  <c r="C75" i="4"/>
  <c r="T74" i="4"/>
  <c r="S74" i="4"/>
  <c r="R74" i="4"/>
  <c r="D74" i="4"/>
  <c r="C74" i="4"/>
  <c r="R73" i="4"/>
  <c r="M73" i="4"/>
  <c r="L73" i="4"/>
  <c r="K73" i="4"/>
  <c r="J73" i="4"/>
  <c r="I73" i="4"/>
  <c r="H73" i="4"/>
  <c r="G73" i="4"/>
  <c r="F73" i="4"/>
  <c r="E73" i="4"/>
  <c r="R72" i="4"/>
  <c r="M72" i="4"/>
  <c r="L72" i="4"/>
  <c r="K72" i="4"/>
  <c r="J72" i="4"/>
  <c r="I72" i="4"/>
  <c r="H72" i="4"/>
  <c r="G72" i="4"/>
  <c r="F72" i="4"/>
  <c r="E72" i="4"/>
  <c r="T71" i="4"/>
  <c r="S71" i="4"/>
  <c r="R71" i="4"/>
  <c r="O71" i="4"/>
  <c r="N71" i="4"/>
  <c r="M71" i="4"/>
  <c r="L71" i="4"/>
  <c r="K71" i="4"/>
  <c r="J71" i="4"/>
  <c r="I71" i="4"/>
  <c r="H71" i="4"/>
  <c r="G71" i="4"/>
  <c r="F71" i="4"/>
  <c r="E71" i="4"/>
  <c r="D71" i="4"/>
  <c r="C71" i="4"/>
  <c r="T70" i="4"/>
  <c r="S70" i="4"/>
  <c r="R70" i="4"/>
  <c r="D70" i="4"/>
  <c r="C70" i="4"/>
  <c r="R69" i="4"/>
  <c r="M69" i="4"/>
  <c r="L69" i="4"/>
  <c r="K69" i="4"/>
  <c r="J69" i="4"/>
  <c r="I69" i="4"/>
  <c r="H69" i="4"/>
  <c r="G69" i="4"/>
  <c r="F69" i="4"/>
  <c r="E69" i="4"/>
  <c r="S68" i="4"/>
  <c r="R68" i="4"/>
  <c r="N68" i="4"/>
  <c r="M68" i="4"/>
  <c r="L68" i="4"/>
  <c r="K68" i="4"/>
  <c r="J68" i="4"/>
  <c r="I68" i="4"/>
  <c r="H68" i="4"/>
  <c r="G68" i="4"/>
  <c r="F68" i="4"/>
  <c r="E68" i="4"/>
  <c r="T67" i="4"/>
  <c r="S67" i="4"/>
  <c r="R67" i="4"/>
  <c r="O67" i="4"/>
  <c r="N67" i="4"/>
  <c r="M67" i="4"/>
  <c r="L67" i="4"/>
  <c r="K67" i="4"/>
  <c r="J67" i="4"/>
  <c r="I67" i="4"/>
  <c r="H67" i="4"/>
  <c r="G67" i="4"/>
  <c r="F67" i="4"/>
  <c r="E67" i="4"/>
  <c r="D67" i="4"/>
  <c r="C67" i="4"/>
  <c r="U66" i="4"/>
  <c r="T66" i="4"/>
  <c r="S66" i="4"/>
  <c r="R66" i="4"/>
  <c r="P66" i="4"/>
  <c r="D66" i="4"/>
  <c r="C66" i="4"/>
  <c r="T65" i="4"/>
  <c r="S65" i="4"/>
  <c r="R65" i="4"/>
  <c r="D65" i="4"/>
  <c r="C65" i="4"/>
  <c r="R64" i="4"/>
  <c r="M64" i="4"/>
  <c r="L64" i="4"/>
  <c r="K64" i="4"/>
  <c r="J64" i="4"/>
  <c r="I64" i="4"/>
  <c r="H64" i="4"/>
  <c r="G64" i="4"/>
  <c r="F64" i="4"/>
  <c r="E64" i="4"/>
  <c r="R63" i="4"/>
  <c r="M63" i="4"/>
  <c r="L63" i="4"/>
  <c r="K63" i="4"/>
  <c r="J63" i="4"/>
  <c r="I63" i="4"/>
  <c r="H63" i="4"/>
  <c r="G63" i="4"/>
  <c r="F63" i="4"/>
  <c r="E63" i="4"/>
  <c r="R62" i="4"/>
  <c r="M62" i="4"/>
  <c r="L62" i="4"/>
  <c r="K62" i="4"/>
  <c r="J62" i="4"/>
  <c r="I62" i="4"/>
  <c r="H62" i="4"/>
  <c r="G62" i="4"/>
  <c r="F62" i="4"/>
  <c r="E62" i="4"/>
  <c r="R61" i="4"/>
  <c r="M61" i="4"/>
  <c r="L61" i="4"/>
  <c r="K61" i="4"/>
  <c r="J61" i="4"/>
  <c r="I61" i="4"/>
  <c r="H61" i="4"/>
  <c r="G61" i="4"/>
  <c r="F61" i="4"/>
  <c r="E61" i="4"/>
  <c r="R60" i="4"/>
  <c r="M60" i="4"/>
  <c r="L60" i="4"/>
  <c r="K60" i="4"/>
  <c r="J60" i="4"/>
  <c r="I60" i="4"/>
  <c r="H60" i="4"/>
  <c r="G60" i="4"/>
  <c r="F60" i="4"/>
  <c r="E60" i="4"/>
  <c r="T59" i="4"/>
  <c r="S59" i="4"/>
  <c r="R59" i="4"/>
  <c r="O59" i="4"/>
  <c r="N59" i="4"/>
  <c r="M59" i="4"/>
  <c r="L59" i="4"/>
  <c r="K59" i="4"/>
  <c r="J59" i="4"/>
  <c r="I59" i="4"/>
  <c r="H59" i="4"/>
  <c r="G59" i="4"/>
  <c r="F59" i="4"/>
  <c r="E59" i="4"/>
  <c r="D59" i="4"/>
  <c r="C59" i="4"/>
  <c r="T58" i="4"/>
  <c r="S58" i="4"/>
  <c r="R58" i="4"/>
  <c r="D58" i="4"/>
  <c r="C58" i="4"/>
  <c r="U57" i="4"/>
  <c r="T57" i="4"/>
  <c r="S57" i="4"/>
  <c r="R57" i="4"/>
  <c r="P57" i="4"/>
  <c r="D57" i="4"/>
  <c r="C57" i="4"/>
  <c r="T56" i="4"/>
  <c r="S56" i="4"/>
  <c r="R56" i="4"/>
  <c r="D56" i="4"/>
  <c r="C56" i="4"/>
  <c r="S55" i="4"/>
  <c r="R55" i="4"/>
  <c r="N55" i="4"/>
  <c r="M55" i="4"/>
  <c r="L55" i="4"/>
  <c r="K55" i="4"/>
  <c r="J55" i="4"/>
  <c r="I55" i="4"/>
  <c r="H55" i="4"/>
  <c r="G55" i="4"/>
  <c r="F55" i="4"/>
  <c r="E55" i="4"/>
  <c r="T54" i="4"/>
  <c r="S54" i="4"/>
  <c r="R54" i="4"/>
  <c r="O54" i="4"/>
  <c r="N54" i="4"/>
  <c r="M54" i="4"/>
  <c r="L54" i="4"/>
  <c r="K54" i="4"/>
  <c r="J54" i="4"/>
  <c r="I54" i="4"/>
  <c r="H54" i="4"/>
  <c r="G54" i="4"/>
  <c r="F54" i="4"/>
  <c r="E54" i="4"/>
  <c r="D54" i="4"/>
  <c r="C54" i="4"/>
  <c r="U53" i="4"/>
  <c r="T53" i="4"/>
  <c r="S53" i="4"/>
  <c r="R53" i="4"/>
  <c r="P53" i="4"/>
  <c r="D53" i="4"/>
  <c r="C53" i="4"/>
  <c r="T52" i="4"/>
  <c r="S52" i="4"/>
  <c r="R52" i="4"/>
  <c r="D52" i="4"/>
  <c r="C52" i="4"/>
  <c r="T51" i="4"/>
  <c r="S51" i="4"/>
  <c r="R51" i="4"/>
  <c r="D51" i="4"/>
  <c r="C51" i="4"/>
  <c r="T50" i="4"/>
  <c r="S50" i="4"/>
  <c r="R50" i="4"/>
  <c r="D50" i="4"/>
  <c r="C50" i="4"/>
  <c r="R49" i="4"/>
  <c r="M49" i="4"/>
  <c r="L49" i="4"/>
  <c r="K49" i="4"/>
  <c r="J49" i="4"/>
  <c r="I49" i="4"/>
  <c r="H49" i="4"/>
  <c r="G49" i="4"/>
  <c r="F49" i="4"/>
  <c r="E49" i="4"/>
  <c r="S48" i="4"/>
  <c r="R48" i="4"/>
  <c r="N48" i="4"/>
  <c r="M48" i="4"/>
  <c r="L48" i="4"/>
  <c r="K48" i="4"/>
  <c r="J48" i="4"/>
  <c r="I48" i="4"/>
  <c r="H48" i="4"/>
  <c r="G48" i="4"/>
  <c r="F48" i="4"/>
  <c r="E48" i="4"/>
  <c r="R47" i="4"/>
  <c r="M47" i="4"/>
  <c r="L47" i="4"/>
  <c r="K47" i="4"/>
  <c r="J47" i="4"/>
  <c r="I47" i="4"/>
  <c r="H47" i="4"/>
  <c r="G47" i="4"/>
  <c r="F47" i="4"/>
  <c r="E47" i="4"/>
  <c r="S46" i="4"/>
  <c r="R46" i="4"/>
  <c r="N46" i="4"/>
  <c r="M46" i="4"/>
  <c r="L46" i="4"/>
  <c r="K46" i="4"/>
  <c r="J46" i="4"/>
  <c r="I46" i="4"/>
  <c r="H46" i="4"/>
  <c r="G46" i="4"/>
  <c r="F46" i="4"/>
  <c r="E46" i="4"/>
  <c r="R45" i="4"/>
  <c r="M45" i="4"/>
  <c r="L45" i="4"/>
  <c r="K45" i="4"/>
  <c r="J45" i="4"/>
  <c r="I45" i="4"/>
  <c r="H45" i="4"/>
  <c r="G45" i="4"/>
  <c r="F45" i="4"/>
  <c r="E45" i="4"/>
  <c r="V44" i="4"/>
  <c r="U44" i="4"/>
  <c r="T44" i="4"/>
  <c r="S44" i="4"/>
  <c r="R44" i="4"/>
  <c r="Q44" i="4"/>
  <c r="P44" i="4"/>
  <c r="O44" i="4"/>
  <c r="N44" i="4"/>
  <c r="M44" i="4"/>
  <c r="L44" i="4"/>
  <c r="K44" i="4"/>
  <c r="J44" i="4"/>
  <c r="I44" i="4"/>
  <c r="H44" i="4"/>
  <c r="G44" i="4"/>
  <c r="F44" i="4"/>
  <c r="E44" i="4"/>
  <c r="D44" i="4"/>
  <c r="C44" i="4"/>
  <c r="T43" i="4"/>
  <c r="S43" i="4"/>
  <c r="R43" i="4"/>
  <c r="D43" i="4"/>
  <c r="C43" i="4"/>
  <c r="T42" i="4"/>
  <c r="S42" i="4"/>
  <c r="R42" i="4"/>
  <c r="D42" i="4"/>
  <c r="C42" i="4"/>
  <c r="T41" i="4"/>
  <c r="S41" i="4"/>
  <c r="R41" i="4"/>
  <c r="D41" i="4"/>
  <c r="C41" i="4"/>
  <c r="T40" i="4"/>
  <c r="S40" i="4"/>
  <c r="R40" i="4"/>
  <c r="D40" i="4"/>
  <c r="C40" i="4"/>
  <c r="T39" i="4"/>
  <c r="S39" i="4"/>
  <c r="R39" i="4"/>
  <c r="D39" i="4"/>
  <c r="C39" i="4"/>
  <c r="R38" i="4"/>
  <c r="M38" i="4"/>
  <c r="L38" i="4"/>
  <c r="K38" i="4"/>
  <c r="J38" i="4"/>
  <c r="I38" i="4"/>
  <c r="H38" i="4"/>
  <c r="G38" i="4"/>
  <c r="F38" i="4"/>
  <c r="E38" i="4"/>
  <c r="T37" i="4"/>
  <c r="S37" i="4"/>
  <c r="R37" i="4"/>
  <c r="O37" i="4"/>
  <c r="N37" i="4"/>
  <c r="M37" i="4"/>
  <c r="L37" i="4"/>
  <c r="K37" i="4"/>
  <c r="J37" i="4"/>
  <c r="I37" i="4"/>
  <c r="H37" i="4"/>
  <c r="G37" i="4"/>
  <c r="F37" i="4"/>
  <c r="E37" i="4"/>
  <c r="D37" i="4"/>
  <c r="C37" i="4"/>
  <c r="R36" i="4"/>
  <c r="M36" i="4"/>
  <c r="L36" i="4"/>
  <c r="K36" i="4"/>
  <c r="J36" i="4"/>
  <c r="I36" i="4"/>
  <c r="H36" i="4"/>
  <c r="G36" i="4"/>
  <c r="F36" i="4"/>
  <c r="E36" i="4"/>
  <c r="T35" i="4"/>
  <c r="S35" i="4"/>
  <c r="R35" i="4"/>
  <c r="O35" i="4"/>
  <c r="N35" i="4"/>
  <c r="M35" i="4"/>
  <c r="L35" i="4"/>
  <c r="K35" i="4"/>
  <c r="J35" i="4"/>
  <c r="I35" i="4"/>
  <c r="H35" i="4"/>
  <c r="G35" i="4"/>
  <c r="F35" i="4"/>
  <c r="E35" i="4"/>
  <c r="D35" i="4"/>
  <c r="C35" i="4"/>
  <c r="T34" i="4"/>
  <c r="S34" i="4"/>
  <c r="R34" i="4"/>
  <c r="D34" i="4"/>
  <c r="C34" i="4"/>
  <c r="U33" i="4"/>
  <c r="T33" i="4"/>
  <c r="S33" i="4"/>
  <c r="R33" i="4"/>
  <c r="P33" i="4"/>
  <c r="D33" i="4"/>
  <c r="C33" i="4"/>
  <c r="T32" i="4"/>
  <c r="S32" i="4"/>
  <c r="R32" i="4"/>
  <c r="D32" i="4"/>
  <c r="C32" i="4"/>
  <c r="T31" i="4"/>
  <c r="S31" i="4"/>
  <c r="R31" i="4"/>
  <c r="D31" i="4"/>
  <c r="C31" i="4"/>
  <c r="S30" i="4"/>
  <c r="R30" i="4"/>
  <c r="N30" i="4"/>
  <c r="M30" i="4"/>
  <c r="L30" i="4"/>
  <c r="K30" i="4"/>
  <c r="J30" i="4"/>
  <c r="I30" i="4"/>
  <c r="H30" i="4"/>
  <c r="G30" i="4"/>
  <c r="F30" i="4"/>
  <c r="E30" i="4"/>
  <c r="R29" i="4"/>
  <c r="M29" i="4"/>
  <c r="L29" i="4"/>
  <c r="K29" i="4"/>
  <c r="J29" i="4"/>
  <c r="I29" i="4"/>
  <c r="H29" i="4"/>
  <c r="G29" i="4"/>
  <c r="F29" i="4"/>
  <c r="E29" i="4"/>
  <c r="S28" i="4"/>
  <c r="R28" i="4"/>
  <c r="N28" i="4"/>
  <c r="M28" i="4"/>
  <c r="L28" i="4"/>
  <c r="K28" i="4"/>
  <c r="J28" i="4"/>
  <c r="I28" i="4"/>
  <c r="H28" i="4"/>
  <c r="G28" i="4"/>
  <c r="F28" i="4"/>
  <c r="E28" i="4"/>
  <c r="R27" i="4"/>
  <c r="M27" i="4"/>
  <c r="L27" i="4"/>
  <c r="K27" i="4"/>
  <c r="J27" i="4"/>
  <c r="I27" i="4"/>
  <c r="H27" i="4"/>
  <c r="G27" i="4"/>
  <c r="F27" i="4"/>
  <c r="E27" i="4"/>
  <c r="R26" i="4"/>
  <c r="M26" i="4"/>
  <c r="L26" i="4"/>
  <c r="K26" i="4"/>
  <c r="J26" i="4"/>
  <c r="I26" i="4"/>
  <c r="H26" i="4"/>
  <c r="G26" i="4"/>
  <c r="F26" i="4"/>
  <c r="E26" i="4"/>
  <c r="T25" i="4"/>
  <c r="S25" i="4"/>
  <c r="R25" i="4"/>
  <c r="O25" i="4"/>
  <c r="N25" i="4"/>
  <c r="M25" i="4"/>
  <c r="L25" i="4"/>
  <c r="K25" i="4"/>
  <c r="J25" i="4"/>
  <c r="I25" i="4"/>
  <c r="H25" i="4"/>
  <c r="G25" i="4"/>
  <c r="F25" i="4"/>
  <c r="E25" i="4"/>
  <c r="D25" i="4"/>
  <c r="C25" i="4"/>
  <c r="U24" i="4"/>
  <c r="T24" i="4"/>
  <c r="S24" i="4"/>
  <c r="R24" i="4"/>
  <c r="P24" i="4"/>
  <c r="D24" i="4"/>
  <c r="C24" i="4"/>
  <c r="T23" i="4"/>
  <c r="S23" i="4"/>
  <c r="R23" i="4"/>
  <c r="D23" i="4"/>
  <c r="C23" i="4"/>
  <c r="T22" i="4"/>
  <c r="S22" i="4"/>
  <c r="R22" i="4"/>
  <c r="D22" i="4"/>
  <c r="C22" i="4"/>
  <c r="T21" i="4"/>
  <c r="S21" i="4"/>
  <c r="R21" i="4"/>
  <c r="D21" i="4"/>
  <c r="C21" i="4"/>
  <c r="T20" i="4"/>
  <c r="S20" i="4"/>
  <c r="R20" i="4"/>
  <c r="D20" i="4"/>
  <c r="C20" i="4"/>
  <c r="T19" i="4"/>
  <c r="S19" i="4"/>
  <c r="R19" i="4"/>
  <c r="D19" i="4"/>
  <c r="C19" i="4"/>
  <c r="R18" i="4"/>
  <c r="M18" i="4"/>
  <c r="L18" i="4"/>
  <c r="K18" i="4"/>
  <c r="J18" i="4"/>
  <c r="I18" i="4"/>
  <c r="H18" i="4"/>
  <c r="G18" i="4"/>
  <c r="F18" i="4"/>
  <c r="E18" i="4"/>
  <c r="R17" i="4"/>
  <c r="M17" i="4"/>
  <c r="L17" i="4"/>
  <c r="K17" i="4"/>
  <c r="J17" i="4"/>
  <c r="I17" i="4"/>
  <c r="H17" i="4"/>
  <c r="G17" i="4"/>
  <c r="F17" i="4"/>
  <c r="E17" i="4"/>
  <c r="R16" i="4"/>
  <c r="M16" i="4"/>
  <c r="L16" i="4"/>
  <c r="K16" i="4"/>
  <c r="J16" i="4"/>
  <c r="I16" i="4"/>
  <c r="H16" i="4"/>
  <c r="G16" i="4"/>
  <c r="F16" i="4"/>
  <c r="E16" i="4"/>
  <c r="S15" i="4"/>
  <c r="R15" i="4"/>
  <c r="N15" i="4"/>
  <c r="M15" i="4"/>
  <c r="L15" i="4"/>
  <c r="K15" i="4"/>
  <c r="J15" i="4"/>
  <c r="I15" i="4"/>
  <c r="H15" i="4"/>
  <c r="G15" i="4"/>
  <c r="F15" i="4"/>
  <c r="E15" i="4"/>
  <c r="R14" i="4"/>
  <c r="M14" i="4"/>
  <c r="L14" i="4"/>
  <c r="K14" i="4"/>
  <c r="J14" i="4"/>
  <c r="I14" i="4"/>
  <c r="H14" i="4"/>
  <c r="G14" i="4"/>
  <c r="F14" i="4"/>
  <c r="E14" i="4"/>
  <c r="R13" i="4"/>
  <c r="M13" i="4"/>
  <c r="L13" i="4"/>
  <c r="K13" i="4"/>
  <c r="J13" i="4"/>
  <c r="I13" i="4"/>
  <c r="H13" i="4"/>
  <c r="G13" i="4"/>
  <c r="F13" i="4"/>
  <c r="E13" i="4"/>
  <c r="R12" i="4"/>
  <c r="M12" i="4"/>
  <c r="L12" i="4"/>
  <c r="K12" i="4"/>
  <c r="J12" i="4"/>
  <c r="I12" i="4"/>
  <c r="H12" i="4"/>
  <c r="G12" i="4"/>
  <c r="F12" i="4"/>
  <c r="E12" i="4"/>
  <c r="S11" i="4"/>
  <c r="R11" i="4"/>
  <c r="N11" i="4"/>
  <c r="M11" i="4"/>
  <c r="L11" i="4"/>
  <c r="K11" i="4"/>
  <c r="J11" i="4"/>
  <c r="I11" i="4"/>
  <c r="H11" i="4"/>
  <c r="G11" i="4"/>
  <c r="F11" i="4"/>
  <c r="E11" i="4"/>
  <c r="R10" i="4"/>
  <c r="M10" i="4"/>
  <c r="L10" i="4"/>
  <c r="K10" i="4"/>
  <c r="J10" i="4"/>
  <c r="I10" i="4"/>
  <c r="H10" i="4"/>
  <c r="G10" i="4"/>
  <c r="F10" i="4"/>
  <c r="E10" i="4"/>
  <c r="R9" i="4"/>
  <c r="M9" i="4"/>
  <c r="L9" i="4"/>
  <c r="K9" i="4"/>
  <c r="J9" i="4"/>
  <c r="I9" i="4"/>
  <c r="H9" i="4"/>
  <c r="G9" i="4"/>
  <c r="F9" i="4"/>
  <c r="E9" i="4"/>
  <c r="R8" i="4"/>
  <c r="M8" i="4"/>
  <c r="L8" i="4"/>
  <c r="K8" i="4"/>
  <c r="J8" i="4"/>
  <c r="I8" i="4"/>
  <c r="H8" i="4"/>
  <c r="G8" i="4"/>
  <c r="F8" i="4"/>
  <c r="E8" i="4"/>
  <c r="S7" i="4"/>
  <c r="R7" i="4"/>
  <c r="N7" i="4"/>
  <c r="M7" i="4"/>
  <c r="L7" i="4"/>
  <c r="K7" i="4"/>
  <c r="J7" i="4"/>
  <c r="I7" i="4"/>
  <c r="H7" i="4"/>
  <c r="G7" i="4"/>
  <c r="F7" i="4"/>
  <c r="E7" i="4"/>
  <c r="R6" i="4"/>
  <c r="M6" i="4"/>
  <c r="L6" i="4"/>
  <c r="K6" i="4"/>
  <c r="J6" i="4"/>
  <c r="I6" i="4"/>
  <c r="H6" i="4"/>
  <c r="G6" i="4"/>
  <c r="F6" i="4"/>
  <c r="E6" i="4"/>
  <c r="R5" i="4"/>
  <c r="M5" i="4"/>
  <c r="L5" i="4"/>
  <c r="K5" i="4"/>
  <c r="J5" i="4"/>
  <c r="I5" i="4"/>
  <c r="H5" i="4"/>
  <c r="G5" i="4"/>
  <c r="F5" i="4"/>
  <c r="E5" i="4"/>
  <c r="V4" i="4"/>
  <c r="U4" i="4"/>
  <c r="T4" i="4"/>
  <c r="S4" i="4"/>
  <c r="R4" i="4"/>
  <c r="Q4" i="4"/>
  <c r="P4" i="4"/>
  <c r="O4" i="4"/>
  <c r="N4" i="4"/>
  <c r="M4" i="4"/>
  <c r="L4" i="4"/>
  <c r="K4" i="4"/>
  <c r="J4" i="4"/>
  <c r="I4" i="4"/>
  <c r="H4" i="4"/>
  <c r="G4" i="4"/>
  <c r="F4" i="4"/>
  <c r="E4" i="4"/>
  <c r="K2" i="4"/>
  <c r="J2" i="4"/>
  <c r="I2" i="4"/>
  <c r="H2" i="4"/>
  <c r="G2" i="4"/>
  <c r="L296" i="1"/>
  <c r="K296" i="1"/>
  <c r="J296" i="1"/>
  <c r="I296" i="1"/>
  <c r="G296" i="1"/>
  <c r="L295" i="1"/>
  <c r="K295" i="1"/>
  <c r="J295" i="1"/>
  <c r="I295" i="1"/>
  <c r="H295" i="1"/>
  <c r="G295" i="1"/>
  <c r="L294" i="1"/>
  <c r="K294" i="1"/>
  <c r="J294" i="1"/>
  <c r="I294" i="1"/>
  <c r="H294" i="1"/>
  <c r="G294" i="1"/>
  <c r="L293" i="1"/>
  <c r="K293" i="1"/>
  <c r="I293" i="1"/>
  <c r="H293" i="1"/>
  <c r="G293" i="1"/>
  <c r="L292" i="1"/>
  <c r="K292" i="1"/>
  <c r="J292" i="1"/>
  <c r="I292" i="1"/>
  <c r="H292" i="1"/>
  <c r="G292" i="1"/>
  <c r="L291" i="1"/>
  <c r="K291" i="1"/>
  <c r="J291" i="1"/>
  <c r="I291" i="1"/>
  <c r="H291" i="1"/>
  <c r="G291" i="1"/>
  <c r="L290" i="1"/>
  <c r="K290" i="1"/>
  <c r="J290" i="1"/>
  <c r="I290" i="1"/>
  <c r="H290" i="1"/>
  <c r="G290" i="1"/>
  <c r="L289" i="1"/>
  <c r="K289" i="1"/>
  <c r="J289" i="1"/>
  <c r="I289" i="1"/>
  <c r="H289" i="1"/>
  <c r="G289" i="1"/>
  <c r="L288" i="1"/>
  <c r="K288" i="1"/>
  <c r="J288" i="1"/>
  <c r="I288" i="1"/>
  <c r="H288" i="1"/>
  <c r="G288" i="1"/>
  <c r="L287" i="1"/>
  <c r="K287" i="1"/>
  <c r="J287" i="1"/>
  <c r="I287" i="1"/>
  <c r="H287" i="1"/>
  <c r="G287" i="1"/>
  <c r="F287" i="1"/>
  <c r="L286" i="1"/>
  <c r="K286" i="1"/>
  <c r="I286" i="1"/>
  <c r="H286" i="1"/>
  <c r="G286" i="1"/>
  <c r="F286" i="1"/>
  <c r="L285" i="1"/>
  <c r="K285" i="1"/>
  <c r="I285" i="1"/>
  <c r="H285" i="1"/>
  <c r="G285" i="1"/>
  <c r="F285" i="1"/>
  <c r="L284" i="1"/>
  <c r="K284" i="1"/>
  <c r="J284" i="1"/>
  <c r="I284" i="1"/>
  <c r="H284" i="1"/>
  <c r="G284" i="1"/>
  <c r="F284" i="1"/>
  <c r="L283" i="1"/>
  <c r="K283" i="1"/>
  <c r="J283" i="1"/>
  <c r="I283" i="1"/>
  <c r="H283" i="1"/>
  <c r="G283" i="1"/>
  <c r="F283" i="1"/>
  <c r="L282" i="1"/>
  <c r="K282" i="1"/>
  <c r="J282" i="1"/>
  <c r="I282" i="1"/>
  <c r="H282" i="1"/>
  <c r="G282" i="1"/>
  <c r="F282" i="1"/>
  <c r="L281" i="1"/>
  <c r="K281" i="1"/>
  <c r="J281" i="1"/>
  <c r="I281" i="1"/>
  <c r="H281" i="1"/>
  <c r="G281" i="1"/>
  <c r="L280" i="1"/>
  <c r="K280" i="1"/>
  <c r="J280" i="1"/>
  <c r="I280" i="1"/>
  <c r="G280" i="1"/>
  <c r="L279" i="1"/>
  <c r="K279" i="1"/>
  <c r="J279" i="1"/>
  <c r="I279" i="1"/>
  <c r="H279" i="1"/>
  <c r="G279" i="1"/>
  <c r="L278" i="1"/>
  <c r="K278" i="1"/>
  <c r="J278" i="1"/>
  <c r="I278" i="1"/>
  <c r="H278" i="1"/>
  <c r="G278" i="1"/>
  <c r="F278" i="1"/>
  <c r="L277" i="1"/>
  <c r="K277" i="1"/>
  <c r="J277" i="1"/>
  <c r="I277" i="1"/>
  <c r="H277" i="1"/>
  <c r="G277" i="1"/>
  <c r="L276" i="1"/>
  <c r="K276" i="1"/>
  <c r="J276" i="1"/>
  <c r="I276" i="1"/>
  <c r="H276" i="1"/>
  <c r="G276" i="1"/>
  <c r="F276" i="1"/>
  <c r="L275" i="1"/>
  <c r="K275" i="1"/>
  <c r="J275" i="1"/>
  <c r="I275" i="1"/>
  <c r="H275" i="1"/>
  <c r="G275" i="1"/>
  <c r="L274" i="1"/>
  <c r="K274" i="1"/>
  <c r="J274" i="1"/>
  <c r="I274" i="1"/>
  <c r="H274" i="1"/>
  <c r="G274" i="1"/>
  <c r="F274" i="1"/>
  <c r="L273" i="1"/>
  <c r="K273" i="1"/>
  <c r="J273" i="1"/>
  <c r="I273" i="1"/>
  <c r="H273" i="1"/>
  <c r="L272" i="1"/>
  <c r="L271" i="1"/>
  <c r="L270" i="1"/>
  <c r="L269" i="1"/>
  <c r="L268" i="1"/>
  <c r="L267" i="1"/>
  <c r="L266" i="1"/>
  <c r="L265" i="1"/>
  <c r="L264" i="1"/>
  <c r="L263" i="1"/>
  <c r="L262" i="1"/>
  <c r="L261" i="1"/>
  <c r="L260" i="1"/>
  <c r="L259" i="1"/>
  <c r="L258" i="1"/>
  <c r="L257" i="1"/>
  <c r="L256" i="1"/>
  <c r="K256" i="1"/>
  <c r="J256" i="1"/>
  <c r="I256" i="1"/>
  <c r="H256" i="1"/>
  <c r="G256" i="1"/>
  <c r="F256" i="1"/>
  <c r="E256" i="1"/>
  <c r="L255" i="1"/>
  <c r="K255" i="1"/>
  <c r="J255" i="1"/>
  <c r="I255" i="1"/>
  <c r="H255" i="1"/>
  <c r="G255" i="1"/>
  <c r="F255" i="1"/>
  <c r="E255" i="1"/>
  <c r="L254" i="1"/>
  <c r="K254" i="1"/>
  <c r="J254" i="1"/>
  <c r="I254" i="1"/>
  <c r="H254" i="1"/>
  <c r="G254" i="1"/>
  <c r="F254" i="1"/>
  <c r="E254" i="1"/>
  <c r="L253" i="1"/>
  <c r="K253" i="1"/>
  <c r="J253" i="1"/>
  <c r="I253" i="1"/>
  <c r="H253" i="1"/>
  <c r="G253" i="1"/>
  <c r="F253" i="1"/>
  <c r="E253" i="1"/>
  <c r="L252" i="1"/>
  <c r="K252" i="1"/>
  <c r="J252" i="1"/>
  <c r="I252" i="1"/>
  <c r="H252" i="1"/>
  <c r="G252" i="1"/>
  <c r="E252" i="1"/>
  <c r="L251" i="1"/>
  <c r="K251" i="1"/>
  <c r="J251" i="1"/>
  <c r="I251" i="1"/>
  <c r="H251" i="1"/>
  <c r="G251" i="1"/>
  <c r="F251" i="1"/>
  <c r="E251" i="1"/>
  <c r="L250" i="1"/>
  <c r="K250" i="1"/>
  <c r="J250" i="1"/>
  <c r="I250" i="1"/>
  <c r="H250" i="1"/>
  <c r="G250" i="1"/>
  <c r="F250" i="1"/>
  <c r="E250" i="1"/>
  <c r="L249" i="1"/>
  <c r="K249" i="1"/>
  <c r="J249" i="1"/>
  <c r="I249" i="1"/>
  <c r="H249" i="1"/>
  <c r="G249" i="1"/>
  <c r="F249" i="1"/>
  <c r="E249" i="1"/>
  <c r="L248" i="1"/>
  <c r="K248" i="1"/>
  <c r="J248" i="1"/>
  <c r="I248" i="1"/>
  <c r="H248" i="1"/>
  <c r="G248" i="1"/>
  <c r="F248" i="1"/>
  <c r="E248" i="1"/>
  <c r="L247" i="1"/>
  <c r="K247" i="1"/>
  <c r="J247" i="1"/>
  <c r="I247" i="1"/>
  <c r="H247" i="1"/>
  <c r="G247" i="1"/>
  <c r="F247" i="1"/>
  <c r="E247" i="1"/>
  <c r="L246" i="1"/>
  <c r="K246" i="1"/>
  <c r="J246" i="1"/>
  <c r="I246" i="1"/>
  <c r="H246" i="1"/>
  <c r="G246" i="1"/>
  <c r="F246" i="1"/>
  <c r="E246" i="1"/>
  <c r="L245" i="1"/>
  <c r="K245" i="1"/>
  <c r="J245" i="1"/>
  <c r="I245" i="1"/>
  <c r="H245" i="1"/>
  <c r="G245" i="1"/>
  <c r="F245" i="1"/>
  <c r="E245" i="1"/>
  <c r="L244" i="1"/>
  <c r="K244" i="1"/>
  <c r="J244" i="1"/>
  <c r="I244" i="1"/>
  <c r="H244" i="1"/>
  <c r="G244" i="1"/>
  <c r="F244" i="1"/>
  <c r="E244" i="1"/>
  <c r="L243" i="1"/>
  <c r="K243" i="1"/>
  <c r="J243" i="1"/>
  <c r="I243" i="1"/>
  <c r="H243" i="1"/>
  <c r="G243" i="1"/>
  <c r="F243" i="1"/>
  <c r="E243" i="1"/>
  <c r="L242" i="1"/>
  <c r="K242" i="1"/>
  <c r="J242" i="1"/>
  <c r="I242" i="1"/>
  <c r="H242" i="1"/>
  <c r="G242" i="1"/>
  <c r="F242" i="1"/>
  <c r="E242" i="1"/>
  <c r="L241" i="1"/>
  <c r="K241" i="1"/>
  <c r="J241" i="1"/>
  <c r="I241" i="1"/>
  <c r="H241" i="1"/>
  <c r="G241" i="1"/>
  <c r="F241" i="1"/>
  <c r="E241" i="1"/>
  <c r="L240" i="1"/>
  <c r="K240" i="1"/>
  <c r="J240" i="1"/>
  <c r="I240" i="1"/>
  <c r="H240" i="1"/>
  <c r="G240" i="1"/>
  <c r="F240" i="1"/>
  <c r="E240" i="1"/>
  <c r="L239" i="1"/>
  <c r="K239" i="1"/>
  <c r="J239" i="1"/>
  <c r="I239" i="1"/>
  <c r="H239" i="1"/>
  <c r="G239" i="1"/>
  <c r="F239" i="1"/>
  <c r="E239" i="1"/>
  <c r="L238" i="1"/>
  <c r="K238" i="1"/>
  <c r="J238" i="1"/>
  <c r="I238" i="1"/>
  <c r="H238" i="1"/>
  <c r="G238" i="1"/>
  <c r="F238" i="1"/>
  <c r="E238" i="1"/>
  <c r="L237" i="1"/>
  <c r="K237" i="1"/>
  <c r="J237" i="1"/>
  <c r="I237" i="1"/>
  <c r="H237" i="1"/>
  <c r="G237" i="1"/>
  <c r="F237" i="1"/>
  <c r="E237" i="1"/>
  <c r="L236" i="1"/>
  <c r="K236" i="1"/>
  <c r="J236" i="1"/>
  <c r="I236" i="1"/>
  <c r="H236" i="1"/>
  <c r="G236" i="1"/>
  <c r="F236" i="1"/>
  <c r="E236" i="1"/>
  <c r="L235" i="1"/>
  <c r="K235" i="1"/>
  <c r="J235" i="1"/>
  <c r="I235" i="1"/>
  <c r="H235" i="1"/>
  <c r="G235" i="1"/>
  <c r="F235" i="1"/>
  <c r="E235" i="1"/>
  <c r="L234" i="1"/>
  <c r="K234" i="1"/>
  <c r="J234" i="1"/>
  <c r="I234" i="1"/>
  <c r="H234" i="1"/>
  <c r="G234" i="1"/>
  <c r="F234" i="1"/>
  <c r="E234" i="1"/>
  <c r="L233" i="1"/>
  <c r="K233" i="1"/>
  <c r="J233" i="1"/>
  <c r="I233" i="1"/>
  <c r="H233" i="1"/>
  <c r="G233" i="1"/>
  <c r="F233" i="1"/>
  <c r="E233" i="1"/>
  <c r="L232" i="1"/>
  <c r="K232" i="1"/>
  <c r="J232" i="1"/>
  <c r="I232" i="1"/>
  <c r="H232" i="1"/>
  <c r="G232" i="1"/>
  <c r="F232" i="1"/>
  <c r="E232" i="1"/>
  <c r="L231" i="1"/>
  <c r="K231" i="1"/>
  <c r="J231" i="1"/>
  <c r="I231" i="1"/>
  <c r="H231" i="1"/>
  <c r="G231" i="1"/>
  <c r="F231" i="1"/>
  <c r="E231" i="1"/>
  <c r="L230" i="1"/>
  <c r="K230" i="1"/>
  <c r="J230" i="1"/>
  <c r="I230" i="1"/>
  <c r="H230" i="1"/>
  <c r="G230" i="1"/>
  <c r="F230" i="1"/>
  <c r="E230" i="1"/>
  <c r="L229" i="1"/>
  <c r="K229" i="1"/>
  <c r="J229" i="1"/>
  <c r="I229" i="1"/>
  <c r="H229" i="1"/>
  <c r="G229" i="1"/>
  <c r="F229" i="1"/>
  <c r="E229" i="1"/>
  <c r="L228" i="1"/>
  <c r="K228" i="1"/>
  <c r="J228" i="1"/>
  <c r="I228" i="1"/>
  <c r="H228" i="1"/>
  <c r="G228" i="1"/>
  <c r="F228" i="1"/>
  <c r="E228" i="1"/>
  <c r="L227" i="1"/>
  <c r="K227" i="1"/>
  <c r="J227" i="1"/>
  <c r="I227" i="1"/>
  <c r="H227" i="1"/>
  <c r="G227" i="1"/>
  <c r="F227" i="1"/>
  <c r="E227" i="1"/>
  <c r="L226" i="1"/>
  <c r="K226" i="1"/>
  <c r="J226" i="1"/>
  <c r="I226" i="1"/>
  <c r="H226" i="1"/>
  <c r="G226" i="1"/>
  <c r="F226" i="1"/>
  <c r="E226" i="1"/>
  <c r="L225" i="1"/>
  <c r="K225" i="1"/>
  <c r="J225" i="1"/>
  <c r="I225" i="1"/>
  <c r="H225" i="1"/>
  <c r="G225" i="1"/>
  <c r="F225" i="1"/>
  <c r="E225" i="1"/>
  <c r="L224" i="1"/>
  <c r="K224" i="1"/>
  <c r="J224" i="1"/>
  <c r="I224" i="1"/>
  <c r="H224" i="1"/>
  <c r="G224" i="1"/>
  <c r="F224" i="1"/>
  <c r="E224" i="1"/>
  <c r="L223" i="1"/>
  <c r="K223" i="1"/>
  <c r="J223" i="1"/>
  <c r="I223" i="1"/>
  <c r="H223" i="1"/>
  <c r="F223" i="1"/>
  <c r="E223" i="1"/>
  <c r="L222" i="1"/>
  <c r="K222" i="1"/>
  <c r="J222" i="1"/>
  <c r="I222" i="1"/>
  <c r="H222" i="1"/>
  <c r="F222" i="1"/>
  <c r="E222" i="1"/>
  <c r="L221" i="1"/>
  <c r="K221" i="1"/>
  <c r="J221" i="1"/>
  <c r="I221" i="1"/>
  <c r="H221" i="1"/>
  <c r="F221" i="1"/>
  <c r="E221" i="1"/>
  <c r="L220" i="1"/>
  <c r="K220" i="1"/>
  <c r="J220" i="1"/>
  <c r="I220" i="1"/>
  <c r="H220" i="1"/>
  <c r="G220" i="1"/>
  <c r="F220" i="1"/>
  <c r="E220" i="1"/>
  <c r="L219" i="1"/>
  <c r="J219" i="1"/>
  <c r="I219" i="1"/>
  <c r="H219" i="1"/>
  <c r="G219" i="1"/>
  <c r="F219" i="1"/>
  <c r="E219" i="1"/>
  <c r="L218" i="1"/>
  <c r="J218" i="1"/>
  <c r="I218" i="1"/>
  <c r="H218" i="1"/>
  <c r="G218" i="1"/>
  <c r="F218" i="1"/>
  <c r="E218" i="1"/>
  <c r="L217" i="1"/>
  <c r="J217" i="1"/>
  <c r="I217" i="1"/>
  <c r="H217" i="1"/>
  <c r="G217" i="1"/>
  <c r="F217" i="1"/>
  <c r="E217" i="1"/>
  <c r="L216" i="1"/>
  <c r="J216" i="1"/>
  <c r="I216" i="1"/>
  <c r="H216" i="1"/>
  <c r="G216" i="1"/>
  <c r="F216" i="1"/>
  <c r="E216" i="1"/>
  <c r="L215" i="1"/>
  <c r="K215" i="1"/>
  <c r="J215" i="1"/>
  <c r="I215" i="1"/>
  <c r="H215" i="1"/>
  <c r="G215" i="1"/>
  <c r="F215" i="1"/>
  <c r="E215" i="1"/>
  <c r="L214" i="1"/>
  <c r="K214" i="1"/>
  <c r="J214" i="1"/>
  <c r="I214" i="1"/>
  <c r="H214" i="1"/>
  <c r="G214" i="1"/>
  <c r="F214" i="1"/>
  <c r="E214" i="1"/>
  <c r="L213" i="1"/>
  <c r="K213" i="1"/>
  <c r="J213" i="1"/>
  <c r="I213" i="1"/>
  <c r="H213" i="1"/>
  <c r="G213" i="1"/>
  <c r="F213" i="1"/>
  <c r="E213" i="1"/>
  <c r="L212" i="1"/>
  <c r="K212" i="1"/>
  <c r="J212" i="1"/>
  <c r="I212" i="1"/>
  <c r="H212" i="1"/>
  <c r="G212" i="1"/>
  <c r="F212" i="1"/>
  <c r="E212" i="1"/>
  <c r="L211" i="1"/>
  <c r="K211" i="1"/>
  <c r="J211" i="1"/>
  <c r="I211" i="1"/>
  <c r="H211" i="1"/>
  <c r="G211" i="1"/>
  <c r="E211" i="1"/>
  <c r="L210" i="1"/>
  <c r="K210" i="1"/>
  <c r="J210" i="1"/>
  <c r="I210" i="1"/>
  <c r="H210" i="1"/>
  <c r="F210" i="1"/>
  <c r="E210" i="1"/>
  <c r="L209" i="1"/>
  <c r="K209" i="1"/>
  <c r="J209" i="1"/>
  <c r="I209" i="1"/>
  <c r="H209" i="1"/>
  <c r="E209" i="1"/>
  <c r="L208" i="1"/>
  <c r="K208" i="1"/>
  <c r="J208" i="1"/>
  <c r="I208" i="1"/>
  <c r="H208" i="1"/>
  <c r="G208" i="1"/>
  <c r="F208" i="1"/>
  <c r="E208" i="1"/>
  <c r="L207" i="1"/>
  <c r="K207" i="1"/>
  <c r="J207" i="1"/>
  <c r="I207" i="1"/>
  <c r="H207" i="1"/>
  <c r="G207" i="1"/>
  <c r="F207" i="1"/>
  <c r="E207" i="1"/>
  <c r="L206" i="1"/>
  <c r="K206" i="1"/>
  <c r="J206" i="1"/>
  <c r="I206" i="1"/>
  <c r="H206" i="1"/>
  <c r="G206" i="1"/>
  <c r="F206" i="1"/>
  <c r="E206" i="1"/>
  <c r="L205" i="1"/>
  <c r="K205" i="1"/>
  <c r="J205" i="1"/>
  <c r="I205" i="1"/>
  <c r="H205" i="1"/>
  <c r="G205" i="1"/>
  <c r="F205" i="1"/>
  <c r="E205" i="1"/>
  <c r="L204" i="1"/>
  <c r="K204" i="1"/>
  <c r="J204" i="1"/>
  <c r="I204" i="1"/>
  <c r="H204" i="1"/>
  <c r="G204" i="1"/>
  <c r="F204" i="1"/>
  <c r="E204" i="1"/>
  <c r="L203" i="1"/>
  <c r="K203" i="1"/>
  <c r="J203" i="1"/>
  <c r="I203" i="1"/>
  <c r="H203" i="1"/>
  <c r="G203" i="1"/>
  <c r="F203" i="1"/>
  <c r="E203" i="1"/>
  <c r="L202" i="1"/>
  <c r="K202" i="1"/>
  <c r="J202" i="1"/>
  <c r="I202" i="1"/>
  <c r="H202" i="1"/>
  <c r="F202" i="1"/>
  <c r="E202" i="1"/>
  <c r="L201" i="1"/>
  <c r="K201" i="1"/>
  <c r="J201" i="1"/>
  <c r="I201" i="1"/>
  <c r="H201" i="1"/>
  <c r="G201" i="1"/>
  <c r="F201" i="1"/>
  <c r="E201" i="1"/>
  <c r="L200" i="1"/>
  <c r="K200" i="1"/>
  <c r="J200" i="1"/>
  <c r="I200" i="1"/>
  <c r="H200" i="1"/>
  <c r="G200" i="1"/>
  <c r="F200" i="1"/>
  <c r="E200" i="1"/>
  <c r="L199" i="1"/>
  <c r="K199" i="1"/>
  <c r="J199" i="1"/>
  <c r="I199" i="1"/>
  <c r="H199" i="1"/>
  <c r="G199" i="1"/>
  <c r="F199" i="1"/>
  <c r="E199" i="1"/>
  <c r="L198" i="1"/>
  <c r="K198" i="1"/>
  <c r="J198" i="1"/>
  <c r="I198" i="1"/>
  <c r="H198" i="1"/>
  <c r="G198" i="1"/>
  <c r="F198" i="1"/>
  <c r="E198" i="1"/>
  <c r="L197" i="1"/>
  <c r="J197" i="1"/>
  <c r="I197" i="1"/>
  <c r="H197" i="1"/>
  <c r="G197" i="1"/>
  <c r="F197" i="1"/>
  <c r="E197" i="1"/>
  <c r="L196" i="1"/>
  <c r="K196" i="1"/>
  <c r="J196" i="1"/>
  <c r="I196" i="1"/>
  <c r="H196" i="1"/>
  <c r="G196" i="1"/>
  <c r="F196" i="1"/>
  <c r="E196" i="1"/>
  <c r="L195" i="1"/>
  <c r="K195" i="1"/>
  <c r="J195" i="1"/>
  <c r="I195" i="1"/>
  <c r="H195" i="1"/>
  <c r="G195" i="1"/>
  <c r="F195" i="1"/>
  <c r="E195" i="1"/>
  <c r="L194" i="1"/>
  <c r="K194" i="1"/>
  <c r="J194" i="1"/>
  <c r="I194" i="1"/>
  <c r="H194" i="1"/>
  <c r="G194" i="1"/>
  <c r="F194" i="1"/>
  <c r="E194" i="1"/>
  <c r="L193" i="1"/>
  <c r="K193" i="1"/>
  <c r="J193" i="1"/>
  <c r="I193" i="1"/>
  <c r="H193" i="1"/>
  <c r="G193" i="1"/>
  <c r="F193" i="1"/>
  <c r="E193" i="1"/>
  <c r="L192" i="1"/>
  <c r="K192" i="1"/>
  <c r="J192" i="1"/>
  <c r="I192" i="1"/>
  <c r="H192" i="1"/>
  <c r="G192" i="1"/>
  <c r="F192" i="1"/>
  <c r="E192" i="1"/>
  <c r="L191" i="1"/>
  <c r="K191" i="1"/>
  <c r="J191" i="1"/>
  <c r="I191" i="1"/>
  <c r="H191" i="1"/>
  <c r="F191" i="1"/>
  <c r="E191" i="1"/>
  <c r="L190" i="1"/>
  <c r="K190" i="1"/>
  <c r="J190" i="1"/>
  <c r="I190" i="1"/>
  <c r="H190" i="1"/>
  <c r="F190" i="1"/>
  <c r="E190" i="1"/>
  <c r="L189" i="1"/>
  <c r="K189" i="1"/>
  <c r="J189" i="1"/>
  <c r="I189" i="1"/>
  <c r="H189" i="1"/>
  <c r="G189" i="1"/>
  <c r="F189" i="1"/>
  <c r="E189" i="1"/>
  <c r="L188" i="1"/>
  <c r="K188" i="1"/>
  <c r="J188" i="1"/>
  <c r="I188" i="1"/>
  <c r="H188" i="1"/>
  <c r="G188" i="1"/>
  <c r="F188" i="1"/>
  <c r="E188" i="1"/>
  <c r="L187" i="1"/>
  <c r="K187" i="1"/>
  <c r="J187" i="1"/>
  <c r="I187" i="1"/>
  <c r="H187" i="1"/>
  <c r="G187" i="1"/>
  <c r="F187" i="1"/>
  <c r="E187" i="1"/>
  <c r="L186" i="1"/>
  <c r="K186" i="1"/>
  <c r="J186" i="1"/>
  <c r="I186" i="1"/>
  <c r="H186" i="1"/>
  <c r="E186" i="1"/>
  <c r="L185" i="1"/>
  <c r="K185" i="1"/>
  <c r="J185" i="1"/>
  <c r="I185" i="1"/>
  <c r="H185" i="1"/>
  <c r="G185" i="1"/>
  <c r="F185" i="1"/>
  <c r="E185" i="1"/>
  <c r="L184" i="1"/>
  <c r="K184" i="1"/>
  <c r="J184" i="1"/>
  <c r="I184" i="1"/>
  <c r="H184" i="1"/>
  <c r="E184" i="1"/>
  <c r="L183" i="1"/>
  <c r="K183" i="1"/>
  <c r="J183" i="1"/>
  <c r="I183" i="1"/>
  <c r="H183" i="1"/>
  <c r="G183" i="1"/>
  <c r="F183" i="1"/>
  <c r="E183" i="1"/>
  <c r="L182" i="1"/>
  <c r="K182" i="1"/>
  <c r="J182" i="1"/>
  <c r="I182" i="1"/>
  <c r="H182" i="1"/>
  <c r="G182" i="1"/>
  <c r="F182" i="1"/>
  <c r="E182" i="1"/>
  <c r="L181" i="1"/>
  <c r="K181" i="1"/>
  <c r="J181" i="1"/>
  <c r="I181" i="1"/>
  <c r="H181" i="1"/>
  <c r="G181" i="1"/>
  <c r="F181" i="1"/>
  <c r="E181" i="1"/>
  <c r="L180" i="1"/>
  <c r="K180" i="1"/>
  <c r="J180" i="1"/>
  <c r="I180" i="1"/>
  <c r="H180" i="1"/>
  <c r="G180" i="1"/>
  <c r="F180" i="1"/>
  <c r="E180" i="1"/>
  <c r="L179" i="1"/>
  <c r="K179" i="1"/>
  <c r="J179" i="1"/>
  <c r="I179" i="1"/>
  <c r="H179" i="1"/>
  <c r="G179" i="1"/>
  <c r="F179" i="1"/>
  <c r="E179" i="1"/>
  <c r="L178" i="1"/>
  <c r="K178" i="1"/>
  <c r="J178" i="1"/>
  <c r="I178" i="1"/>
  <c r="H178" i="1"/>
  <c r="E178" i="1"/>
  <c r="L177" i="1"/>
  <c r="K177" i="1"/>
  <c r="J177" i="1"/>
  <c r="I177" i="1"/>
  <c r="H177" i="1"/>
  <c r="E177" i="1"/>
  <c r="L176" i="1"/>
  <c r="K176" i="1"/>
  <c r="J176" i="1"/>
  <c r="I176" i="1"/>
  <c r="H176" i="1"/>
  <c r="G176" i="1"/>
  <c r="F176" i="1"/>
  <c r="E176" i="1"/>
  <c r="L175" i="1"/>
  <c r="K175" i="1"/>
  <c r="J175" i="1"/>
  <c r="I175" i="1"/>
  <c r="H175" i="1"/>
  <c r="G175" i="1"/>
  <c r="F175" i="1"/>
  <c r="E175" i="1"/>
  <c r="L174" i="1"/>
  <c r="K174" i="1"/>
  <c r="J174" i="1"/>
  <c r="I174" i="1"/>
  <c r="H174" i="1"/>
  <c r="G174" i="1"/>
  <c r="F174" i="1"/>
  <c r="E174" i="1"/>
  <c r="L173" i="1"/>
  <c r="K173" i="1"/>
  <c r="J173" i="1"/>
  <c r="I173" i="1"/>
  <c r="H173" i="1"/>
  <c r="G173" i="1"/>
  <c r="F173" i="1"/>
  <c r="E173" i="1"/>
  <c r="L172" i="1"/>
  <c r="K172" i="1"/>
  <c r="J172" i="1"/>
  <c r="I172" i="1"/>
  <c r="H172" i="1"/>
  <c r="G172" i="1"/>
  <c r="F172" i="1"/>
  <c r="E172" i="1"/>
  <c r="L171" i="1"/>
  <c r="K171" i="1"/>
  <c r="J171" i="1"/>
  <c r="I171" i="1"/>
  <c r="H171" i="1"/>
  <c r="G171" i="1"/>
  <c r="F171" i="1"/>
  <c r="E171" i="1"/>
  <c r="L170" i="1"/>
  <c r="K170" i="1"/>
  <c r="J170" i="1"/>
  <c r="I170" i="1"/>
  <c r="H170" i="1"/>
  <c r="G170" i="1"/>
  <c r="F170" i="1"/>
  <c r="E170" i="1"/>
  <c r="L169" i="1"/>
  <c r="K169" i="1"/>
  <c r="J169" i="1"/>
  <c r="I169" i="1"/>
  <c r="H169" i="1"/>
  <c r="G169" i="1"/>
  <c r="F169" i="1"/>
  <c r="E169" i="1"/>
  <c r="L168" i="1"/>
  <c r="K168" i="1"/>
  <c r="J168" i="1"/>
  <c r="I168" i="1"/>
  <c r="H168" i="1"/>
  <c r="G168" i="1"/>
  <c r="F168" i="1"/>
  <c r="E168" i="1"/>
  <c r="L167" i="1"/>
  <c r="K167" i="1"/>
  <c r="J167" i="1"/>
  <c r="I167" i="1"/>
  <c r="H167" i="1"/>
  <c r="G167" i="1"/>
  <c r="F167" i="1"/>
  <c r="E167" i="1"/>
  <c r="L166" i="1"/>
  <c r="K166" i="1"/>
  <c r="J166" i="1"/>
  <c r="I166" i="1"/>
  <c r="H166" i="1"/>
  <c r="G166" i="1"/>
  <c r="F166" i="1"/>
  <c r="E166" i="1"/>
  <c r="L165" i="1"/>
  <c r="K165" i="1"/>
  <c r="J165" i="1"/>
  <c r="I165" i="1"/>
  <c r="H165" i="1"/>
  <c r="G165" i="1"/>
  <c r="F165" i="1"/>
  <c r="E165" i="1"/>
  <c r="L164" i="1"/>
  <c r="K164" i="1"/>
  <c r="J164" i="1"/>
  <c r="I164" i="1"/>
  <c r="H164" i="1"/>
  <c r="G164" i="1"/>
  <c r="F164" i="1"/>
  <c r="E164" i="1"/>
  <c r="L163" i="1"/>
  <c r="K163" i="1"/>
  <c r="J163" i="1"/>
  <c r="I163" i="1"/>
  <c r="F163" i="1"/>
  <c r="E163" i="1"/>
  <c r="L162" i="1"/>
  <c r="K162" i="1"/>
  <c r="J162" i="1"/>
  <c r="I162" i="1"/>
  <c r="H162" i="1"/>
  <c r="G162" i="1"/>
  <c r="F162" i="1"/>
  <c r="E162" i="1"/>
  <c r="L161" i="1"/>
  <c r="K161" i="1"/>
  <c r="J161" i="1"/>
  <c r="I161" i="1"/>
  <c r="H161" i="1"/>
  <c r="G161" i="1"/>
  <c r="F161" i="1"/>
  <c r="E161" i="1"/>
  <c r="L160" i="1"/>
  <c r="K160" i="1"/>
  <c r="J160" i="1"/>
  <c r="I160" i="1"/>
  <c r="H160" i="1"/>
  <c r="G160" i="1"/>
  <c r="F160" i="1"/>
  <c r="E160" i="1"/>
  <c r="L159" i="1"/>
  <c r="K159" i="1"/>
  <c r="J159" i="1"/>
  <c r="I159" i="1"/>
  <c r="H159" i="1"/>
  <c r="G159" i="1"/>
  <c r="F159" i="1"/>
  <c r="E159" i="1"/>
  <c r="L158" i="1"/>
  <c r="K158" i="1"/>
  <c r="J158" i="1"/>
  <c r="I158" i="1"/>
  <c r="H158" i="1"/>
  <c r="G158" i="1"/>
  <c r="F158" i="1"/>
  <c r="E158" i="1"/>
  <c r="L157" i="1"/>
  <c r="K157" i="1"/>
  <c r="J157" i="1"/>
  <c r="I157" i="1"/>
  <c r="H157" i="1"/>
  <c r="G157" i="1"/>
  <c r="F157" i="1"/>
  <c r="E157" i="1"/>
  <c r="L156" i="1"/>
  <c r="K156" i="1"/>
  <c r="J156" i="1"/>
  <c r="I156" i="1"/>
  <c r="H156" i="1"/>
  <c r="G156" i="1"/>
  <c r="F156" i="1"/>
  <c r="E156" i="1"/>
  <c r="L155" i="1"/>
  <c r="K155" i="1"/>
  <c r="J155" i="1"/>
  <c r="I155" i="1"/>
  <c r="H155" i="1"/>
  <c r="G155" i="1"/>
  <c r="F155" i="1"/>
  <c r="E155" i="1"/>
  <c r="L154" i="1"/>
  <c r="K154" i="1"/>
  <c r="J154" i="1"/>
  <c r="I154" i="1"/>
  <c r="H154" i="1"/>
  <c r="G154" i="1"/>
  <c r="F154" i="1"/>
  <c r="E154" i="1"/>
  <c r="L153" i="1"/>
  <c r="K153" i="1"/>
  <c r="J153" i="1"/>
  <c r="I153" i="1"/>
  <c r="H153" i="1"/>
  <c r="G153" i="1"/>
  <c r="F153" i="1"/>
  <c r="E153" i="1"/>
  <c r="L152" i="1"/>
  <c r="K152" i="1"/>
  <c r="J152" i="1"/>
  <c r="I152" i="1"/>
  <c r="H152" i="1"/>
  <c r="G152" i="1"/>
  <c r="F152" i="1"/>
  <c r="E152" i="1"/>
  <c r="L151" i="1"/>
  <c r="K151" i="1"/>
  <c r="J151" i="1"/>
  <c r="I151" i="1"/>
  <c r="H151" i="1"/>
  <c r="F151" i="1"/>
  <c r="E151" i="1"/>
  <c r="L150" i="1"/>
  <c r="K150" i="1"/>
  <c r="J150" i="1"/>
  <c r="I150" i="1"/>
  <c r="H150" i="1"/>
  <c r="G150" i="1"/>
  <c r="F150" i="1"/>
  <c r="E150" i="1"/>
  <c r="L149" i="1"/>
  <c r="K149" i="1"/>
  <c r="J149" i="1"/>
  <c r="I149" i="1"/>
  <c r="H149" i="1"/>
  <c r="G149" i="1"/>
  <c r="F149" i="1"/>
  <c r="E149" i="1"/>
  <c r="L148" i="1"/>
  <c r="K148" i="1"/>
  <c r="J148" i="1"/>
  <c r="I148" i="1"/>
  <c r="H148" i="1"/>
  <c r="G148" i="1"/>
  <c r="F148" i="1"/>
  <c r="E148" i="1"/>
  <c r="L147" i="1"/>
  <c r="K147" i="1"/>
  <c r="J147" i="1"/>
  <c r="I147" i="1"/>
  <c r="H147" i="1"/>
  <c r="G147" i="1"/>
  <c r="E147" i="1"/>
  <c r="L146" i="1"/>
  <c r="K146" i="1"/>
  <c r="J146" i="1"/>
  <c r="I146" i="1"/>
  <c r="H146" i="1"/>
  <c r="F146" i="1"/>
  <c r="E146" i="1"/>
  <c r="L145" i="1"/>
  <c r="K145" i="1"/>
  <c r="J145" i="1"/>
  <c r="I145" i="1"/>
  <c r="H145" i="1"/>
  <c r="G145" i="1"/>
  <c r="F145" i="1"/>
  <c r="E145" i="1"/>
  <c r="L144" i="1"/>
  <c r="K144" i="1"/>
  <c r="J144" i="1"/>
  <c r="I144" i="1"/>
  <c r="H144" i="1"/>
  <c r="F144" i="1"/>
  <c r="E144" i="1"/>
  <c r="L143" i="1"/>
  <c r="K143" i="1"/>
  <c r="J143" i="1"/>
  <c r="I143" i="1"/>
  <c r="E143" i="1"/>
  <c r="L142" i="1"/>
  <c r="K142" i="1"/>
  <c r="J142" i="1"/>
  <c r="I142" i="1"/>
  <c r="H142" i="1"/>
  <c r="G142" i="1"/>
  <c r="F142" i="1"/>
  <c r="E142" i="1"/>
  <c r="L141" i="1"/>
  <c r="K141" i="1"/>
  <c r="J141" i="1"/>
  <c r="I141" i="1"/>
  <c r="H141" i="1"/>
  <c r="F141" i="1"/>
  <c r="E141" i="1"/>
  <c r="L140" i="1"/>
  <c r="K140" i="1"/>
  <c r="J140" i="1"/>
  <c r="I140" i="1"/>
  <c r="H140" i="1"/>
  <c r="G140" i="1"/>
  <c r="F140" i="1"/>
  <c r="E140" i="1"/>
  <c r="L139" i="1"/>
  <c r="K139" i="1"/>
  <c r="J139" i="1"/>
  <c r="I139" i="1"/>
  <c r="H139" i="1"/>
  <c r="F139" i="1"/>
  <c r="E139" i="1"/>
  <c r="L138" i="1"/>
  <c r="K138" i="1"/>
  <c r="J138" i="1"/>
  <c r="I138" i="1"/>
  <c r="H138" i="1"/>
  <c r="G138" i="1"/>
  <c r="F138" i="1"/>
  <c r="E138" i="1"/>
  <c r="L137" i="1"/>
  <c r="K137" i="1"/>
  <c r="J137" i="1"/>
  <c r="I137" i="1"/>
  <c r="H137" i="1"/>
  <c r="G137" i="1"/>
  <c r="F137" i="1"/>
  <c r="E137" i="1"/>
  <c r="L136" i="1"/>
  <c r="K136" i="1"/>
  <c r="J136" i="1"/>
  <c r="I136" i="1"/>
  <c r="H136" i="1"/>
  <c r="F136" i="1"/>
  <c r="E136" i="1"/>
  <c r="L135" i="1"/>
  <c r="K135" i="1"/>
  <c r="J135" i="1"/>
  <c r="I135" i="1"/>
  <c r="H135" i="1"/>
  <c r="G135" i="1"/>
  <c r="F135" i="1"/>
  <c r="E135" i="1"/>
  <c r="L134" i="1"/>
  <c r="K134" i="1"/>
  <c r="J134" i="1"/>
  <c r="I134" i="1"/>
  <c r="H134" i="1"/>
  <c r="G134" i="1"/>
  <c r="F134" i="1"/>
  <c r="E134" i="1"/>
  <c r="L133" i="1"/>
  <c r="K133" i="1"/>
  <c r="J133" i="1"/>
  <c r="I133" i="1"/>
  <c r="H133" i="1"/>
  <c r="G133" i="1"/>
  <c r="E133" i="1"/>
  <c r="L132" i="1"/>
  <c r="K132" i="1"/>
  <c r="J132" i="1"/>
  <c r="I132" i="1"/>
  <c r="H132" i="1"/>
  <c r="G132" i="1"/>
  <c r="F132" i="1"/>
  <c r="E132" i="1"/>
  <c r="L131" i="1"/>
  <c r="K131" i="1"/>
  <c r="J131" i="1"/>
  <c r="I131" i="1"/>
  <c r="H131" i="1"/>
  <c r="F131" i="1"/>
  <c r="E131" i="1"/>
  <c r="L130" i="1"/>
  <c r="K130" i="1"/>
  <c r="J130" i="1"/>
  <c r="I130" i="1"/>
  <c r="H130" i="1"/>
  <c r="G130" i="1"/>
  <c r="F130" i="1"/>
  <c r="E130" i="1"/>
  <c r="L129" i="1"/>
  <c r="K129" i="1"/>
  <c r="J129" i="1"/>
  <c r="I129" i="1"/>
  <c r="H129" i="1"/>
  <c r="G129" i="1"/>
  <c r="F129" i="1"/>
  <c r="E129" i="1"/>
  <c r="L128" i="1"/>
  <c r="K128" i="1"/>
  <c r="J128" i="1"/>
  <c r="I128" i="1"/>
  <c r="H128" i="1"/>
  <c r="G128" i="1"/>
  <c r="F128" i="1"/>
  <c r="E128" i="1"/>
  <c r="L127" i="1"/>
  <c r="K127" i="1"/>
  <c r="J127" i="1"/>
  <c r="I127" i="1"/>
  <c r="H127" i="1"/>
  <c r="G127" i="1"/>
  <c r="F127" i="1"/>
  <c r="E127" i="1"/>
  <c r="L126" i="1"/>
  <c r="K126" i="1"/>
  <c r="J126" i="1"/>
  <c r="I126" i="1"/>
  <c r="H126" i="1"/>
  <c r="G126" i="1"/>
  <c r="F126" i="1"/>
  <c r="E126" i="1"/>
  <c r="L125" i="1"/>
  <c r="K125" i="1"/>
  <c r="J125" i="1"/>
  <c r="I125" i="1"/>
  <c r="H125" i="1"/>
  <c r="G125" i="1"/>
  <c r="F125" i="1"/>
  <c r="E125" i="1"/>
  <c r="L124" i="1"/>
  <c r="K124" i="1"/>
  <c r="J124" i="1"/>
  <c r="I124" i="1"/>
  <c r="H124" i="1"/>
  <c r="F124" i="1"/>
  <c r="E124" i="1"/>
  <c r="L123" i="1"/>
  <c r="K123" i="1"/>
  <c r="J123" i="1"/>
  <c r="I123" i="1"/>
  <c r="H123" i="1"/>
  <c r="G123" i="1"/>
  <c r="F123" i="1"/>
  <c r="E123" i="1"/>
  <c r="L122" i="1"/>
  <c r="K122" i="1"/>
  <c r="J122" i="1"/>
  <c r="I122" i="1"/>
  <c r="H122" i="1"/>
  <c r="G122" i="1"/>
  <c r="F122" i="1"/>
  <c r="E122" i="1"/>
  <c r="L121" i="1"/>
  <c r="K121" i="1"/>
  <c r="J121" i="1"/>
  <c r="I121" i="1"/>
  <c r="H121" i="1"/>
  <c r="G121" i="1"/>
  <c r="F121" i="1"/>
  <c r="E121" i="1"/>
  <c r="L120" i="1"/>
  <c r="K120" i="1"/>
  <c r="J120" i="1"/>
  <c r="I120" i="1"/>
  <c r="H120" i="1"/>
  <c r="G120" i="1"/>
  <c r="F120" i="1"/>
  <c r="E120" i="1"/>
  <c r="L119" i="1"/>
  <c r="K119" i="1"/>
  <c r="J119" i="1"/>
  <c r="I119" i="1"/>
  <c r="H119" i="1"/>
  <c r="G119" i="1"/>
  <c r="F119" i="1"/>
  <c r="E119" i="1"/>
  <c r="L118" i="1"/>
  <c r="K118" i="1"/>
  <c r="J118" i="1"/>
  <c r="I118" i="1"/>
  <c r="H118" i="1"/>
  <c r="F118" i="1"/>
  <c r="E118" i="1"/>
  <c r="L117" i="1"/>
  <c r="K117" i="1"/>
  <c r="J117" i="1"/>
  <c r="I117" i="1"/>
  <c r="H117" i="1"/>
  <c r="G117" i="1"/>
  <c r="F117" i="1"/>
  <c r="E117" i="1"/>
  <c r="L116" i="1"/>
  <c r="K116" i="1"/>
  <c r="J116" i="1"/>
  <c r="I116" i="1"/>
  <c r="H116" i="1"/>
  <c r="E116" i="1"/>
  <c r="L115" i="1"/>
  <c r="K115" i="1"/>
  <c r="J115" i="1"/>
  <c r="I115" i="1"/>
  <c r="H115" i="1"/>
  <c r="F115" i="1"/>
  <c r="E115" i="1"/>
  <c r="L114" i="1"/>
  <c r="K114" i="1"/>
  <c r="J114" i="1"/>
  <c r="I114" i="1"/>
  <c r="H114" i="1"/>
  <c r="G114" i="1"/>
  <c r="F114" i="1"/>
  <c r="E114" i="1"/>
  <c r="L113" i="1"/>
  <c r="K113" i="1"/>
  <c r="J113" i="1"/>
  <c r="I113" i="1"/>
  <c r="H113" i="1"/>
  <c r="G113" i="1"/>
  <c r="F113" i="1"/>
  <c r="E113" i="1"/>
  <c r="L112" i="1"/>
  <c r="K112" i="1"/>
  <c r="J112" i="1"/>
  <c r="I112" i="1"/>
  <c r="H112" i="1"/>
  <c r="E112" i="1"/>
  <c r="L111" i="1"/>
  <c r="K111" i="1"/>
  <c r="J111" i="1"/>
  <c r="I111" i="1"/>
  <c r="H111" i="1"/>
  <c r="F111" i="1"/>
  <c r="E111" i="1"/>
  <c r="L110" i="1"/>
  <c r="K110" i="1"/>
  <c r="J110" i="1"/>
  <c r="I110" i="1"/>
  <c r="H110" i="1"/>
  <c r="G110" i="1"/>
  <c r="F110" i="1"/>
  <c r="E110" i="1"/>
  <c r="L109" i="1"/>
  <c r="K109" i="1"/>
  <c r="J109" i="1"/>
  <c r="I109" i="1"/>
  <c r="H109" i="1"/>
  <c r="G109" i="1"/>
  <c r="E109" i="1"/>
  <c r="L108" i="1"/>
  <c r="K108" i="1"/>
  <c r="J108" i="1"/>
  <c r="I108" i="1"/>
  <c r="H108" i="1"/>
  <c r="G108" i="1"/>
  <c r="E108" i="1"/>
  <c r="L107" i="1"/>
  <c r="K107" i="1"/>
  <c r="J107" i="1"/>
  <c r="I107" i="1"/>
  <c r="H107" i="1"/>
  <c r="F107" i="1"/>
  <c r="E107" i="1"/>
  <c r="L106" i="1"/>
  <c r="K106" i="1"/>
  <c r="J106" i="1"/>
  <c r="I106" i="1"/>
  <c r="H106" i="1"/>
  <c r="F106" i="1"/>
  <c r="E106" i="1"/>
  <c r="L105" i="1"/>
  <c r="K105" i="1"/>
  <c r="J105" i="1"/>
  <c r="I105" i="1"/>
  <c r="H105" i="1"/>
  <c r="G105" i="1"/>
  <c r="E105" i="1"/>
  <c r="L104" i="1"/>
  <c r="K104" i="1"/>
  <c r="J104" i="1"/>
  <c r="I104" i="1"/>
  <c r="H104" i="1"/>
  <c r="G104" i="1"/>
  <c r="E104" i="1"/>
  <c r="L103" i="1"/>
  <c r="K103" i="1"/>
  <c r="J103" i="1"/>
  <c r="I103" i="1"/>
  <c r="G103" i="1"/>
  <c r="E103" i="1"/>
  <c r="L102" i="1"/>
  <c r="K102" i="1"/>
  <c r="J102" i="1"/>
  <c r="I102" i="1"/>
  <c r="H102" i="1"/>
  <c r="E102" i="1"/>
  <c r="L101" i="1"/>
  <c r="K101" i="1"/>
  <c r="J101" i="1"/>
  <c r="I101" i="1"/>
  <c r="H101" i="1"/>
  <c r="G101" i="1"/>
  <c r="F101" i="1"/>
  <c r="E101" i="1"/>
  <c r="L100" i="1"/>
  <c r="K100" i="1"/>
  <c r="J100" i="1"/>
  <c r="I100" i="1"/>
  <c r="H100" i="1"/>
  <c r="G100" i="1"/>
  <c r="F100" i="1"/>
  <c r="E100" i="1"/>
  <c r="L99" i="1"/>
  <c r="K99" i="1"/>
  <c r="J99" i="1"/>
  <c r="I99" i="1"/>
  <c r="H99" i="1"/>
  <c r="G99" i="1"/>
  <c r="F99" i="1"/>
  <c r="E99" i="1"/>
  <c r="L98" i="1"/>
  <c r="K98" i="1"/>
  <c r="J98" i="1"/>
  <c r="I98" i="1"/>
  <c r="H98" i="1"/>
  <c r="G98" i="1"/>
  <c r="F98" i="1"/>
  <c r="E98" i="1"/>
  <c r="L97" i="1"/>
  <c r="K97" i="1"/>
  <c r="J97" i="1"/>
  <c r="I97" i="1"/>
  <c r="H97" i="1"/>
  <c r="G97" i="1"/>
  <c r="F97" i="1"/>
  <c r="E97" i="1"/>
  <c r="L96" i="1"/>
  <c r="K96" i="1"/>
  <c r="J96" i="1"/>
  <c r="I96" i="1"/>
  <c r="H96" i="1"/>
  <c r="G96" i="1"/>
  <c r="F96" i="1"/>
  <c r="E96" i="1"/>
  <c r="L95" i="1"/>
  <c r="K95" i="1"/>
  <c r="J95" i="1"/>
  <c r="I95" i="1"/>
  <c r="H95" i="1"/>
  <c r="G95" i="1"/>
  <c r="F95" i="1"/>
  <c r="E95" i="1"/>
  <c r="L94" i="1"/>
  <c r="K94" i="1"/>
  <c r="J94" i="1"/>
  <c r="I94" i="1"/>
  <c r="H94" i="1"/>
  <c r="G94" i="1"/>
  <c r="F94" i="1"/>
  <c r="E94" i="1"/>
  <c r="L93" i="1"/>
  <c r="K93" i="1"/>
  <c r="J93" i="1"/>
  <c r="I93" i="1"/>
  <c r="H93" i="1"/>
  <c r="G93" i="1"/>
  <c r="F93" i="1"/>
  <c r="E93" i="1"/>
  <c r="L92" i="1"/>
  <c r="K92" i="1"/>
  <c r="J92" i="1"/>
  <c r="I92" i="1"/>
  <c r="H92" i="1"/>
  <c r="G92" i="1"/>
  <c r="F92" i="1"/>
  <c r="E92" i="1"/>
  <c r="L91" i="1"/>
  <c r="K91" i="1"/>
  <c r="J91" i="1"/>
  <c r="I91" i="1"/>
  <c r="H91" i="1"/>
  <c r="G91" i="1"/>
  <c r="F91" i="1"/>
  <c r="E91" i="1"/>
  <c r="L90" i="1"/>
  <c r="K90" i="1"/>
  <c r="J90" i="1"/>
  <c r="I90" i="1"/>
  <c r="H90" i="1"/>
  <c r="G90" i="1"/>
  <c r="F90" i="1"/>
  <c r="E90" i="1"/>
  <c r="L89" i="1"/>
  <c r="K89" i="1"/>
  <c r="J89" i="1"/>
  <c r="I89" i="1"/>
  <c r="H89" i="1"/>
  <c r="G89" i="1"/>
  <c r="F89" i="1"/>
  <c r="E89" i="1"/>
  <c r="L88" i="1"/>
  <c r="K88" i="1"/>
  <c r="J88" i="1"/>
  <c r="I88" i="1"/>
  <c r="H88" i="1"/>
  <c r="G88" i="1"/>
  <c r="F88" i="1"/>
  <c r="E88" i="1"/>
  <c r="L87" i="1"/>
  <c r="K87" i="1"/>
  <c r="J87" i="1"/>
  <c r="I87" i="1"/>
  <c r="H87" i="1"/>
  <c r="G87" i="1"/>
  <c r="F87" i="1"/>
  <c r="E87" i="1"/>
  <c r="L86" i="1"/>
  <c r="K86" i="1"/>
  <c r="J86" i="1"/>
  <c r="I86" i="1"/>
  <c r="H86" i="1"/>
  <c r="G86" i="1"/>
  <c r="F86" i="1"/>
  <c r="E86" i="1"/>
  <c r="L85" i="1"/>
  <c r="K85" i="1"/>
  <c r="J85" i="1"/>
  <c r="I85" i="1"/>
  <c r="H85" i="1"/>
  <c r="G85" i="1"/>
  <c r="F85" i="1"/>
  <c r="E85" i="1"/>
  <c r="L84" i="1"/>
  <c r="K84" i="1"/>
  <c r="J84" i="1"/>
  <c r="I84" i="1"/>
  <c r="H84" i="1"/>
  <c r="G84" i="1"/>
  <c r="F84" i="1"/>
  <c r="E84" i="1"/>
  <c r="L83" i="1"/>
  <c r="K83" i="1"/>
  <c r="J83" i="1"/>
  <c r="I83" i="1"/>
  <c r="H83" i="1"/>
  <c r="G83" i="1"/>
  <c r="F83" i="1"/>
  <c r="E83" i="1"/>
  <c r="L82" i="1"/>
  <c r="K82" i="1"/>
  <c r="J82" i="1"/>
  <c r="I82" i="1"/>
  <c r="H82" i="1"/>
  <c r="G82" i="1"/>
  <c r="F82" i="1"/>
  <c r="E82" i="1"/>
  <c r="L81" i="1"/>
  <c r="K81" i="1"/>
  <c r="J81" i="1"/>
  <c r="I81" i="1"/>
  <c r="H81" i="1"/>
  <c r="G81" i="1"/>
  <c r="F81" i="1"/>
  <c r="E81" i="1"/>
  <c r="L80" i="1"/>
  <c r="K80" i="1"/>
  <c r="J80" i="1"/>
  <c r="I80" i="1"/>
  <c r="H80" i="1"/>
  <c r="G80" i="1"/>
  <c r="F80" i="1"/>
  <c r="E80" i="1"/>
  <c r="L79" i="1"/>
  <c r="K79" i="1"/>
  <c r="J79" i="1"/>
  <c r="I79" i="1"/>
  <c r="H79" i="1"/>
  <c r="G79" i="1"/>
  <c r="F79" i="1"/>
  <c r="E79" i="1"/>
  <c r="L78" i="1"/>
  <c r="K78" i="1"/>
  <c r="J78" i="1"/>
  <c r="I78" i="1"/>
  <c r="H78" i="1"/>
  <c r="G78" i="1"/>
  <c r="F78" i="1"/>
  <c r="E78" i="1"/>
  <c r="L77" i="1"/>
  <c r="K77" i="1"/>
  <c r="J77" i="1"/>
  <c r="I77" i="1"/>
  <c r="H77" i="1"/>
  <c r="G77" i="1"/>
  <c r="F77" i="1"/>
  <c r="E77" i="1"/>
  <c r="L76" i="1"/>
  <c r="K76" i="1"/>
  <c r="J76" i="1"/>
  <c r="I76" i="1"/>
  <c r="H76" i="1"/>
  <c r="G76" i="1"/>
  <c r="F76" i="1"/>
  <c r="E76" i="1"/>
  <c r="L75" i="1"/>
  <c r="K75" i="1"/>
  <c r="J75" i="1"/>
  <c r="I75" i="1"/>
  <c r="H75" i="1"/>
  <c r="G75" i="1"/>
  <c r="F75" i="1"/>
  <c r="E75" i="1"/>
  <c r="L74" i="1"/>
  <c r="K74" i="1"/>
  <c r="J74" i="1"/>
  <c r="I74" i="1"/>
  <c r="H74" i="1"/>
  <c r="G74" i="1"/>
  <c r="F74" i="1"/>
  <c r="E74" i="1"/>
  <c r="L73" i="1"/>
  <c r="K73" i="1"/>
  <c r="J73" i="1"/>
  <c r="I73" i="1"/>
  <c r="H73" i="1"/>
  <c r="G73" i="1"/>
  <c r="F73" i="1"/>
  <c r="E73" i="1"/>
  <c r="L72" i="1"/>
  <c r="K72" i="1"/>
  <c r="J72" i="1"/>
  <c r="I72" i="1"/>
  <c r="H72" i="1"/>
  <c r="G72" i="1"/>
  <c r="F72" i="1"/>
  <c r="E72" i="1"/>
  <c r="L71" i="1"/>
  <c r="K71" i="1"/>
  <c r="J71" i="1"/>
  <c r="I71" i="1"/>
  <c r="H71" i="1"/>
  <c r="G71" i="1"/>
  <c r="F71" i="1"/>
  <c r="E71" i="1"/>
  <c r="L70" i="1"/>
  <c r="K70" i="1"/>
  <c r="J70" i="1"/>
  <c r="I70" i="1"/>
  <c r="H70" i="1"/>
  <c r="G70" i="1"/>
  <c r="F70" i="1"/>
  <c r="E70" i="1"/>
  <c r="L69" i="1"/>
  <c r="K69" i="1"/>
  <c r="J69" i="1"/>
  <c r="I69" i="1"/>
  <c r="H69" i="1"/>
  <c r="G69" i="1"/>
  <c r="F69" i="1"/>
  <c r="E69" i="1"/>
  <c r="L68" i="1"/>
  <c r="K68" i="1"/>
  <c r="J68" i="1"/>
  <c r="I68" i="1"/>
  <c r="H68" i="1"/>
  <c r="G68" i="1"/>
  <c r="F68" i="1"/>
  <c r="E68" i="1"/>
  <c r="L67" i="1"/>
  <c r="K67" i="1"/>
  <c r="J67" i="1"/>
  <c r="I67" i="1"/>
  <c r="H67" i="1"/>
  <c r="G67" i="1"/>
  <c r="F67" i="1"/>
  <c r="E67" i="1"/>
  <c r="L66" i="1"/>
  <c r="K66" i="1"/>
  <c r="J66" i="1"/>
  <c r="I66" i="1"/>
  <c r="H66" i="1"/>
  <c r="G66" i="1"/>
  <c r="F66" i="1"/>
  <c r="E66" i="1"/>
  <c r="L65" i="1"/>
  <c r="K65" i="1"/>
  <c r="J65" i="1"/>
  <c r="I65" i="1"/>
  <c r="H65" i="1"/>
  <c r="G65" i="1"/>
  <c r="F65" i="1"/>
  <c r="E65" i="1"/>
  <c r="L64" i="1"/>
  <c r="K64" i="1"/>
  <c r="J64" i="1"/>
  <c r="I64" i="1"/>
  <c r="H64" i="1"/>
  <c r="G64" i="1"/>
  <c r="F64" i="1"/>
  <c r="E64" i="1"/>
  <c r="L63" i="1"/>
  <c r="K63" i="1"/>
  <c r="J63" i="1"/>
  <c r="I63" i="1"/>
  <c r="H63" i="1"/>
  <c r="G63" i="1"/>
  <c r="F63" i="1"/>
  <c r="E63" i="1"/>
  <c r="L62" i="1"/>
  <c r="K62" i="1"/>
  <c r="J62" i="1"/>
  <c r="I62" i="1"/>
  <c r="H62" i="1"/>
  <c r="G62" i="1"/>
  <c r="F62" i="1"/>
  <c r="E62" i="1"/>
  <c r="L61" i="1"/>
  <c r="K61" i="1"/>
  <c r="J61" i="1"/>
  <c r="I61" i="1"/>
  <c r="H61" i="1"/>
  <c r="G61" i="1"/>
  <c r="F61" i="1"/>
  <c r="E61" i="1"/>
  <c r="L60" i="1"/>
  <c r="K60" i="1"/>
  <c r="J60" i="1"/>
  <c r="I60" i="1"/>
  <c r="H60" i="1"/>
  <c r="G60" i="1"/>
  <c r="F60" i="1"/>
  <c r="E60" i="1"/>
  <c r="L59" i="1"/>
  <c r="K59" i="1"/>
  <c r="J59" i="1"/>
  <c r="I59" i="1"/>
  <c r="H59" i="1"/>
  <c r="G59" i="1"/>
  <c r="F59" i="1"/>
  <c r="E59" i="1"/>
  <c r="L58" i="1"/>
  <c r="K58" i="1"/>
  <c r="J58" i="1"/>
  <c r="I58" i="1"/>
  <c r="H58" i="1"/>
  <c r="G58" i="1"/>
  <c r="F58" i="1"/>
  <c r="E58" i="1"/>
  <c r="L57" i="1"/>
  <c r="K57" i="1"/>
  <c r="J57" i="1"/>
  <c r="I57" i="1"/>
  <c r="H57" i="1"/>
  <c r="G57" i="1"/>
  <c r="F57" i="1"/>
  <c r="E57" i="1"/>
  <c r="L56" i="1"/>
  <c r="K56" i="1"/>
  <c r="J56" i="1"/>
  <c r="I56" i="1"/>
  <c r="H56" i="1"/>
  <c r="G56" i="1"/>
  <c r="F56" i="1"/>
  <c r="E56" i="1"/>
  <c r="L55" i="1"/>
  <c r="K55" i="1"/>
  <c r="J55" i="1"/>
  <c r="I55" i="1"/>
  <c r="H55" i="1"/>
  <c r="G55" i="1"/>
  <c r="F55" i="1"/>
  <c r="E55" i="1"/>
  <c r="L54" i="1"/>
  <c r="K54" i="1"/>
  <c r="J54" i="1"/>
  <c r="I54" i="1"/>
  <c r="H54" i="1"/>
  <c r="G54" i="1"/>
  <c r="F54" i="1"/>
  <c r="E54" i="1"/>
  <c r="L53" i="1"/>
  <c r="K53" i="1"/>
  <c r="J53" i="1"/>
  <c r="I53" i="1"/>
  <c r="H53" i="1"/>
  <c r="G53" i="1"/>
  <c r="F53" i="1"/>
  <c r="E53" i="1"/>
  <c r="L52" i="1"/>
  <c r="K52" i="1"/>
  <c r="J52" i="1"/>
  <c r="I52" i="1"/>
  <c r="H52" i="1"/>
  <c r="G52" i="1"/>
  <c r="F52" i="1"/>
  <c r="E52" i="1"/>
  <c r="L51" i="1"/>
  <c r="K51" i="1"/>
  <c r="J51" i="1"/>
  <c r="I51" i="1"/>
  <c r="H51" i="1"/>
  <c r="G51" i="1"/>
  <c r="F51" i="1"/>
  <c r="E51" i="1"/>
  <c r="L50" i="1"/>
  <c r="K50" i="1"/>
  <c r="J50" i="1"/>
  <c r="I50" i="1"/>
  <c r="H50" i="1"/>
  <c r="G50" i="1"/>
  <c r="F50" i="1"/>
  <c r="E50" i="1"/>
  <c r="L49" i="1"/>
  <c r="K49" i="1"/>
  <c r="J49" i="1"/>
  <c r="I49" i="1"/>
  <c r="H49" i="1"/>
  <c r="G49" i="1"/>
  <c r="F49" i="1"/>
  <c r="E49" i="1"/>
  <c r="L48" i="1"/>
  <c r="K48" i="1"/>
  <c r="J48" i="1"/>
  <c r="I48" i="1"/>
  <c r="H48" i="1"/>
  <c r="G48" i="1"/>
  <c r="F48" i="1"/>
  <c r="E48" i="1"/>
  <c r="L47" i="1"/>
  <c r="K47" i="1"/>
  <c r="J47" i="1"/>
  <c r="I47" i="1"/>
  <c r="H47" i="1"/>
  <c r="G47" i="1"/>
  <c r="F47" i="1"/>
  <c r="E47" i="1"/>
  <c r="L46" i="1"/>
  <c r="K46" i="1"/>
  <c r="J46" i="1"/>
  <c r="I46" i="1"/>
  <c r="H46" i="1"/>
  <c r="G46" i="1"/>
  <c r="F46" i="1"/>
  <c r="E46" i="1"/>
  <c r="L45" i="1"/>
  <c r="K45" i="1"/>
  <c r="J45" i="1"/>
  <c r="I45" i="1"/>
  <c r="H45" i="1"/>
  <c r="G45" i="1"/>
  <c r="F45" i="1"/>
  <c r="E45" i="1"/>
  <c r="L44" i="1"/>
  <c r="K44" i="1"/>
  <c r="J44" i="1"/>
  <c r="I44" i="1"/>
  <c r="H44" i="1"/>
  <c r="G44" i="1"/>
  <c r="F44" i="1"/>
  <c r="E44" i="1"/>
  <c r="L43" i="1"/>
  <c r="K43" i="1"/>
  <c r="J43" i="1"/>
  <c r="I43" i="1"/>
  <c r="H43" i="1"/>
  <c r="G43" i="1"/>
  <c r="F43" i="1"/>
  <c r="E43" i="1"/>
  <c r="L42" i="1"/>
  <c r="K42" i="1"/>
  <c r="J42" i="1"/>
  <c r="I42" i="1"/>
  <c r="H42" i="1"/>
  <c r="G42" i="1"/>
  <c r="F42" i="1"/>
  <c r="E42" i="1"/>
  <c r="L41" i="1"/>
  <c r="K41" i="1"/>
  <c r="J41" i="1"/>
  <c r="I41" i="1"/>
  <c r="H41" i="1"/>
  <c r="G41" i="1"/>
  <c r="F41" i="1"/>
  <c r="E41" i="1"/>
  <c r="L40" i="1"/>
  <c r="K40" i="1"/>
  <c r="J40" i="1"/>
  <c r="I40" i="1"/>
  <c r="H40" i="1"/>
  <c r="G40" i="1"/>
  <c r="F40" i="1"/>
  <c r="E40" i="1"/>
  <c r="L39" i="1"/>
  <c r="K39" i="1"/>
  <c r="J39" i="1"/>
  <c r="I39" i="1"/>
  <c r="H39" i="1"/>
  <c r="G39" i="1"/>
  <c r="F39" i="1"/>
  <c r="E39" i="1"/>
  <c r="L38" i="1"/>
  <c r="K38" i="1"/>
  <c r="J38" i="1"/>
  <c r="I38" i="1"/>
  <c r="H38" i="1"/>
  <c r="G38" i="1"/>
  <c r="F38" i="1"/>
  <c r="E38" i="1"/>
  <c r="L37" i="1"/>
  <c r="K37" i="1"/>
  <c r="J37" i="1"/>
  <c r="I37" i="1"/>
  <c r="H37" i="1"/>
  <c r="G37" i="1"/>
  <c r="F37" i="1"/>
  <c r="E37" i="1"/>
  <c r="L36" i="1"/>
  <c r="K36" i="1"/>
  <c r="J36" i="1"/>
  <c r="I36" i="1"/>
  <c r="H36" i="1"/>
  <c r="G36" i="1"/>
  <c r="F36" i="1"/>
  <c r="E36" i="1"/>
  <c r="L35" i="1"/>
  <c r="K35" i="1"/>
  <c r="J35" i="1"/>
  <c r="I35" i="1"/>
  <c r="H35" i="1"/>
  <c r="G35" i="1"/>
  <c r="F35" i="1"/>
  <c r="E35" i="1"/>
  <c r="L34" i="1"/>
  <c r="K34" i="1"/>
  <c r="J34" i="1"/>
  <c r="I34" i="1"/>
  <c r="H34" i="1"/>
  <c r="G34" i="1"/>
  <c r="F34" i="1"/>
  <c r="E34" i="1"/>
  <c r="L33" i="1"/>
  <c r="K33" i="1"/>
  <c r="J33" i="1"/>
  <c r="I33" i="1"/>
  <c r="H33" i="1"/>
  <c r="G33" i="1"/>
  <c r="F33" i="1"/>
  <c r="E33" i="1"/>
  <c r="L32" i="1"/>
  <c r="K32" i="1"/>
  <c r="J32" i="1"/>
  <c r="I32" i="1"/>
  <c r="H32" i="1"/>
  <c r="G32" i="1"/>
  <c r="F32" i="1"/>
  <c r="E32" i="1"/>
  <c r="L31" i="1"/>
  <c r="K31" i="1"/>
  <c r="J31" i="1"/>
  <c r="I31" i="1"/>
  <c r="H31" i="1"/>
  <c r="G31" i="1"/>
  <c r="F31" i="1"/>
  <c r="E31" i="1"/>
  <c r="L30" i="1"/>
  <c r="K30" i="1"/>
  <c r="J30" i="1"/>
  <c r="I30" i="1"/>
  <c r="H30" i="1"/>
  <c r="G30" i="1"/>
  <c r="F30" i="1"/>
  <c r="E30" i="1"/>
  <c r="L29" i="1"/>
  <c r="K29" i="1"/>
  <c r="J29" i="1"/>
  <c r="I29" i="1"/>
  <c r="H29" i="1"/>
  <c r="G29" i="1"/>
  <c r="F29" i="1"/>
  <c r="E29" i="1"/>
  <c r="L28" i="1"/>
  <c r="K28" i="1"/>
  <c r="J28" i="1"/>
  <c r="I28" i="1"/>
  <c r="H28" i="1"/>
  <c r="G28" i="1"/>
  <c r="F28" i="1"/>
  <c r="E28" i="1"/>
  <c r="L27" i="1"/>
  <c r="K27" i="1"/>
  <c r="J27" i="1"/>
  <c r="I27" i="1"/>
  <c r="H27" i="1"/>
  <c r="G27" i="1"/>
  <c r="F27" i="1"/>
  <c r="E27" i="1"/>
  <c r="L26" i="1"/>
  <c r="K26" i="1"/>
  <c r="J26" i="1"/>
  <c r="I26" i="1"/>
  <c r="H26" i="1"/>
  <c r="G26" i="1"/>
  <c r="F26" i="1"/>
  <c r="E26" i="1"/>
  <c r="L25" i="1"/>
  <c r="K25" i="1"/>
  <c r="J25" i="1"/>
  <c r="I25" i="1"/>
  <c r="H25" i="1"/>
  <c r="G25" i="1"/>
  <c r="F25" i="1"/>
  <c r="E25" i="1"/>
  <c r="L24" i="1"/>
  <c r="K24" i="1"/>
  <c r="J24" i="1"/>
  <c r="I24" i="1"/>
  <c r="H24" i="1"/>
  <c r="G24" i="1"/>
  <c r="F24" i="1"/>
  <c r="E24" i="1"/>
  <c r="L23" i="1"/>
  <c r="K23" i="1"/>
  <c r="J23" i="1"/>
  <c r="I23" i="1"/>
  <c r="H23" i="1"/>
  <c r="G23" i="1"/>
  <c r="F23" i="1"/>
  <c r="E23" i="1"/>
  <c r="L22" i="1"/>
  <c r="K22" i="1"/>
  <c r="J22" i="1"/>
  <c r="I22" i="1"/>
  <c r="H22" i="1"/>
  <c r="G22" i="1"/>
  <c r="F22" i="1"/>
  <c r="E22" i="1"/>
  <c r="L21" i="1"/>
  <c r="K21" i="1"/>
  <c r="J21" i="1"/>
  <c r="I21" i="1"/>
  <c r="H21" i="1"/>
  <c r="G21" i="1"/>
  <c r="F21" i="1"/>
  <c r="E21" i="1"/>
  <c r="L20" i="1"/>
  <c r="K20" i="1"/>
  <c r="J20" i="1"/>
  <c r="I20" i="1"/>
  <c r="H20" i="1"/>
  <c r="G20" i="1"/>
  <c r="F20" i="1"/>
  <c r="E20" i="1"/>
  <c r="L19" i="1"/>
  <c r="K19" i="1"/>
  <c r="J19" i="1"/>
  <c r="I19" i="1"/>
  <c r="H19" i="1"/>
  <c r="G19" i="1"/>
  <c r="F19" i="1"/>
  <c r="E19" i="1"/>
  <c r="L18" i="1"/>
  <c r="K18" i="1"/>
  <c r="J18" i="1"/>
  <c r="I18" i="1"/>
  <c r="H18" i="1"/>
  <c r="G18" i="1"/>
  <c r="F18" i="1"/>
  <c r="E18" i="1"/>
  <c r="L17" i="1"/>
  <c r="K17" i="1"/>
  <c r="J17" i="1"/>
  <c r="I17" i="1"/>
  <c r="H17" i="1"/>
  <c r="G17" i="1"/>
  <c r="F17" i="1"/>
  <c r="E17" i="1"/>
  <c r="L16" i="1"/>
  <c r="K16" i="1"/>
  <c r="J16" i="1"/>
  <c r="I16" i="1"/>
  <c r="H16" i="1"/>
  <c r="G16" i="1"/>
  <c r="F16" i="1"/>
  <c r="E16" i="1"/>
  <c r="L15" i="1"/>
  <c r="K15" i="1"/>
  <c r="J15" i="1"/>
  <c r="I15" i="1"/>
  <c r="H15" i="1"/>
  <c r="G15" i="1"/>
  <c r="F15" i="1"/>
  <c r="E15" i="1"/>
  <c r="L14" i="1"/>
  <c r="K14" i="1"/>
  <c r="J14" i="1"/>
  <c r="I14" i="1"/>
  <c r="H14" i="1"/>
  <c r="G14" i="1"/>
  <c r="F14" i="1"/>
  <c r="E14" i="1"/>
  <c r="L13" i="1"/>
  <c r="K13" i="1"/>
  <c r="J13" i="1"/>
  <c r="I13" i="1"/>
  <c r="H13" i="1"/>
  <c r="G13" i="1"/>
  <c r="F13" i="1"/>
  <c r="E13" i="1"/>
  <c r="L12" i="1"/>
  <c r="K12" i="1"/>
  <c r="J12" i="1"/>
  <c r="I12" i="1"/>
  <c r="H12" i="1"/>
  <c r="G12" i="1"/>
  <c r="F12" i="1"/>
  <c r="E12" i="1"/>
  <c r="L11" i="1"/>
  <c r="K11" i="1"/>
  <c r="J11" i="1"/>
  <c r="I11" i="1"/>
  <c r="H11" i="1"/>
  <c r="G11" i="1"/>
  <c r="F11" i="1"/>
  <c r="E11" i="1"/>
  <c r="L10" i="1"/>
  <c r="K10" i="1"/>
  <c r="J10" i="1"/>
  <c r="I10" i="1"/>
  <c r="H10" i="1"/>
  <c r="G10" i="1"/>
  <c r="F10" i="1"/>
  <c r="E10" i="1"/>
  <c r="L9" i="1"/>
  <c r="K9" i="1"/>
  <c r="J9" i="1"/>
  <c r="I9" i="1"/>
  <c r="H9" i="1"/>
  <c r="G9" i="1"/>
  <c r="F9" i="1"/>
  <c r="E9" i="1"/>
  <c r="L8" i="1"/>
  <c r="K8" i="1"/>
  <c r="J8" i="1"/>
  <c r="I8" i="1"/>
  <c r="H8" i="1"/>
  <c r="G8" i="1"/>
  <c r="F8" i="1"/>
  <c r="E8" i="1"/>
  <c r="L7" i="1"/>
  <c r="K7" i="1"/>
  <c r="J7" i="1"/>
  <c r="I7" i="1"/>
  <c r="H7" i="1"/>
  <c r="G7" i="1"/>
  <c r="F7" i="1"/>
  <c r="E7" i="1"/>
  <c r="L6" i="1"/>
  <c r="K6" i="1"/>
  <c r="J6" i="1"/>
  <c r="I6" i="1"/>
  <c r="H6" i="1"/>
  <c r="G6" i="1"/>
  <c r="F6" i="1"/>
  <c r="E6" i="1"/>
  <c r="L5" i="1"/>
  <c r="K5" i="1"/>
  <c r="J5" i="1"/>
  <c r="I5" i="1"/>
  <c r="H5" i="1"/>
  <c r="G5" i="1"/>
  <c r="F5" i="1"/>
  <c r="E5" i="1"/>
  <c r="I96" i="18"/>
  <c r="E96" i="18"/>
  <c r="D96" i="18"/>
  <c r="C96" i="18"/>
  <c r="B96" i="18"/>
  <c r="I92" i="18"/>
  <c r="F92" i="18"/>
  <c r="E92" i="18"/>
  <c r="D92" i="18"/>
  <c r="C92" i="18"/>
  <c r="B92" i="18"/>
  <c r="I88" i="18"/>
  <c r="F88" i="18"/>
  <c r="E88" i="18"/>
  <c r="D88" i="18"/>
  <c r="C88" i="18"/>
  <c r="B88" i="18"/>
  <c r="I84" i="18"/>
  <c r="E84" i="18"/>
  <c r="D84" i="18"/>
  <c r="C84" i="18"/>
  <c r="B84" i="18"/>
  <c r="I80" i="18"/>
  <c r="F80" i="18"/>
  <c r="E80" i="18"/>
  <c r="D80" i="18"/>
  <c r="C80" i="18"/>
  <c r="B80" i="18"/>
  <c r="I76" i="18"/>
  <c r="F76" i="18"/>
  <c r="E76" i="18"/>
  <c r="D76" i="18"/>
  <c r="C76" i="18"/>
  <c r="B76" i="18"/>
  <c r="I72" i="18"/>
  <c r="F72" i="18"/>
  <c r="E72" i="18"/>
  <c r="D72" i="18"/>
  <c r="C72" i="18"/>
  <c r="B72" i="18"/>
  <c r="I68" i="18"/>
  <c r="F68" i="18"/>
  <c r="E68" i="18"/>
  <c r="D68" i="18"/>
  <c r="C68" i="18"/>
  <c r="B68" i="18"/>
  <c r="I64" i="18"/>
  <c r="F64" i="18"/>
  <c r="E64" i="18"/>
  <c r="D64" i="18"/>
  <c r="C64" i="18"/>
  <c r="B64" i="18"/>
  <c r="I60" i="18"/>
  <c r="G60" i="18"/>
  <c r="F60" i="18"/>
  <c r="E60" i="18"/>
  <c r="D60" i="18"/>
  <c r="C60" i="18"/>
  <c r="B60" i="18"/>
  <c r="I56" i="18"/>
  <c r="F56" i="18"/>
  <c r="E56" i="18"/>
  <c r="D56" i="18"/>
  <c r="C56" i="18"/>
  <c r="B56" i="18"/>
  <c r="I52" i="18"/>
  <c r="F52" i="18"/>
  <c r="E52" i="18"/>
  <c r="D52" i="18"/>
  <c r="C52" i="18"/>
  <c r="B52" i="18"/>
  <c r="I48" i="18"/>
  <c r="F48" i="18"/>
  <c r="E48" i="18"/>
  <c r="D48" i="18"/>
  <c r="C48" i="18"/>
  <c r="B48" i="18"/>
  <c r="I44" i="18"/>
  <c r="F44" i="18"/>
  <c r="E44" i="18"/>
  <c r="D44" i="18"/>
  <c r="C44" i="18"/>
  <c r="B44" i="18"/>
  <c r="I40" i="18"/>
  <c r="F40" i="18"/>
  <c r="E40" i="18"/>
  <c r="D40" i="18"/>
  <c r="C40" i="18"/>
  <c r="B40" i="18"/>
  <c r="I36" i="18"/>
  <c r="F36" i="18"/>
  <c r="E36" i="18"/>
  <c r="D36" i="18"/>
  <c r="C36" i="18"/>
  <c r="B36" i="18"/>
  <c r="I32" i="18"/>
  <c r="E32" i="18"/>
  <c r="D32" i="18"/>
  <c r="C32" i="18"/>
  <c r="B32" i="18"/>
  <c r="I28" i="18"/>
  <c r="F28" i="18"/>
  <c r="E28" i="18"/>
  <c r="D28" i="18"/>
  <c r="C28" i="18"/>
  <c r="B28" i="18"/>
  <c r="I24" i="18"/>
  <c r="G24" i="18"/>
  <c r="F24" i="18"/>
  <c r="E24" i="18"/>
  <c r="D24" i="18"/>
  <c r="C24" i="18"/>
  <c r="B24" i="18"/>
  <c r="I20" i="18"/>
  <c r="F20" i="18"/>
  <c r="E20" i="18"/>
  <c r="D20" i="18"/>
  <c r="C20" i="18"/>
  <c r="B20" i="18"/>
  <c r="I16" i="18"/>
  <c r="G16" i="18"/>
  <c r="F16" i="18"/>
  <c r="E16" i="18"/>
  <c r="D16" i="18"/>
  <c r="C16" i="18"/>
  <c r="B16" i="18"/>
  <c r="I12" i="18"/>
  <c r="F12" i="18"/>
  <c r="E12" i="18"/>
  <c r="D12" i="18"/>
  <c r="C12" i="18"/>
  <c r="B12" i="18"/>
  <c r="I8" i="18"/>
  <c r="F8" i="18"/>
  <c r="E8" i="18"/>
  <c r="D8" i="18"/>
  <c r="C8" i="18"/>
  <c r="B8" i="18"/>
  <c r="I4" i="18"/>
  <c r="D4" i="18"/>
  <c r="C4" i="18"/>
  <c r="B4" i="18"/>
  <c r="H121" i="16"/>
  <c r="E121" i="16"/>
  <c r="D121" i="16"/>
  <c r="C121" i="16"/>
  <c r="B121" i="16"/>
  <c r="H117" i="16"/>
  <c r="E117" i="16"/>
  <c r="D117" i="16"/>
  <c r="C117" i="16"/>
  <c r="B117" i="16"/>
  <c r="H113" i="16"/>
  <c r="G113" i="16"/>
  <c r="F113" i="16"/>
  <c r="E113" i="16"/>
  <c r="D113" i="16"/>
  <c r="C113" i="16"/>
  <c r="B113" i="16"/>
  <c r="H109" i="16"/>
  <c r="G109" i="16"/>
  <c r="F109" i="16"/>
  <c r="E109" i="16"/>
  <c r="D109" i="16"/>
  <c r="C109" i="16"/>
  <c r="B109" i="16"/>
  <c r="H105" i="16"/>
  <c r="F105" i="16"/>
  <c r="E105" i="16"/>
  <c r="D105" i="16"/>
  <c r="C105" i="16"/>
  <c r="B105" i="16"/>
  <c r="H101" i="16"/>
  <c r="G101" i="16"/>
  <c r="F101" i="16"/>
  <c r="E101" i="16"/>
  <c r="D101" i="16"/>
  <c r="C101" i="16"/>
  <c r="B101" i="16"/>
  <c r="H97" i="16"/>
  <c r="G97" i="16"/>
  <c r="F97" i="16"/>
  <c r="E97" i="16"/>
  <c r="D97" i="16"/>
  <c r="C97" i="16"/>
  <c r="B97" i="16"/>
  <c r="H93" i="16"/>
  <c r="G93" i="16"/>
  <c r="F93" i="16"/>
  <c r="E93" i="16"/>
  <c r="D93" i="16"/>
  <c r="C93" i="16"/>
  <c r="B93" i="16"/>
  <c r="H89" i="16"/>
  <c r="F89" i="16"/>
  <c r="E89" i="16"/>
  <c r="D89" i="16"/>
  <c r="C89" i="16"/>
  <c r="B89" i="16"/>
  <c r="H85" i="16"/>
  <c r="F85" i="16"/>
  <c r="E85" i="16"/>
  <c r="D85" i="16"/>
  <c r="C85" i="16"/>
  <c r="B85" i="16"/>
  <c r="H81" i="16"/>
  <c r="G81" i="16"/>
  <c r="F81" i="16"/>
  <c r="E81" i="16"/>
  <c r="D81" i="16"/>
  <c r="C81" i="16"/>
  <c r="B81" i="16"/>
  <c r="H77" i="16"/>
  <c r="G77" i="16"/>
  <c r="F77" i="16"/>
  <c r="E77" i="16"/>
  <c r="D77" i="16"/>
  <c r="C77" i="16"/>
  <c r="B77" i="16"/>
  <c r="H73" i="16"/>
  <c r="G73" i="16"/>
  <c r="F73" i="16"/>
  <c r="E73" i="16"/>
  <c r="D73" i="16"/>
  <c r="C73" i="16"/>
  <c r="B73" i="16"/>
  <c r="H69" i="16"/>
  <c r="G69" i="16"/>
  <c r="F69" i="16"/>
  <c r="E69" i="16"/>
  <c r="D69" i="16"/>
  <c r="C69" i="16"/>
  <c r="B69" i="16"/>
  <c r="H65" i="16"/>
  <c r="F65" i="16"/>
  <c r="E65" i="16"/>
  <c r="D65" i="16"/>
  <c r="C65" i="16"/>
  <c r="B65" i="16"/>
  <c r="H61" i="16"/>
  <c r="E61" i="16"/>
  <c r="D61" i="16"/>
  <c r="C61" i="16"/>
  <c r="B61" i="16"/>
  <c r="H57" i="16"/>
  <c r="F57" i="16"/>
  <c r="E57" i="16"/>
  <c r="D57" i="16"/>
  <c r="C57" i="16"/>
  <c r="B57" i="16"/>
  <c r="H53" i="16"/>
  <c r="F53" i="16"/>
  <c r="E53" i="16"/>
  <c r="D53" i="16"/>
  <c r="C53" i="16"/>
  <c r="B53" i="16"/>
  <c r="H49" i="16"/>
  <c r="F49" i="16"/>
  <c r="E49" i="16"/>
  <c r="D49" i="16"/>
  <c r="C49" i="16"/>
  <c r="B49" i="16"/>
  <c r="H45" i="16"/>
  <c r="F45" i="16"/>
  <c r="E45" i="16"/>
  <c r="D45" i="16"/>
  <c r="C45" i="16"/>
  <c r="B45" i="16"/>
  <c r="H41" i="16"/>
  <c r="F41" i="16"/>
  <c r="E41" i="16"/>
  <c r="D41" i="16"/>
  <c r="C41" i="16"/>
  <c r="B41" i="16"/>
  <c r="H37" i="16"/>
  <c r="F37" i="16"/>
  <c r="E37" i="16"/>
  <c r="D37" i="16"/>
  <c r="C37" i="16"/>
  <c r="B37" i="16"/>
  <c r="H33" i="16"/>
  <c r="G33" i="16"/>
  <c r="F33" i="16"/>
  <c r="E33" i="16"/>
  <c r="D33" i="16"/>
  <c r="C33" i="16"/>
  <c r="B33" i="16"/>
  <c r="H29" i="16"/>
  <c r="G29" i="16"/>
  <c r="F29" i="16"/>
  <c r="E29" i="16"/>
  <c r="D29" i="16"/>
  <c r="C29" i="16"/>
  <c r="B29" i="16"/>
  <c r="H25" i="16"/>
  <c r="G25" i="16"/>
  <c r="F25" i="16"/>
  <c r="E25" i="16"/>
  <c r="D25" i="16"/>
  <c r="C25" i="16"/>
  <c r="H21" i="16"/>
  <c r="G21" i="16"/>
  <c r="F21" i="16"/>
  <c r="E21" i="16"/>
  <c r="D21" i="16"/>
  <c r="C21" i="16"/>
  <c r="B21" i="16"/>
  <c r="H17" i="16"/>
  <c r="G17" i="16"/>
  <c r="F17" i="16"/>
  <c r="E17" i="16"/>
  <c r="D17" i="16"/>
  <c r="C17" i="16"/>
  <c r="B17" i="16"/>
  <c r="H13" i="16"/>
  <c r="G13" i="16"/>
  <c r="F13" i="16"/>
  <c r="E13" i="16"/>
  <c r="D13" i="16"/>
  <c r="C13" i="16"/>
  <c r="B13" i="16"/>
  <c r="H9" i="16"/>
  <c r="F9" i="16"/>
  <c r="E9" i="16"/>
  <c r="D9" i="16"/>
  <c r="C9" i="16"/>
  <c r="B9" i="16"/>
  <c r="H5" i="16"/>
  <c r="F5" i="16"/>
  <c r="E5" i="16"/>
  <c r="D5" i="16"/>
  <c r="C5" i="16"/>
  <c r="B5" i="16"/>
  <c r="H149" i="14"/>
  <c r="G149" i="14"/>
  <c r="F149" i="14"/>
  <c r="E149" i="14"/>
  <c r="D149" i="14"/>
  <c r="C149" i="14"/>
  <c r="B149" i="14"/>
  <c r="H145" i="14"/>
  <c r="G145" i="14"/>
  <c r="F145" i="14"/>
  <c r="E145" i="14"/>
  <c r="D145" i="14"/>
  <c r="C145" i="14"/>
  <c r="B145" i="14"/>
  <c r="H141" i="14"/>
  <c r="G141" i="14"/>
  <c r="F141" i="14"/>
  <c r="E141" i="14"/>
  <c r="D141" i="14"/>
  <c r="C141" i="14"/>
  <c r="B141" i="14"/>
  <c r="H137" i="14"/>
  <c r="G137" i="14"/>
  <c r="F137" i="14"/>
  <c r="E137" i="14"/>
  <c r="D137" i="14"/>
  <c r="C137" i="14"/>
  <c r="B137" i="14"/>
  <c r="H133" i="14"/>
  <c r="F133" i="14"/>
  <c r="E133" i="14"/>
  <c r="D133" i="14"/>
  <c r="C133" i="14"/>
  <c r="B133" i="14"/>
  <c r="H129" i="14"/>
  <c r="G129" i="14"/>
  <c r="F129" i="14"/>
  <c r="E129" i="14"/>
  <c r="D129" i="14"/>
  <c r="C129" i="14"/>
  <c r="B129" i="14"/>
  <c r="H125" i="14"/>
  <c r="G125" i="14"/>
  <c r="F125" i="14"/>
  <c r="E125" i="14"/>
  <c r="D125" i="14"/>
  <c r="C125" i="14"/>
  <c r="B125" i="14"/>
  <c r="H121" i="14"/>
  <c r="G121" i="14"/>
  <c r="F121" i="14"/>
  <c r="E121" i="14"/>
  <c r="D121" i="14"/>
  <c r="C121" i="14"/>
  <c r="B121" i="14"/>
  <c r="H117" i="14"/>
  <c r="G117" i="14"/>
  <c r="F117" i="14"/>
  <c r="E117" i="14"/>
  <c r="D117" i="14"/>
  <c r="C117" i="14"/>
  <c r="B117" i="14"/>
  <c r="H113" i="14"/>
  <c r="G113" i="14"/>
  <c r="F113" i="14"/>
  <c r="E113" i="14"/>
  <c r="D113" i="14"/>
  <c r="C113" i="14"/>
  <c r="B113" i="14"/>
  <c r="H109" i="14"/>
  <c r="G109" i="14"/>
  <c r="F109" i="14"/>
  <c r="E109" i="14"/>
  <c r="D109" i="14"/>
  <c r="C109" i="14"/>
  <c r="B109" i="14"/>
  <c r="H105" i="14"/>
  <c r="G105" i="14"/>
  <c r="F105" i="14"/>
  <c r="E105" i="14"/>
  <c r="D105" i="14"/>
  <c r="C105" i="14"/>
  <c r="B105" i="14"/>
  <c r="H101" i="14"/>
  <c r="F101" i="14"/>
  <c r="E101" i="14"/>
  <c r="D101" i="14"/>
  <c r="C101" i="14"/>
  <c r="B101" i="14"/>
  <c r="H97" i="14"/>
  <c r="G97" i="14"/>
  <c r="F97" i="14"/>
  <c r="E97" i="14"/>
  <c r="D97" i="14"/>
  <c r="C97" i="14"/>
  <c r="B97" i="14"/>
  <c r="H93" i="14"/>
  <c r="G93" i="14"/>
  <c r="F93" i="14"/>
  <c r="E93" i="14"/>
  <c r="D93" i="14"/>
  <c r="C93" i="14"/>
  <c r="B93" i="14"/>
  <c r="H89" i="14"/>
  <c r="G89" i="14"/>
  <c r="F89" i="14"/>
  <c r="E89" i="14"/>
  <c r="D89" i="14"/>
  <c r="C89" i="14"/>
  <c r="B89" i="14"/>
  <c r="H85" i="14"/>
  <c r="G85" i="14"/>
  <c r="F85" i="14"/>
  <c r="E85" i="14"/>
  <c r="D85" i="14"/>
  <c r="C85" i="14"/>
  <c r="B85" i="14"/>
  <c r="H81" i="14"/>
  <c r="G81" i="14"/>
  <c r="F81" i="14"/>
  <c r="E81" i="14"/>
  <c r="D81" i="14"/>
  <c r="C81" i="14"/>
  <c r="B81" i="14"/>
  <c r="H77" i="14"/>
  <c r="G77" i="14"/>
  <c r="F77" i="14"/>
  <c r="E77" i="14"/>
  <c r="D77" i="14"/>
  <c r="C77" i="14"/>
  <c r="B77" i="14"/>
  <c r="H73" i="14"/>
  <c r="G73" i="14"/>
  <c r="F73" i="14"/>
  <c r="E73" i="14"/>
  <c r="D73" i="14"/>
  <c r="C73" i="14"/>
  <c r="B73" i="14"/>
  <c r="H69" i="14"/>
  <c r="G69" i="14"/>
  <c r="F69" i="14"/>
  <c r="E69" i="14"/>
  <c r="D69" i="14"/>
  <c r="C69" i="14"/>
  <c r="B69" i="14"/>
  <c r="H65" i="14"/>
  <c r="G65" i="14"/>
  <c r="F65" i="14"/>
  <c r="E65" i="14"/>
  <c r="D65" i="14"/>
  <c r="C65" i="14"/>
  <c r="B65" i="14"/>
  <c r="H61" i="14"/>
  <c r="G61" i="14"/>
  <c r="F61" i="14"/>
  <c r="E61" i="14"/>
  <c r="D61" i="14"/>
  <c r="C61" i="14"/>
  <c r="B61" i="14"/>
  <c r="H57" i="14"/>
  <c r="G57" i="14"/>
  <c r="F57" i="14"/>
  <c r="E57" i="14"/>
  <c r="D57" i="14"/>
  <c r="C57" i="14"/>
  <c r="B57" i="14"/>
  <c r="H53" i="14"/>
  <c r="G53" i="14"/>
  <c r="F53" i="14"/>
  <c r="E53" i="14"/>
  <c r="D53" i="14"/>
  <c r="C53" i="14"/>
  <c r="B53" i="14"/>
  <c r="H49" i="14"/>
  <c r="G49" i="14"/>
  <c r="F49" i="14"/>
  <c r="E49" i="14"/>
  <c r="D49" i="14"/>
  <c r="C49" i="14"/>
  <c r="B49" i="14"/>
  <c r="H45" i="14"/>
  <c r="G45" i="14"/>
  <c r="F45" i="14"/>
  <c r="E45" i="14"/>
  <c r="D45" i="14"/>
  <c r="C45" i="14"/>
  <c r="B45" i="14"/>
  <c r="H41" i="14"/>
  <c r="G41" i="14"/>
  <c r="F41" i="14"/>
  <c r="E41" i="14"/>
  <c r="D41" i="14"/>
  <c r="C41" i="14"/>
  <c r="B41" i="14"/>
  <c r="H37" i="14"/>
  <c r="G37" i="14"/>
  <c r="F37" i="14"/>
  <c r="E37" i="14"/>
  <c r="D37" i="14"/>
  <c r="C37" i="14"/>
  <c r="B37" i="14"/>
  <c r="H33" i="14"/>
  <c r="G33" i="14"/>
  <c r="F33" i="14"/>
  <c r="E33" i="14"/>
  <c r="D33" i="14"/>
  <c r="C33" i="14"/>
  <c r="B33" i="14"/>
  <c r="H29" i="14"/>
  <c r="G29" i="14"/>
  <c r="F29" i="14"/>
  <c r="E29" i="14"/>
  <c r="D29" i="14"/>
  <c r="C29" i="14"/>
  <c r="B29" i="14"/>
  <c r="H25" i="14"/>
  <c r="G25" i="14"/>
  <c r="F25" i="14"/>
  <c r="E25" i="14"/>
  <c r="D25" i="14"/>
  <c r="C25" i="14"/>
  <c r="B25" i="14"/>
  <c r="H21" i="14"/>
  <c r="G21" i="14"/>
  <c r="F21" i="14"/>
  <c r="E21" i="14"/>
  <c r="D21" i="14"/>
  <c r="C21" i="14"/>
  <c r="B21" i="14"/>
  <c r="H17" i="14"/>
  <c r="F17" i="14"/>
  <c r="E17" i="14"/>
  <c r="D17" i="14"/>
  <c r="C17" i="14"/>
  <c r="B17" i="14"/>
  <c r="H13" i="14"/>
  <c r="F13" i="14"/>
  <c r="E13" i="14"/>
  <c r="D13" i="14"/>
  <c r="C13" i="14"/>
  <c r="B13" i="14"/>
  <c r="H9" i="14"/>
  <c r="F9" i="14"/>
  <c r="E9" i="14"/>
  <c r="D9" i="14"/>
  <c r="C9" i="14"/>
  <c r="B9" i="14"/>
  <c r="H5" i="14"/>
  <c r="G5" i="14"/>
  <c r="F5" i="14"/>
  <c r="E5" i="14"/>
  <c r="D5" i="14"/>
  <c r="C5" i="14"/>
  <c r="B5" i="14"/>
  <c r="I353" i="12"/>
  <c r="F353" i="12"/>
  <c r="E353" i="12"/>
  <c r="D353" i="12"/>
  <c r="C353" i="12"/>
  <c r="B353" i="12"/>
  <c r="I349" i="12"/>
  <c r="F349" i="12"/>
  <c r="E349" i="12"/>
  <c r="D349" i="12"/>
  <c r="C349" i="12"/>
  <c r="B349" i="12"/>
  <c r="I345" i="12"/>
  <c r="F345" i="12"/>
  <c r="E345" i="12"/>
  <c r="D345" i="12"/>
  <c r="C345" i="12"/>
  <c r="B345" i="12"/>
  <c r="I341" i="12"/>
  <c r="D341" i="12"/>
  <c r="C341" i="12"/>
  <c r="B341" i="12"/>
  <c r="I337" i="12"/>
  <c r="F337" i="12"/>
  <c r="E337" i="12"/>
  <c r="D337" i="12"/>
  <c r="C337" i="12"/>
  <c r="B337" i="12"/>
  <c r="I333" i="12"/>
  <c r="D333" i="12"/>
  <c r="C333" i="12"/>
  <c r="B333" i="12"/>
  <c r="I329" i="12"/>
  <c r="F329" i="12"/>
  <c r="E329" i="12"/>
  <c r="D329" i="12"/>
  <c r="C329" i="12"/>
  <c r="B329" i="12"/>
  <c r="I325" i="12"/>
  <c r="G325" i="12"/>
  <c r="F325" i="12"/>
  <c r="E325" i="12"/>
  <c r="D325" i="12"/>
  <c r="C325" i="12"/>
  <c r="B325" i="12"/>
  <c r="I321" i="12"/>
  <c r="G321" i="12"/>
  <c r="F321" i="12"/>
  <c r="E321" i="12"/>
  <c r="D321" i="12"/>
  <c r="C321" i="12"/>
  <c r="B321" i="12"/>
  <c r="I317" i="12"/>
  <c r="G317" i="12"/>
  <c r="F317" i="12"/>
  <c r="E317" i="12"/>
  <c r="D317" i="12"/>
  <c r="C317" i="12"/>
  <c r="B317" i="12"/>
  <c r="I313" i="12"/>
  <c r="G313" i="12"/>
  <c r="F313" i="12"/>
  <c r="E313" i="12"/>
  <c r="D313" i="12"/>
  <c r="C313" i="12"/>
  <c r="B313" i="12"/>
  <c r="I309" i="12"/>
  <c r="D309" i="12"/>
  <c r="C309" i="12"/>
  <c r="B309" i="12"/>
  <c r="I305" i="12"/>
  <c r="D305" i="12"/>
  <c r="C305" i="12"/>
  <c r="B305" i="12"/>
  <c r="I301" i="12"/>
  <c r="G301" i="12"/>
  <c r="F301" i="12"/>
  <c r="E301" i="12"/>
  <c r="D301" i="12"/>
  <c r="C301" i="12"/>
  <c r="B301" i="12"/>
  <c r="I297" i="12"/>
  <c r="G297" i="12"/>
  <c r="F297" i="12"/>
  <c r="E297" i="12"/>
  <c r="D297" i="12"/>
  <c r="C297" i="12"/>
  <c r="B297" i="12"/>
  <c r="I293" i="12"/>
  <c r="G293" i="12"/>
  <c r="F293" i="12"/>
  <c r="E293" i="12"/>
  <c r="D293" i="12"/>
  <c r="C293" i="12"/>
  <c r="B293" i="12"/>
  <c r="I289" i="12"/>
  <c r="G289" i="12"/>
  <c r="F289" i="12"/>
  <c r="E289" i="12"/>
  <c r="D289" i="12"/>
  <c r="C289" i="12"/>
  <c r="B289" i="12"/>
  <c r="I285" i="12"/>
  <c r="G285" i="12"/>
  <c r="F285" i="12"/>
  <c r="E285" i="12"/>
  <c r="D285" i="12"/>
  <c r="C285" i="12"/>
  <c r="B285" i="12"/>
  <c r="I281" i="12"/>
  <c r="G281" i="12"/>
  <c r="F281" i="12"/>
  <c r="E281" i="12"/>
  <c r="D281" i="12"/>
  <c r="C281" i="12"/>
  <c r="B281" i="12"/>
  <c r="I277" i="12"/>
  <c r="F277" i="12"/>
  <c r="E277" i="12"/>
  <c r="D277" i="12"/>
  <c r="C277" i="12"/>
  <c r="B277" i="12"/>
  <c r="I273" i="12"/>
  <c r="F273" i="12"/>
  <c r="E273" i="12"/>
  <c r="D273" i="12"/>
  <c r="C273" i="12"/>
  <c r="B273" i="12"/>
  <c r="I269" i="12"/>
  <c r="F269" i="12"/>
  <c r="E269" i="12"/>
  <c r="D269" i="12"/>
  <c r="C269" i="12"/>
  <c r="B269" i="12"/>
  <c r="I265" i="12"/>
  <c r="F265" i="12"/>
  <c r="E265" i="12"/>
  <c r="D265" i="12"/>
  <c r="C265" i="12"/>
  <c r="B265" i="12"/>
  <c r="I261" i="12"/>
  <c r="G261" i="12"/>
  <c r="F261" i="12"/>
  <c r="E261" i="12"/>
  <c r="D261" i="12"/>
  <c r="C261" i="12"/>
  <c r="B261" i="12"/>
  <c r="I257" i="12"/>
  <c r="G257" i="12"/>
  <c r="F257" i="12"/>
  <c r="E257" i="12"/>
  <c r="D257" i="12"/>
  <c r="C257" i="12"/>
  <c r="B257" i="12"/>
  <c r="I253" i="12"/>
  <c r="G253" i="12"/>
  <c r="F253" i="12"/>
  <c r="E253" i="12"/>
  <c r="D253" i="12"/>
  <c r="C253" i="12"/>
  <c r="B253" i="12"/>
  <c r="I249" i="12"/>
  <c r="E249" i="12"/>
  <c r="D249" i="12"/>
  <c r="C249" i="12"/>
  <c r="B249" i="12"/>
  <c r="I245" i="12"/>
  <c r="G245" i="12"/>
  <c r="F245" i="12"/>
  <c r="E245" i="12"/>
  <c r="D245" i="12"/>
  <c r="C245" i="12"/>
  <c r="B245" i="12"/>
  <c r="I241" i="12"/>
  <c r="F241" i="12"/>
  <c r="E241" i="12"/>
  <c r="D241" i="12"/>
  <c r="C241" i="12"/>
  <c r="B241" i="12"/>
  <c r="I237" i="12"/>
  <c r="G237" i="12"/>
  <c r="F237" i="12"/>
  <c r="E237" i="12"/>
  <c r="D237" i="12"/>
  <c r="C237" i="12"/>
  <c r="B237" i="12"/>
  <c r="I233" i="12"/>
  <c r="F233" i="12"/>
  <c r="E233" i="12"/>
  <c r="D233" i="12"/>
  <c r="C233" i="12"/>
  <c r="B233" i="12"/>
  <c r="I229" i="12"/>
  <c r="G229" i="12"/>
  <c r="F229" i="12"/>
  <c r="E229" i="12"/>
  <c r="D229" i="12"/>
  <c r="C229" i="12"/>
  <c r="B229" i="12"/>
  <c r="I225" i="12"/>
  <c r="G225" i="12"/>
  <c r="F225" i="12"/>
  <c r="E225" i="12"/>
  <c r="D225" i="12"/>
  <c r="C225" i="12"/>
  <c r="B225" i="12"/>
  <c r="I221" i="12"/>
  <c r="G221" i="12"/>
  <c r="F221" i="12"/>
  <c r="E221" i="12"/>
  <c r="D221" i="12"/>
  <c r="C221" i="12"/>
  <c r="B221" i="12"/>
  <c r="I217" i="12"/>
  <c r="G217" i="12"/>
  <c r="F217" i="12"/>
  <c r="E217" i="12"/>
  <c r="D217" i="12"/>
  <c r="C217" i="12"/>
  <c r="B217" i="12"/>
  <c r="I213" i="12"/>
  <c r="G213" i="12"/>
  <c r="F213" i="12"/>
  <c r="E213" i="12"/>
  <c r="D213" i="12"/>
  <c r="C213" i="12"/>
  <c r="B213" i="12"/>
  <c r="I209" i="12"/>
  <c r="G209" i="12"/>
  <c r="F209" i="12"/>
  <c r="E209" i="12"/>
  <c r="D209" i="12"/>
  <c r="C209" i="12"/>
  <c r="B209" i="12"/>
  <c r="I205" i="12"/>
  <c r="G205" i="12"/>
  <c r="F205" i="12"/>
  <c r="E205" i="12"/>
  <c r="D205" i="12"/>
  <c r="C205" i="12"/>
  <c r="B205" i="12"/>
  <c r="I201" i="12"/>
  <c r="F201" i="12"/>
  <c r="E201" i="12"/>
  <c r="D201" i="12"/>
  <c r="C201" i="12"/>
  <c r="B201" i="12"/>
  <c r="I197" i="12"/>
  <c r="G197" i="12"/>
  <c r="F197" i="12"/>
  <c r="E197" i="12"/>
  <c r="D197" i="12"/>
  <c r="C197" i="12"/>
  <c r="B197" i="12"/>
  <c r="I193" i="12"/>
  <c r="G193" i="12"/>
  <c r="F193" i="12"/>
  <c r="E193" i="12"/>
  <c r="D193" i="12"/>
  <c r="C193" i="12"/>
  <c r="B193" i="12"/>
  <c r="I189" i="12"/>
  <c r="G189" i="12"/>
  <c r="F189" i="12"/>
  <c r="E189" i="12"/>
  <c r="D189" i="12"/>
  <c r="C189" i="12"/>
  <c r="B189" i="12"/>
  <c r="I185" i="12"/>
  <c r="E185" i="12"/>
  <c r="D185" i="12"/>
  <c r="C185" i="12"/>
  <c r="B185" i="12"/>
  <c r="I181" i="12"/>
  <c r="F181" i="12"/>
  <c r="E181" i="12"/>
  <c r="D181" i="12"/>
  <c r="C181" i="12"/>
  <c r="B181" i="12"/>
  <c r="I177" i="12"/>
  <c r="G177" i="12"/>
  <c r="F177" i="12"/>
  <c r="E177" i="12"/>
  <c r="D177" i="12"/>
  <c r="C177" i="12"/>
  <c r="B177" i="12"/>
  <c r="I173" i="12"/>
  <c r="F173" i="12"/>
  <c r="E173" i="12"/>
  <c r="D173" i="12"/>
  <c r="C173" i="12"/>
  <c r="B173" i="12"/>
  <c r="I169" i="12"/>
  <c r="D169" i="12"/>
  <c r="C169" i="12"/>
  <c r="B169" i="12"/>
  <c r="I165" i="12"/>
  <c r="F165" i="12"/>
  <c r="E165" i="12"/>
  <c r="D165" i="12"/>
  <c r="C165" i="12"/>
  <c r="B165" i="12"/>
  <c r="I161" i="12"/>
  <c r="F161" i="12"/>
  <c r="E161" i="12"/>
  <c r="D161" i="12"/>
  <c r="C161" i="12"/>
  <c r="B161" i="12"/>
  <c r="I157" i="12"/>
  <c r="G157" i="12"/>
  <c r="F157" i="12"/>
  <c r="E157" i="12"/>
  <c r="D157" i="12"/>
  <c r="C157" i="12"/>
  <c r="B157" i="12"/>
  <c r="I153" i="12"/>
  <c r="F153" i="12"/>
  <c r="E153" i="12"/>
  <c r="D153" i="12"/>
  <c r="C153" i="12"/>
  <c r="B153" i="12"/>
  <c r="I149" i="12"/>
  <c r="G149" i="12"/>
  <c r="F149" i="12"/>
  <c r="E149" i="12"/>
  <c r="D149" i="12"/>
  <c r="C149" i="12"/>
  <c r="B149" i="12"/>
  <c r="I145" i="12"/>
  <c r="G145" i="12"/>
  <c r="F145" i="12"/>
  <c r="E145" i="12"/>
  <c r="D145" i="12"/>
  <c r="C145" i="12"/>
  <c r="B145" i="12"/>
  <c r="I141" i="12"/>
  <c r="F141" i="12"/>
  <c r="E141" i="12"/>
  <c r="D141" i="12"/>
  <c r="C141" i="12"/>
  <c r="B141" i="12"/>
  <c r="I137" i="12"/>
  <c r="F137" i="12"/>
  <c r="E137" i="12"/>
  <c r="D137" i="12"/>
  <c r="C137" i="12"/>
  <c r="B137" i="12"/>
  <c r="I133" i="12"/>
  <c r="F133" i="12"/>
  <c r="E133" i="12"/>
  <c r="D133" i="12"/>
  <c r="C133" i="12"/>
  <c r="B133" i="12"/>
  <c r="I129" i="12"/>
  <c r="F129" i="12"/>
  <c r="E129" i="12"/>
  <c r="D129" i="12"/>
  <c r="C129" i="12"/>
  <c r="B129" i="12"/>
  <c r="I125" i="12"/>
  <c r="F125" i="12"/>
  <c r="E125" i="12"/>
  <c r="D125" i="12"/>
  <c r="C125" i="12"/>
  <c r="B125" i="12"/>
  <c r="I121" i="12"/>
  <c r="E121" i="12"/>
  <c r="D121" i="12"/>
  <c r="C121" i="12"/>
  <c r="B121" i="12"/>
  <c r="I117" i="12"/>
  <c r="G117" i="12"/>
  <c r="F117" i="12"/>
  <c r="E117" i="12"/>
  <c r="D117" i="12"/>
  <c r="C117" i="12"/>
  <c r="B117" i="12"/>
  <c r="I113" i="12"/>
  <c r="G113" i="12"/>
  <c r="F113" i="12"/>
  <c r="E113" i="12"/>
  <c r="D113" i="12"/>
  <c r="C113" i="12"/>
  <c r="B113" i="12"/>
  <c r="I109" i="12"/>
  <c r="G109" i="12"/>
  <c r="F109" i="12"/>
  <c r="E109" i="12"/>
  <c r="D109" i="12"/>
  <c r="C109" i="12"/>
  <c r="B109" i="12"/>
  <c r="I105" i="12"/>
  <c r="G105" i="12"/>
  <c r="F105" i="12"/>
  <c r="E105" i="12"/>
  <c r="D105" i="12"/>
  <c r="C105" i="12"/>
  <c r="B105" i="12"/>
  <c r="I101" i="12"/>
  <c r="G101" i="12"/>
  <c r="F101" i="12"/>
  <c r="E101" i="12"/>
  <c r="D101" i="12"/>
  <c r="C101" i="12"/>
  <c r="B101" i="12"/>
  <c r="I97" i="12"/>
  <c r="G97" i="12"/>
  <c r="F97" i="12"/>
  <c r="E97" i="12"/>
  <c r="D97" i="12"/>
  <c r="C97" i="12"/>
  <c r="B97" i="12"/>
  <c r="I93" i="12"/>
  <c r="E93" i="12"/>
  <c r="D93" i="12"/>
  <c r="C93" i="12"/>
  <c r="B93" i="12"/>
  <c r="I89" i="12"/>
  <c r="G89" i="12"/>
  <c r="F89" i="12"/>
  <c r="E89" i="12"/>
  <c r="D89" i="12"/>
  <c r="C89" i="12"/>
  <c r="B89" i="12"/>
  <c r="I85" i="12"/>
  <c r="G85" i="12"/>
  <c r="F85" i="12"/>
  <c r="E85" i="12"/>
  <c r="D85" i="12"/>
  <c r="C85" i="12"/>
  <c r="B85" i="12"/>
  <c r="I81" i="12"/>
  <c r="G81" i="12"/>
  <c r="F81" i="12"/>
  <c r="E81" i="12"/>
  <c r="D81" i="12"/>
  <c r="C81" i="12"/>
  <c r="B81" i="12"/>
  <c r="I77" i="12"/>
  <c r="F77" i="12"/>
  <c r="E77" i="12"/>
  <c r="D77" i="12"/>
  <c r="C77" i="12"/>
  <c r="B77" i="12"/>
  <c r="I73" i="12"/>
  <c r="F73" i="12"/>
  <c r="E73" i="12"/>
  <c r="D73" i="12"/>
  <c r="C73" i="12"/>
  <c r="B73" i="12"/>
  <c r="I69" i="12"/>
  <c r="E69" i="12"/>
  <c r="D69" i="12"/>
  <c r="C69" i="12"/>
  <c r="B69" i="12"/>
  <c r="I65" i="12"/>
  <c r="F65" i="12"/>
  <c r="E65" i="12"/>
  <c r="D65" i="12"/>
  <c r="C65" i="12"/>
  <c r="B65" i="12"/>
  <c r="I61" i="12"/>
  <c r="E61" i="12"/>
  <c r="D61" i="12"/>
  <c r="C61" i="12"/>
  <c r="B61" i="12"/>
  <c r="I57" i="12"/>
  <c r="F57" i="12"/>
  <c r="E57" i="12"/>
  <c r="D57" i="12"/>
  <c r="C57" i="12"/>
  <c r="B57" i="12"/>
  <c r="I53" i="12"/>
  <c r="G53" i="12"/>
  <c r="F53" i="12"/>
  <c r="E53" i="12"/>
  <c r="D53" i="12"/>
  <c r="C53" i="12"/>
  <c r="B53" i="12"/>
  <c r="I49" i="12"/>
  <c r="G49" i="12"/>
  <c r="F49" i="12"/>
  <c r="E49" i="12"/>
  <c r="D49" i="12"/>
  <c r="C49" i="12"/>
  <c r="B49" i="12"/>
  <c r="I45" i="12"/>
  <c r="D45" i="12"/>
  <c r="C45" i="12"/>
  <c r="B45" i="12"/>
  <c r="I41" i="12"/>
  <c r="E41" i="12"/>
  <c r="D41" i="12"/>
  <c r="C41" i="12"/>
  <c r="B41" i="12"/>
  <c r="I37" i="12"/>
  <c r="F37" i="12"/>
  <c r="E37" i="12"/>
  <c r="D37" i="12"/>
  <c r="C37" i="12"/>
  <c r="B37" i="12"/>
  <c r="I33" i="12"/>
  <c r="E33" i="12"/>
  <c r="D33" i="12"/>
  <c r="C33" i="12"/>
  <c r="B33" i="12"/>
  <c r="I29" i="12"/>
  <c r="E29" i="12"/>
  <c r="D29" i="12"/>
  <c r="C29" i="12"/>
  <c r="B29" i="12"/>
  <c r="I25" i="12"/>
  <c r="F25" i="12"/>
  <c r="E25" i="12"/>
  <c r="D25" i="12"/>
  <c r="C25" i="12"/>
  <c r="B25" i="12"/>
  <c r="I21" i="12"/>
  <c r="E21" i="12"/>
  <c r="D21" i="12"/>
  <c r="C21" i="12"/>
  <c r="B21" i="12"/>
  <c r="I17" i="12"/>
  <c r="E17" i="12"/>
  <c r="D17" i="12"/>
  <c r="C17" i="12"/>
  <c r="B17" i="12"/>
  <c r="I13" i="12"/>
  <c r="E13" i="12"/>
  <c r="D13" i="12"/>
  <c r="C13" i="12"/>
  <c r="B13" i="12"/>
  <c r="I9" i="12"/>
  <c r="D9" i="12"/>
  <c r="C9" i="12"/>
  <c r="B9" i="12"/>
  <c r="I5" i="12"/>
  <c r="C5" i="12"/>
  <c r="B5" i="12"/>
  <c r="I389" i="10"/>
  <c r="G389" i="10"/>
  <c r="F389" i="10"/>
  <c r="E389" i="10"/>
  <c r="D389" i="10"/>
  <c r="C389" i="10"/>
  <c r="B389" i="10"/>
  <c r="I385" i="10"/>
  <c r="G385" i="10"/>
  <c r="F385" i="10"/>
  <c r="E385" i="10"/>
  <c r="D385" i="10"/>
  <c r="C385" i="10"/>
  <c r="B385" i="10"/>
  <c r="I381" i="10"/>
  <c r="G381" i="10"/>
  <c r="F381" i="10"/>
  <c r="E381" i="10"/>
  <c r="D381" i="10"/>
  <c r="C381" i="10"/>
  <c r="B381" i="10"/>
  <c r="I377" i="10"/>
  <c r="G377" i="10"/>
  <c r="F377" i="10"/>
  <c r="E377" i="10"/>
  <c r="D377" i="10"/>
  <c r="C377" i="10"/>
  <c r="B377" i="10"/>
  <c r="I373" i="10"/>
  <c r="G373" i="10"/>
  <c r="F373" i="10"/>
  <c r="E373" i="10"/>
  <c r="D373" i="10"/>
  <c r="C373" i="10"/>
  <c r="B373" i="10"/>
  <c r="I369" i="10"/>
  <c r="G369" i="10"/>
  <c r="F369" i="10"/>
  <c r="E369" i="10"/>
  <c r="D369" i="10"/>
  <c r="C369" i="10"/>
  <c r="B369" i="10"/>
  <c r="I365" i="10"/>
  <c r="G365" i="10"/>
  <c r="F365" i="10"/>
  <c r="E365" i="10"/>
  <c r="D365" i="10"/>
  <c r="C365" i="10"/>
  <c r="B365" i="10"/>
  <c r="I361" i="10"/>
  <c r="G361" i="10"/>
  <c r="F361" i="10"/>
  <c r="E361" i="10"/>
  <c r="D361" i="10"/>
  <c r="C361" i="10"/>
  <c r="B361" i="10"/>
  <c r="I357" i="10"/>
  <c r="G357" i="10"/>
  <c r="F357" i="10"/>
  <c r="E357" i="10"/>
  <c r="D357" i="10"/>
  <c r="C357" i="10"/>
  <c r="B357" i="10"/>
  <c r="I353" i="10"/>
  <c r="G353" i="10"/>
  <c r="F353" i="10"/>
  <c r="E353" i="10"/>
  <c r="D353" i="10"/>
  <c r="C353" i="10"/>
  <c r="B353" i="10"/>
  <c r="I349" i="10"/>
  <c r="G349" i="10"/>
  <c r="F349" i="10"/>
  <c r="E349" i="10"/>
  <c r="D349" i="10"/>
  <c r="C349" i="10"/>
  <c r="B349" i="10"/>
  <c r="I345" i="10"/>
  <c r="G345" i="10"/>
  <c r="F345" i="10"/>
  <c r="E345" i="10"/>
  <c r="D345" i="10"/>
  <c r="C345" i="10"/>
  <c r="B345" i="10"/>
  <c r="I341" i="10"/>
  <c r="G341" i="10"/>
  <c r="F341" i="10"/>
  <c r="E341" i="10"/>
  <c r="D341" i="10"/>
  <c r="C341" i="10"/>
  <c r="B341" i="10"/>
  <c r="I337" i="10"/>
  <c r="G337" i="10"/>
  <c r="F337" i="10"/>
  <c r="E337" i="10"/>
  <c r="D337" i="10"/>
  <c r="C337" i="10"/>
  <c r="B337" i="10"/>
  <c r="I333" i="10"/>
  <c r="G333" i="10"/>
  <c r="F333" i="10"/>
  <c r="E333" i="10"/>
  <c r="D333" i="10"/>
  <c r="C333" i="10"/>
  <c r="B333" i="10"/>
  <c r="I329" i="10"/>
  <c r="G329" i="10"/>
  <c r="F329" i="10"/>
  <c r="E329" i="10"/>
  <c r="D329" i="10"/>
  <c r="C329" i="10"/>
  <c r="B329" i="10"/>
  <c r="I325" i="10"/>
  <c r="G325" i="10"/>
  <c r="F325" i="10"/>
  <c r="E325" i="10"/>
  <c r="D325" i="10"/>
  <c r="C325" i="10"/>
  <c r="B325" i="10"/>
  <c r="I321" i="10"/>
  <c r="G321" i="10"/>
  <c r="F321" i="10"/>
  <c r="E321" i="10"/>
  <c r="D321" i="10"/>
  <c r="C321" i="10"/>
  <c r="B321" i="10"/>
  <c r="I317" i="10"/>
  <c r="G317" i="10"/>
  <c r="F317" i="10"/>
  <c r="E317" i="10"/>
  <c r="D317" i="10"/>
  <c r="C317" i="10"/>
  <c r="B317" i="10"/>
  <c r="I313" i="10"/>
  <c r="G313" i="10"/>
  <c r="F313" i="10"/>
  <c r="E313" i="10"/>
  <c r="D313" i="10"/>
  <c r="C313" i="10"/>
  <c r="B313" i="10"/>
  <c r="I309" i="10"/>
  <c r="G309" i="10"/>
  <c r="F309" i="10"/>
  <c r="E309" i="10"/>
  <c r="D309" i="10"/>
  <c r="C309" i="10"/>
  <c r="B309" i="10"/>
  <c r="I305" i="10"/>
  <c r="G305" i="10"/>
  <c r="F305" i="10"/>
  <c r="E305" i="10"/>
  <c r="D305" i="10"/>
  <c r="C305" i="10"/>
  <c r="B305" i="10"/>
  <c r="I301" i="10"/>
  <c r="G301" i="10"/>
  <c r="F301" i="10"/>
  <c r="E301" i="10"/>
  <c r="D301" i="10"/>
  <c r="C301" i="10"/>
  <c r="B301" i="10"/>
  <c r="I297" i="10"/>
  <c r="G297" i="10"/>
  <c r="F297" i="10"/>
  <c r="E297" i="10"/>
  <c r="D297" i="10"/>
  <c r="C297" i="10"/>
  <c r="B297" i="10"/>
  <c r="I293" i="10"/>
  <c r="G293" i="10"/>
  <c r="F293" i="10"/>
  <c r="E293" i="10"/>
  <c r="D293" i="10"/>
  <c r="C293" i="10"/>
  <c r="B293" i="10"/>
  <c r="I289" i="10"/>
  <c r="G289" i="10"/>
  <c r="F289" i="10"/>
  <c r="E289" i="10"/>
  <c r="D289" i="10"/>
  <c r="C289" i="10"/>
  <c r="B289" i="10"/>
  <c r="I285" i="10"/>
  <c r="G285" i="10"/>
  <c r="F285" i="10"/>
  <c r="E285" i="10"/>
  <c r="D285" i="10"/>
  <c r="C285" i="10"/>
  <c r="B285" i="10"/>
  <c r="I281" i="10"/>
  <c r="G281" i="10"/>
  <c r="F281" i="10"/>
  <c r="E281" i="10"/>
  <c r="D281" i="10"/>
  <c r="C281" i="10"/>
  <c r="B281" i="10"/>
  <c r="I277" i="10"/>
  <c r="G277" i="10"/>
  <c r="F277" i="10"/>
  <c r="E277" i="10"/>
  <c r="D277" i="10"/>
  <c r="C277" i="10"/>
  <c r="B277" i="10"/>
  <c r="I273" i="10"/>
  <c r="G273" i="10"/>
  <c r="F273" i="10"/>
  <c r="E273" i="10"/>
  <c r="D273" i="10"/>
  <c r="C273" i="10"/>
  <c r="B273" i="10"/>
  <c r="I269" i="10"/>
  <c r="G269" i="10"/>
  <c r="F269" i="10"/>
  <c r="E269" i="10"/>
  <c r="D269" i="10"/>
  <c r="C269" i="10"/>
  <c r="B269" i="10"/>
  <c r="I265" i="10"/>
  <c r="G265" i="10"/>
  <c r="F265" i="10"/>
  <c r="E265" i="10"/>
  <c r="D265" i="10"/>
  <c r="C265" i="10"/>
  <c r="B265" i="10"/>
  <c r="I261" i="10"/>
  <c r="G261" i="10"/>
  <c r="F261" i="10"/>
  <c r="E261" i="10"/>
  <c r="D261" i="10"/>
  <c r="C261" i="10"/>
  <c r="B261" i="10"/>
  <c r="I257" i="10"/>
  <c r="G257" i="10"/>
  <c r="F257" i="10"/>
  <c r="E257" i="10"/>
  <c r="D257" i="10"/>
  <c r="C257" i="10"/>
  <c r="B257" i="10"/>
  <c r="I253" i="10"/>
  <c r="G253" i="10"/>
  <c r="F253" i="10"/>
  <c r="E253" i="10"/>
  <c r="D253" i="10"/>
  <c r="C253" i="10"/>
  <c r="B253" i="10"/>
  <c r="I249" i="10"/>
  <c r="G249" i="10"/>
  <c r="F249" i="10"/>
  <c r="E249" i="10"/>
  <c r="D249" i="10"/>
  <c r="C249" i="10"/>
  <c r="B249" i="10"/>
  <c r="I245" i="10"/>
  <c r="G245" i="10"/>
  <c r="F245" i="10"/>
  <c r="E245" i="10"/>
  <c r="D245" i="10"/>
  <c r="C245" i="10"/>
  <c r="B245" i="10"/>
  <c r="I241" i="10"/>
  <c r="F241" i="10"/>
  <c r="E241" i="10"/>
  <c r="D241" i="10"/>
  <c r="C241" i="10"/>
  <c r="B241" i="10"/>
  <c r="I237" i="10"/>
  <c r="G237" i="10"/>
  <c r="F237" i="10"/>
  <c r="E237" i="10"/>
  <c r="D237" i="10"/>
  <c r="C237" i="10"/>
  <c r="B237" i="10"/>
  <c r="I233" i="10"/>
  <c r="G233" i="10"/>
  <c r="F233" i="10"/>
  <c r="E233" i="10"/>
  <c r="D233" i="10"/>
  <c r="C233" i="10"/>
  <c r="B233" i="10"/>
  <c r="I229" i="10"/>
  <c r="G229" i="10"/>
  <c r="F229" i="10"/>
  <c r="E229" i="10"/>
  <c r="D229" i="10"/>
  <c r="C229" i="10"/>
  <c r="B229" i="10"/>
  <c r="I225" i="10"/>
  <c r="G225" i="10"/>
  <c r="F225" i="10"/>
  <c r="E225" i="10"/>
  <c r="D225" i="10"/>
  <c r="C225" i="10"/>
  <c r="B225" i="10"/>
  <c r="I221" i="10"/>
  <c r="G221" i="10"/>
  <c r="F221" i="10"/>
  <c r="E221" i="10"/>
  <c r="D221" i="10"/>
  <c r="C221" i="10"/>
  <c r="B221" i="10"/>
  <c r="I217" i="10"/>
  <c r="G217" i="10"/>
  <c r="F217" i="10"/>
  <c r="E217" i="10"/>
  <c r="D217" i="10"/>
  <c r="C217" i="10"/>
  <c r="B217" i="10"/>
  <c r="I213" i="10"/>
  <c r="G213" i="10"/>
  <c r="F213" i="10"/>
  <c r="E213" i="10"/>
  <c r="D213" i="10"/>
  <c r="C213" i="10"/>
  <c r="B213" i="10"/>
  <c r="I209" i="10"/>
  <c r="G209" i="10"/>
  <c r="F209" i="10"/>
  <c r="E209" i="10"/>
  <c r="D209" i="10"/>
  <c r="C209" i="10"/>
  <c r="B209" i="10"/>
  <c r="I205" i="10"/>
  <c r="G205" i="10"/>
  <c r="F205" i="10"/>
  <c r="E205" i="10"/>
  <c r="D205" i="10"/>
  <c r="C205" i="10"/>
  <c r="B205" i="10"/>
  <c r="I201" i="10"/>
  <c r="G201" i="10"/>
  <c r="F201" i="10"/>
  <c r="E201" i="10"/>
  <c r="D201" i="10"/>
  <c r="C201" i="10"/>
  <c r="B201" i="10"/>
  <c r="I197" i="10"/>
  <c r="G197" i="10"/>
  <c r="F197" i="10"/>
  <c r="E197" i="10"/>
  <c r="D197" i="10"/>
  <c r="C197" i="10"/>
  <c r="B197" i="10"/>
  <c r="I193" i="10"/>
  <c r="G193" i="10"/>
  <c r="F193" i="10"/>
  <c r="E193" i="10"/>
  <c r="D193" i="10"/>
  <c r="C193" i="10"/>
  <c r="B193" i="10"/>
  <c r="I189" i="10"/>
  <c r="G189" i="10"/>
  <c r="F189" i="10"/>
  <c r="E189" i="10"/>
  <c r="D189" i="10"/>
  <c r="C189" i="10"/>
  <c r="B189" i="10"/>
  <c r="I185" i="10"/>
  <c r="G185" i="10"/>
  <c r="F185" i="10"/>
  <c r="E185" i="10"/>
  <c r="D185" i="10"/>
  <c r="C185" i="10"/>
  <c r="B185" i="10"/>
  <c r="I181" i="10"/>
  <c r="G181" i="10"/>
  <c r="F181" i="10"/>
  <c r="E181" i="10"/>
  <c r="D181" i="10"/>
  <c r="C181" i="10"/>
  <c r="B181" i="10"/>
  <c r="I177" i="10"/>
  <c r="G177" i="10"/>
  <c r="F177" i="10"/>
  <c r="E177" i="10"/>
  <c r="D177" i="10"/>
  <c r="C177" i="10"/>
  <c r="B177" i="10"/>
  <c r="I173" i="10"/>
  <c r="G173" i="10"/>
  <c r="F173" i="10"/>
  <c r="E173" i="10"/>
  <c r="D173" i="10"/>
  <c r="C173" i="10"/>
  <c r="B173" i="10"/>
  <c r="I169" i="10"/>
  <c r="G169" i="10"/>
  <c r="F169" i="10"/>
  <c r="E169" i="10"/>
  <c r="D169" i="10"/>
  <c r="C169" i="10"/>
  <c r="B169" i="10"/>
  <c r="I165" i="10"/>
  <c r="G165" i="10"/>
  <c r="F165" i="10"/>
  <c r="E165" i="10"/>
  <c r="D165" i="10"/>
  <c r="C165" i="10"/>
  <c r="B165" i="10"/>
  <c r="I161" i="10"/>
  <c r="F161" i="10"/>
  <c r="E161" i="10"/>
  <c r="D161" i="10"/>
  <c r="C161" i="10"/>
  <c r="B161" i="10"/>
  <c r="I157" i="10"/>
  <c r="G157" i="10"/>
  <c r="F157" i="10"/>
  <c r="E157" i="10"/>
  <c r="D157" i="10"/>
  <c r="C157" i="10"/>
  <c r="B157" i="10"/>
  <c r="I153" i="10"/>
  <c r="G153" i="10"/>
  <c r="F153" i="10"/>
  <c r="E153" i="10"/>
  <c r="D153" i="10"/>
  <c r="C153" i="10"/>
  <c r="B153" i="10"/>
  <c r="I149" i="10"/>
  <c r="G149" i="10"/>
  <c r="F149" i="10"/>
  <c r="E149" i="10"/>
  <c r="D149" i="10"/>
  <c r="C149" i="10"/>
  <c r="B149" i="10"/>
  <c r="I145" i="10"/>
  <c r="F145" i="10"/>
  <c r="E145" i="10"/>
  <c r="D145" i="10"/>
  <c r="C145" i="10"/>
  <c r="B145" i="10"/>
  <c r="I141" i="10"/>
  <c r="G141" i="10"/>
  <c r="F141" i="10"/>
  <c r="E141" i="10"/>
  <c r="D141" i="10"/>
  <c r="C141" i="10"/>
  <c r="B141" i="10"/>
  <c r="I137" i="10"/>
  <c r="G137" i="10"/>
  <c r="F137" i="10"/>
  <c r="E137" i="10"/>
  <c r="D137" i="10"/>
  <c r="C137" i="10"/>
  <c r="B137" i="10"/>
  <c r="I133" i="10"/>
  <c r="G133" i="10"/>
  <c r="F133" i="10"/>
  <c r="E133" i="10"/>
  <c r="D133" i="10"/>
  <c r="C133" i="10"/>
  <c r="B133" i="10"/>
  <c r="I129" i="10"/>
  <c r="G129" i="10"/>
  <c r="F129" i="10"/>
  <c r="E129" i="10"/>
  <c r="D129" i="10"/>
  <c r="C129" i="10"/>
  <c r="B129" i="10"/>
  <c r="I125" i="10"/>
  <c r="G125" i="10"/>
  <c r="F125" i="10"/>
  <c r="E125" i="10"/>
  <c r="D125" i="10"/>
  <c r="C125" i="10"/>
  <c r="B125" i="10"/>
  <c r="I121" i="10"/>
  <c r="G121" i="10"/>
  <c r="F121" i="10"/>
  <c r="E121" i="10"/>
  <c r="D121" i="10"/>
  <c r="C121" i="10"/>
  <c r="B121" i="10"/>
  <c r="I117" i="10"/>
  <c r="G117" i="10"/>
  <c r="F117" i="10"/>
  <c r="E117" i="10"/>
  <c r="D117" i="10"/>
  <c r="C117" i="10"/>
  <c r="B117" i="10"/>
  <c r="I113" i="10"/>
  <c r="G113" i="10"/>
  <c r="F113" i="10"/>
  <c r="E113" i="10"/>
  <c r="D113" i="10"/>
  <c r="C113" i="10"/>
  <c r="B113" i="10"/>
  <c r="I109" i="10"/>
  <c r="G109" i="10"/>
  <c r="F109" i="10"/>
  <c r="E109" i="10"/>
  <c r="D109" i="10"/>
  <c r="C109" i="10"/>
  <c r="B109" i="10"/>
  <c r="I105" i="10"/>
  <c r="G105" i="10"/>
  <c r="F105" i="10"/>
  <c r="E105" i="10"/>
  <c r="D105" i="10"/>
  <c r="C105" i="10"/>
  <c r="B105" i="10"/>
  <c r="I101" i="10"/>
  <c r="G101" i="10"/>
  <c r="F101" i="10"/>
  <c r="E101" i="10"/>
  <c r="D101" i="10"/>
  <c r="C101" i="10"/>
  <c r="B101" i="10"/>
  <c r="I97" i="10"/>
  <c r="G97" i="10"/>
  <c r="F97" i="10"/>
  <c r="E97" i="10"/>
  <c r="D97" i="10"/>
  <c r="C97" i="10"/>
  <c r="B97" i="10"/>
  <c r="I93" i="10"/>
  <c r="G93" i="10"/>
  <c r="F93" i="10"/>
  <c r="E93" i="10"/>
  <c r="D93" i="10"/>
  <c r="C93" i="10"/>
  <c r="B93" i="10"/>
  <c r="I89" i="10"/>
  <c r="G89" i="10"/>
  <c r="F89" i="10"/>
  <c r="E89" i="10"/>
  <c r="D89" i="10"/>
  <c r="C89" i="10"/>
  <c r="B89" i="10"/>
  <c r="I85" i="10"/>
  <c r="G85" i="10"/>
  <c r="F85" i="10"/>
  <c r="E85" i="10"/>
  <c r="D85" i="10"/>
  <c r="C85" i="10"/>
  <c r="B85" i="10"/>
  <c r="I81" i="10"/>
  <c r="G81" i="10"/>
  <c r="F81" i="10"/>
  <c r="E81" i="10"/>
  <c r="D81" i="10"/>
  <c r="C81" i="10"/>
  <c r="B81" i="10"/>
  <c r="I77" i="10"/>
  <c r="G77" i="10"/>
  <c r="F77" i="10"/>
  <c r="E77" i="10"/>
  <c r="D77" i="10"/>
  <c r="C77" i="10"/>
  <c r="B77" i="10"/>
  <c r="I73" i="10"/>
  <c r="G73" i="10"/>
  <c r="F73" i="10"/>
  <c r="E73" i="10"/>
  <c r="D73" i="10"/>
  <c r="C73" i="10"/>
  <c r="B73" i="10"/>
  <c r="I69" i="10"/>
  <c r="G69" i="10"/>
  <c r="F69" i="10"/>
  <c r="E69" i="10"/>
  <c r="D69" i="10"/>
  <c r="C69" i="10"/>
  <c r="B69" i="10"/>
  <c r="I65" i="10"/>
  <c r="G65" i="10"/>
  <c r="F65" i="10"/>
  <c r="E65" i="10"/>
  <c r="D65" i="10"/>
  <c r="C65" i="10"/>
  <c r="B65" i="10"/>
  <c r="I61" i="10"/>
  <c r="G61" i="10"/>
  <c r="F61" i="10"/>
  <c r="E61" i="10"/>
  <c r="D61" i="10"/>
  <c r="C61" i="10"/>
  <c r="B61" i="10"/>
  <c r="I57" i="10"/>
  <c r="G57" i="10"/>
  <c r="F57" i="10"/>
  <c r="E57" i="10"/>
  <c r="D57" i="10"/>
  <c r="C57" i="10"/>
  <c r="B57" i="10"/>
  <c r="I53" i="10"/>
  <c r="G53" i="10"/>
  <c r="F53" i="10"/>
  <c r="E53" i="10"/>
  <c r="D53" i="10"/>
  <c r="C53" i="10"/>
  <c r="B53" i="10"/>
  <c r="I49" i="10"/>
  <c r="G49" i="10"/>
  <c r="F49" i="10"/>
  <c r="E49" i="10"/>
  <c r="D49" i="10"/>
  <c r="C49" i="10"/>
  <c r="B49" i="10"/>
  <c r="I45" i="10"/>
  <c r="G45" i="10"/>
  <c r="F45" i="10"/>
  <c r="E45" i="10"/>
  <c r="D45" i="10"/>
  <c r="C45" i="10"/>
  <c r="B45" i="10"/>
  <c r="I41" i="10"/>
  <c r="G41" i="10"/>
  <c r="F41" i="10"/>
  <c r="E41" i="10"/>
  <c r="D41" i="10"/>
  <c r="C41" i="10"/>
  <c r="B41" i="10"/>
  <c r="I37" i="10"/>
  <c r="G37" i="10"/>
  <c r="F37" i="10"/>
  <c r="E37" i="10"/>
  <c r="D37" i="10"/>
  <c r="C37" i="10"/>
  <c r="B37" i="10"/>
  <c r="I33" i="10"/>
  <c r="G33" i="10"/>
  <c r="F33" i="10"/>
  <c r="E33" i="10"/>
  <c r="D33" i="10"/>
  <c r="C33" i="10"/>
  <c r="B33" i="10"/>
  <c r="I29" i="10"/>
  <c r="G29" i="10"/>
  <c r="F29" i="10"/>
  <c r="E29" i="10"/>
  <c r="D29" i="10"/>
  <c r="C29" i="10"/>
  <c r="B29" i="10"/>
  <c r="I25" i="10"/>
  <c r="G25" i="10"/>
  <c r="F25" i="10"/>
  <c r="E25" i="10"/>
  <c r="D25" i="10"/>
  <c r="C25" i="10"/>
  <c r="B25" i="10"/>
  <c r="I21" i="10"/>
  <c r="G21" i="10"/>
  <c r="F21" i="10"/>
  <c r="E21" i="10"/>
  <c r="D21" i="10"/>
  <c r="C21" i="10"/>
  <c r="B21" i="10"/>
  <c r="I17" i="10"/>
  <c r="G17" i="10"/>
  <c r="F17" i="10"/>
  <c r="E17" i="10"/>
  <c r="D17" i="10"/>
  <c r="C17" i="10"/>
  <c r="B17" i="10"/>
  <c r="I13" i="10"/>
  <c r="F13" i="10"/>
  <c r="E13" i="10"/>
  <c r="D13" i="10"/>
  <c r="C13" i="10"/>
  <c r="B13" i="10"/>
  <c r="I9" i="10"/>
  <c r="F9" i="10"/>
  <c r="E9" i="10"/>
  <c r="D9" i="10"/>
  <c r="C9" i="10"/>
  <c r="B9" i="10"/>
  <c r="I5" i="10"/>
  <c r="G5" i="10"/>
  <c r="F5" i="10"/>
  <c r="E5" i="10"/>
  <c r="D5" i="10"/>
  <c r="C5" i="10"/>
  <c r="B5" i="10"/>
  <c r="B42" i="7"/>
  <c r="F41" i="7"/>
  <c r="F38" i="7"/>
  <c r="F36" i="7"/>
  <c r="F33" i="7"/>
  <c r="F31" i="7"/>
  <c r="F29" i="7"/>
  <c r="F27" i="7"/>
  <c r="F16" i="7"/>
  <c r="F8" i="7"/>
  <c r="F4" i="7"/>
</calcChain>
</file>

<file path=xl/comments1.xml><?xml version="1.0" encoding="utf-8"?>
<comments xmlns="http://schemas.openxmlformats.org/spreadsheetml/2006/main">
  <authors>
    <author>EVENTOS</author>
  </authors>
  <commentList>
    <comment ref="F116" authorId="0" shapeId="0">
      <text>
        <r>
          <rPr>
            <b/>
            <sz val="9"/>
            <color indexed="81"/>
            <rFont val="Tahoma"/>
            <family val="2"/>
          </rPr>
          <t>EVENTOS:</t>
        </r>
        <r>
          <rPr>
            <sz val="9"/>
            <color indexed="81"/>
            <rFont val="Tahoma"/>
            <family val="2"/>
          </rPr>
          <t xml:space="preserve">
crear pregunta</t>
        </r>
      </text>
    </comment>
  </commentList>
</comments>
</file>

<file path=xl/comments2.xml><?xml version="1.0" encoding="utf-8"?>
<comments xmlns="http://schemas.openxmlformats.org/spreadsheetml/2006/main">
  <authors>
    <author>EVENTOS</author>
  </authors>
  <commentList>
    <comment ref="D228" authorId="0" shapeId="0">
      <text>
        <r>
          <rPr>
            <b/>
            <sz val="9"/>
            <color rgb="FF000000"/>
            <rFont val="Tahoma"/>
            <family val="2"/>
          </rPr>
          <t>EVENTOS:</t>
        </r>
        <r>
          <rPr>
            <sz val="9"/>
            <color rgb="FF000000"/>
            <rFont val="Tahoma"/>
            <family val="2"/>
          </rPr>
          <t xml:space="preserve">
</t>
        </r>
        <r>
          <rPr>
            <sz val="9"/>
            <color rgb="FF000000"/>
            <rFont val="Tahoma"/>
            <family val="2"/>
          </rPr>
          <t xml:space="preserve">Grupo focal para este análisis </t>
        </r>
      </text>
    </comment>
    <comment ref="E363" authorId="0" shapeId="0">
      <text>
        <r>
          <rPr>
            <b/>
            <sz val="9"/>
            <color rgb="FF000000"/>
            <rFont val="Tahoma"/>
            <family val="2"/>
          </rPr>
          <t>EVENTOS:</t>
        </r>
        <r>
          <rPr>
            <sz val="9"/>
            <color rgb="FF000000"/>
            <rFont val="Tahoma"/>
            <family val="2"/>
          </rPr>
          <t xml:space="preserve">
</t>
        </r>
        <r>
          <rPr>
            <sz val="9"/>
            <color rgb="FF000000"/>
            <rFont val="Tahoma"/>
            <family val="2"/>
          </rPr>
          <t xml:space="preserve">Evaluacion del empresario a lo pasantes) </t>
        </r>
      </text>
    </comment>
  </commentList>
</comments>
</file>

<file path=xl/sharedStrings.xml><?xml version="1.0" encoding="utf-8"?>
<sst xmlns="http://schemas.openxmlformats.org/spreadsheetml/2006/main" count="36060" uniqueCount="3202">
  <si>
    <t>Totalmente en desacuerdo</t>
  </si>
  <si>
    <t>En desacuerdo</t>
  </si>
  <si>
    <t>Medianamente de acuerdo</t>
  </si>
  <si>
    <t>De acuerdo</t>
  </si>
  <si>
    <t>Totalmente de acuerdo</t>
  </si>
  <si>
    <t>No sabe / No puede opinar al respecto</t>
  </si>
  <si>
    <t>Codigo</t>
  </si>
  <si>
    <t>URL</t>
  </si>
  <si>
    <t>http://acreditacion.udistrital.edu.co/documentos/plan_desarrollo.pdf</t>
  </si>
  <si>
    <t>Apropiación de la visión y la misión institucional por parte de la comunidad académica</t>
  </si>
  <si>
    <t>Apreciación</t>
  </si>
  <si>
    <t>Comunidad</t>
  </si>
  <si>
    <t>Pregunta</t>
  </si>
  <si>
    <t>ASPECTO A EVALUAR</t>
  </si>
  <si>
    <t>Correspondencia entre la visión y la misión institucional y los objetivos del programa académico</t>
  </si>
  <si>
    <t>Aspecto A Evaluar</t>
  </si>
  <si>
    <t>INTEGRACION DE INSTRUMENTOS DE APRECIACIÓN</t>
  </si>
  <si>
    <t>Actor</t>
  </si>
  <si>
    <t>Factor</t>
  </si>
  <si>
    <t>INTEGRACION DE DOCUMENTOS</t>
  </si>
  <si>
    <t>Existencia</t>
  </si>
  <si>
    <t>Caracteristica</t>
  </si>
  <si>
    <t>Estudiantes</t>
  </si>
  <si>
    <t>Docentes</t>
  </si>
  <si>
    <t>Egresados</t>
  </si>
  <si>
    <t>Administrativos</t>
  </si>
  <si>
    <t>VALOR ING</t>
  </si>
  <si>
    <t>MODELO CP</t>
  </si>
  <si>
    <t>Apropiación de  la visión y la misión institucional por parte de la comunidad académica</t>
  </si>
  <si>
    <t>Media por Pregunta</t>
  </si>
  <si>
    <t>Media por Actor</t>
  </si>
  <si>
    <t>Media por Aspecto</t>
  </si>
  <si>
    <t>Grado de cumplimiento por Pregunta</t>
  </si>
  <si>
    <t>Grado de cumplimiento por Actor</t>
  </si>
  <si>
    <t>Grado de cumplimiento por Aspecto</t>
  </si>
  <si>
    <t>Grado de cumplimiento por Factor</t>
  </si>
  <si>
    <t>A</t>
  </si>
  <si>
    <t>B</t>
  </si>
  <si>
    <t>E</t>
  </si>
  <si>
    <t>D</t>
  </si>
  <si>
    <t>C</t>
  </si>
  <si>
    <t>Gradación no Numerica</t>
  </si>
  <si>
    <t>Grado de Cumplimiento</t>
  </si>
  <si>
    <t>Gradación Númerica</t>
  </si>
  <si>
    <t>No se cumple</t>
  </si>
  <si>
    <t>Se cumple insatisfactoriamente</t>
  </si>
  <si>
    <t>Se cumple aceptablemente</t>
  </si>
  <si>
    <t>Se cumple en alto grado</t>
  </si>
  <si>
    <t>Se cumple plenamente</t>
  </si>
  <si>
    <t>Resultados de los grupos de discusión</t>
  </si>
  <si>
    <t>Estudiantes matriculados discriminado por poblaciones especiales (desplazados, indigenas, mejores bachilleres y minorias etnicas)</t>
  </si>
  <si>
    <t>El proyecto educativo institucional y de Facultad orienta las acciones y decisiones del proyecto
curricular, en la gestión del currículo, la docencia, la investigación científica, la creación artística, la internacionalización, la proyección social, el bienestar de la comunidad y demás áreas estratégicas de la Universidad Distrital.</t>
  </si>
  <si>
    <t>La Universidad Distrital cuenta con una política eficaz y tiene evidencias sobre alternativas de financiación para facilitar el ingreso y permanencia de los estudiantes que tienen dificultades económicas.</t>
  </si>
  <si>
    <t>La Universidad Distrital aplica una política eficaz que permite el acceso a la educación superior sin discriminación. Promueve estrategias eficaces orientadas a identificar, eliminar o disminuir barreras comunicativas para poblaciones diversas.</t>
  </si>
  <si>
    <t>La Universidad Distrital cuenta con una política eficaz orientada a identificar, eliminar o disminuir barreras en infraestructura física. La Universidad Distrital tiene evidencias sobre la aplicación de esta política.</t>
  </si>
  <si>
    <t>a</t>
  </si>
  <si>
    <t>b</t>
  </si>
  <si>
    <t>CARACTERÍSTICA</t>
  </si>
  <si>
    <t>nA</t>
  </si>
  <si>
    <t>nC</t>
  </si>
  <si>
    <r>
      <rPr>
        <b/>
        <sz val="11"/>
        <color theme="1"/>
        <rFont val="Garamond"/>
        <family val="1"/>
      </rPr>
      <t>Misión y proyecto institucional:</t>
    </r>
    <r>
      <rPr>
        <sz val="11"/>
        <color theme="1"/>
        <rFont val="Garamond"/>
        <family val="1"/>
      </rPr>
      <t xml:space="preserve"> La Universidad Distrital tiene una visión y una misión claramente formuladas; corresponde a su naturaleza y es de dominio público. Dicha misión se expresa en los objetivos, en los procesos académicos y administrativos, y en los logros de cada proyecto curricular. El proyecto institucional orienta el proceso educativo, la administración y la gestión de los proyectos curriculares, y sirve como referencia fundamental en los procesos de toma de decisiones sobre la gestión del currículo, la docencia, la investigación, la internacionalización, la extensión o proyección social y el bienestar institucional. La Universidad Distrital cuenta con una política eficaz que permite el acceso sin discriminación a población diversa</t>
    </r>
  </si>
  <si>
    <t>FACTOR</t>
  </si>
  <si>
    <r>
      <rPr>
        <b/>
        <sz val="11"/>
        <color theme="1"/>
        <rFont val="Garamond"/>
        <family val="1"/>
      </rPr>
      <t>Misión, proyecto institucional y de proyecto curricular:</t>
    </r>
    <r>
      <rPr>
        <sz val="11"/>
        <color theme="1"/>
        <rFont val="Garamond"/>
        <family val="1"/>
      </rPr>
      <t xml:space="preserve"> Un proyecto curricular de alta calidad se reconoce por tener un proyecto educativo en consonancia con el proyecto educativo institucional, el cual debe
ser suficientemente socializado y apropiado por la comunidad y sirve de referente fundamental para el desarrollo de sus funciones misionales.</t>
    </r>
  </si>
  <si>
    <t>nF</t>
  </si>
  <si>
    <t>NA</t>
  </si>
  <si>
    <t>Correspondencia entre la visión y la misión institucional y los objetivos del proyecto curricular.</t>
  </si>
  <si>
    <t>Fuentes de Información</t>
  </si>
  <si>
    <t>Informes de actividades realizadas para difundir la misión y la visión entre los miembros de la comunidad del proyecto curricular</t>
  </si>
  <si>
    <t>Actividades de socialización de la misión y la visión y resultados obtenidos</t>
  </si>
  <si>
    <t>Cumplimiento por Aspecto</t>
  </si>
  <si>
    <t>Cumplimiento por Factor</t>
  </si>
  <si>
    <t xml:space="preserve">Grado de cumplimiento por Caracteristica </t>
  </si>
  <si>
    <t>Media por Caracteristica</t>
  </si>
  <si>
    <t>Cumplimiento por Caracteristica</t>
  </si>
  <si>
    <t>Proyecto Educativo del proyecto curricular</t>
  </si>
  <si>
    <t>Proyecto Educativo de la Facultad</t>
  </si>
  <si>
    <t>Cuadro de correspondencias Objetivos
proyecto curricular vs Misión/Visión
Universidad Distrital.</t>
  </si>
  <si>
    <t>Planes propuestos o ejecutados que
sugieran acciones en correspondencia
con la misión/visión</t>
  </si>
  <si>
    <t>Documento de registro calificado:
condiciones contenidos curriculares.</t>
  </si>
  <si>
    <t>Documentos de evaluación con fines
de acreditación, anteriores</t>
  </si>
  <si>
    <t>c</t>
  </si>
  <si>
    <t>d</t>
  </si>
  <si>
    <t>Proyecto educativo de la Universidad
Distrital.</t>
  </si>
  <si>
    <t>Proyectos educativos de cada facultad</t>
  </si>
  <si>
    <t>Autoevaluaciones anteriores</t>
  </si>
  <si>
    <t>Informes de Gestión de Bienestar Institucional.</t>
  </si>
  <si>
    <t>Informes de Bienestar Institucional sobre reliquidación de matrículas.</t>
  </si>
  <si>
    <t>e</t>
  </si>
  <si>
    <t>f</t>
  </si>
  <si>
    <t>Estadísticas del proyecto curricular sobre el pago por matrículas.</t>
  </si>
  <si>
    <t>Ley estatutaria 1618 de 27 de febrero de 2013 “Por medio de la cual se establecen las disposiciones para garantizar el pleno ejercicio de
los derechos de las personas con discapacidad” En particular, Art 11 Numeral 4</t>
  </si>
  <si>
    <t>Información propia del proyecto curricular sobre caracterización de su población estudiantil</t>
  </si>
  <si>
    <t>Actas del consejo curricular</t>
  </si>
  <si>
    <t>Ley estatutaria 1618 de 27 de febrero de 2013 “Por medio de la cual se establecen las disposiciones para garantizar el pleno ejercicio de
los derechos de las personas con discapacidad” En particular, Art 11 Numeral 4 y Art 14</t>
  </si>
  <si>
    <t>Plan maestro de desarrollo físico de cada Facultad</t>
  </si>
  <si>
    <t>Documento/Información</t>
  </si>
  <si>
    <r>
      <rPr>
        <b/>
        <sz val="11"/>
        <color theme="1"/>
        <rFont val="Garamond"/>
        <family val="1"/>
      </rPr>
      <t>Proyecto educativo del proyecto curricular:</t>
    </r>
    <r>
      <rPr>
        <sz val="11"/>
        <color theme="1"/>
        <rFont val="Garamond"/>
        <family val="1"/>
      </rPr>
      <t xml:space="preserve"> El proyecto curricular ha definido un proyecto educativo coherente con el proyecto institucional y los campos de acción profesional o disciplinar, en el cual se señalan los objetivos, los lineamientos básicos del currículo, las metas de desarrollo, las políticas y estrategias de planeación y evaluación, y el sistema de aseguramiento de la calidad. Dicho proyecto es de dominio público.</t>
    </r>
  </si>
  <si>
    <t>Estrategias y mecanismos establecidos para la discusión, actualización, difusión y evaluación del Proyecto Educativo del proyecto curricular (PEP)</t>
  </si>
  <si>
    <r>
      <rPr>
        <b/>
        <sz val="11"/>
        <color theme="1"/>
        <rFont val="Garamond"/>
        <family val="1"/>
      </rPr>
      <t xml:space="preserve">Relevancia académica y pertinencia social del proyecto curricular: </t>
    </r>
    <r>
      <rPr>
        <sz val="11"/>
        <color theme="1"/>
        <rFont val="Garamond"/>
        <family val="1"/>
      </rPr>
      <t>El proyecto curricular es relevante académicamente y responde a necesidades locales, regionales, nacionales e internacionales.</t>
    </r>
  </si>
  <si>
    <t>Estudios orientados a identificar las necesidades y requerimientos del entorno laboral (local, regional y nacional) en términos de requerimientos de formación del recurso humano en los ámbitos productivos, educativos, artísticos, tecnológicos, de talento humano, competitividad, etc. propios del campo de conocimiento del proyecto curricular. Acciones del proyecto curricular para atenderlos.</t>
  </si>
  <si>
    <t>Correspondencia entre el perfil laboral y ocupacional del sector productivo, educativo, cultural y el perfil profesional expresado en el Proyecto Educativo del proyecto curricular.</t>
  </si>
  <si>
    <t>Cambios en el plan de estudios, resultantes de experiencias relativas al análisis y propuestas de solución a los problemas del contexto (ciudad región)</t>
  </si>
  <si>
    <t>g</t>
  </si>
  <si>
    <t>Proyectos que adelanta el proyecto curricular, mediante sus funciones de docencia, investigación, innovación, creación artística y cultural, extensión y proyección social tendientes a ejercer un impacto sobre el medio, en desarrollo de lo expresado en el Proyecto Educativo del proyecto curricular.</t>
  </si>
  <si>
    <t>h</t>
  </si>
  <si>
    <t>Estudios orientados a evaluar el impacto del proyecto curricular con respecto al cumplimiento de sus propósitos y objetivos, así como la incidencia en el entorno social y/o cultural y su grupo de referencia disciplinar o profesional.</t>
  </si>
  <si>
    <t>i</t>
  </si>
  <si>
    <r>
      <rPr>
        <b/>
        <sz val="11"/>
        <color theme="1"/>
        <rFont val="Garamond"/>
        <family val="1"/>
      </rPr>
      <t xml:space="preserve">Estudiantes: </t>
    </r>
    <r>
      <rPr>
        <sz val="11"/>
        <color theme="1"/>
        <rFont val="Garamond"/>
        <family val="1"/>
      </rPr>
      <t>Un proyecto curricular de alta calidad se reconoce porque permite al estudiante potenciar al máximo sus competencias, especialmente actitudes,
aptitudes, conocimientos, capacidades y habilidades durante su proceso de formación.</t>
    </r>
  </si>
  <si>
    <r>
      <rPr>
        <b/>
        <sz val="11"/>
        <color theme="1"/>
        <rFont val="Garamond"/>
        <family val="1"/>
      </rPr>
      <t>Mecanismos de selección e ingreso:</t>
    </r>
    <r>
      <rPr>
        <sz val="11"/>
        <color theme="1"/>
        <rFont val="Garamond"/>
        <family val="1"/>
      </rPr>
      <t xml:space="preserve"> Teniendo en cuenta las especificidades y exigencias del proyecto curricular, la institución aplica mecanismos universales y equitativos de ingreso de estudiantes, que son conocidos por los aspirantes y que se basan en la selección por méritos y capacidades intelectuales, en el marco del proyecto
institucional.</t>
    </r>
  </si>
  <si>
    <t>Estudiantes que ingresaron mediante la aplicación de reglas generales y mecanismos de admisión excepcionales, en los últimos cinco años.</t>
  </si>
  <si>
    <t>Existencia y utilización de sistemas y mecanismos de evaluación de los procesos de selección y admisión, y aplicación de los resultados de dicha evaluación.</t>
  </si>
  <si>
    <r>
      <rPr>
        <b/>
        <sz val="11"/>
        <color theme="1"/>
        <rFont val="Garamond"/>
        <family val="1"/>
      </rPr>
      <t>Estudiantes admitidos y capacidad institucional:</t>
    </r>
    <r>
      <rPr>
        <sz val="11"/>
        <color theme="1"/>
        <rFont val="Garamond"/>
        <family val="1"/>
      </rPr>
      <t xml:space="preserve"> El número de estudiantes que ingresa al proyecto curricular es compatible con las capacidades que tienen la institución y el proyecto curricular para asegurar a los admitidos las condiciones necesarias para adelantar sus estudios hasta su culminación.</t>
    </r>
  </si>
  <si>
    <t>Políticas institucionales para la definición del número de estudiantes que se admiten al proyecto curricular, acorde con la cantidad de docentes, los recursos físicos y de apoyo académico disponibles.</t>
  </si>
  <si>
    <t>Apreciación de profesores y estudiantes del proyecto curricular con respecto a la relación entre el número de admitidos, el número de docentes y los recursos académicos y físicos disponibles.</t>
  </si>
  <si>
    <t>Población de estudiantes que ingresó al proyecto curricular en los últimos cinco años, puntaje promedio obtenido por los admitidos en las Pruebas de Estado, puntaje promedio estandarizado en pruebas de admisión (cuando éstas se realizan), puntaje mínimo aceptable para ingresar y capacidad de selección y absorción de estudiantes por parte del proyecto curricular (relación entre inscritos y admitidos, relación entre inscritos y matriculados).</t>
  </si>
  <si>
    <r>
      <rPr>
        <b/>
        <sz val="11"/>
        <color theme="1"/>
        <rFont val="Garamond"/>
        <family val="1"/>
      </rPr>
      <t>Participación en actividades de formación integral:</t>
    </r>
    <r>
      <rPr>
        <sz val="11"/>
        <color theme="1"/>
        <rFont val="Garamond"/>
        <family val="1"/>
      </rPr>
      <t xml:space="preserve"> El proyecto curricular promueve la participación de los estudiantes en actividades académicas, en grupos o centros de estudio, en actividades artísticas, deportivas, proyectos de desarrollo empresarial, cultural, educativo, cooperativo, comunitario –incluidas la investigación aplicada, la innovación, la creación- y en otras de formación complementaria, en un ambiente académico propicio para la formación integral.</t>
    </r>
  </si>
  <si>
    <t>Apreciación de los estudiantes sobre la calidad de los espacios y estrategias, para la participación en semilleros y/o grupos de investigación, grupos de estudio y demás actividades académicas y culturales distintas a la docencia, que contribuyen a su formación integral, brindadas por la institución o el proyecto curricular, según la naturaleza y orientación del mismo.</t>
  </si>
  <si>
    <t>Estudiantes que participan efectivamente en grupos o centros de estudio, proyectos de experimentación, pedagógicos, culturales, artísticos o de desarrollo empresarial, o en las demás actividades académicas y culturales distintas de la docencia que brinda la institución o el proyecto curricular para contribuir a la formación integral.</t>
  </si>
  <si>
    <r>
      <rPr>
        <b/>
        <sz val="11"/>
        <color theme="1"/>
        <rFont val="Garamond"/>
        <family val="1"/>
      </rPr>
      <t>Reglamentos estudiantil y académico:</t>
    </r>
    <r>
      <rPr>
        <sz val="11"/>
        <color theme="1"/>
        <rFont val="Garamond"/>
        <family val="1"/>
      </rPr>
      <t xml:space="preserve"> La institución aplica y divulga adecuadamente los reglamentos estudiantil y académico, oficialmente aprobados, en los que se definen, entre otros aspectos, los deberes y derechos, el régimen disciplinario, el régimen de participación en los organismos de dirección y las condiciones y exigencias académicas de permanencia y graduación.</t>
    </r>
  </si>
  <si>
    <t>Mecanismos utilizados para la divulgación del reglamento estudiantil y académico.</t>
  </si>
  <si>
    <t>Apreciación de directivos, profesores y estudiantes sobre la participación del estudiantado en los órganos de dirección del proyecto curricular.</t>
  </si>
  <si>
    <t>Políticas y estrategias sobre estímulos académicos para los estudiantes. Evidencias sobre la aplicación de estas políticas y estrategias.</t>
  </si>
  <si>
    <r>
      <rPr>
        <b/>
        <sz val="11"/>
        <color theme="1"/>
        <rFont val="Garamond"/>
        <family val="1"/>
      </rPr>
      <t>Profesores:</t>
    </r>
    <r>
      <rPr>
        <sz val="11"/>
        <color theme="1"/>
        <rFont val="Garamond"/>
        <family val="1"/>
      </rPr>
      <t xml:space="preserve"> La calidad de un proyecto curricular académico se reconoce en el nivel y calidad de sus profesores, que hacen de su tarea un ejemplo de vida.</t>
    </r>
  </si>
  <si>
    <r>
      <rPr>
        <b/>
        <sz val="11"/>
        <color theme="1"/>
        <rFont val="Garamond"/>
        <family val="1"/>
      </rPr>
      <t xml:space="preserve">Selección, vinculación y permanencia de profesores: </t>
    </r>
    <r>
      <rPr>
        <sz val="11"/>
        <color theme="1"/>
        <rFont val="Garamond"/>
        <family val="1"/>
      </rPr>
      <t>La institución aplica en forma transparente los criterios establecidos para la selección, vinculación y permanencia de profesores, en concordancia con la naturaleza académica del proyecto curricular.</t>
    </r>
  </si>
  <si>
    <t>Aplicación de las políticas, las normas y los criterios académicos establecidos por la institución para la selección y la vinculación de los profesores, según el tipo de contratación. (Planta y Vinculación especial). Datos de los últimos 5 años.</t>
  </si>
  <si>
    <t>Apreciación de directivos, profesores y estudiantes sobre la aplicación, pertinencia y vigencia de las políticas, las normas y los criterios académicos establecidos por la institución para la selección,  inculación y permanencia de sus profesores.</t>
  </si>
  <si>
    <r>
      <rPr>
        <b/>
        <sz val="11"/>
        <color theme="1"/>
        <rFont val="Garamond"/>
        <family val="1"/>
      </rPr>
      <t>Estatuto profesoral:</t>
    </r>
    <r>
      <rPr>
        <sz val="11"/>
        <color theme="1"/>
        <rFont val="Garamond"/>
        <family val="1"/>
      </rPr>
      <t xml:space="preserve"> La institución aplica en forma transparente y equitativa un estatuto profesoral inspirado en una cultura académica universalmente reconocida, que contiene, entre otros, los siguientes aspectos: régimen de selección, vinculación, promoción, escalafón docente, retiro y demás situaciones administrativas; derechos, deberes, régimen de participación en los organismos de dirección, régimen disciplinario, distinciones y estímulos.</t>
    </r>
  </si>
  <si>
    <t>Mecanismos de divulgación del estatuto profesoral.</t>
  </si>
  <si>
    <t>Apreciación de directivos y profesores del proyecto curricular sobre la pertinencia, vigencia y aplicación del estatuto profesoral.</t>
  </si>
  <si>
    <t>Información actualizada sobre el número de profesores – de planta y vinculación especial- que prestan sus servicios al proyecto curricular indicando para cada uno la categoría del escalafón en la cual se encuentra ubicado.</t>
  </si>
  <si>
    <t>Aplicación de las políticas institucionales en materia de ubicación, permanencia y ascenso en las categorías del escalafón docente.</t>
  </si>
  <si>
    <t>Apreciación de directivos y profesores sobre la aplicación de las políticas institucionales en materia de participación del profesorado en los órganos colegiados de dirección de la institución y del proyecto curricular.</t>
  </si>
  <si>
    <t>Evidencias sobre la participación de los profesores en los órganos de dirección del proyecto curricular,  de la facultad, del departamento y/o de la institución, durante los últimos cinco años.</t>
  </si>
  <si>
    <r>
      <rPr>
        <b/>
        <sz val="11"/>
        <color theme="1"/>
        <rFont val="Garamond"/>
        <family val="1"/>
      </rPr>
      <t xml:space="preserve">Número, dedicación, nivel de formación y experiencia de los profesores: </t>
    </r>
    <r>
      <rPr>
        <sz val="11"/>
        <color theme="1"/>
        <rFont val="Garamond"/>
        <family val="1"/>
      </rPr>
      <t>De acuerdo con la estructura organizativa de la institución y con las especificidades del proyecto curricular, éste cuenta directamente o a través de la facultad o departamento respectivo, con un número de profesores con la dedicación, el nivel de formación y la experiencia requeridos para el óptimo desarrollo de las actividades de docencia, investigación, creación artística y cultural, y extensión o proyección social, y con la capacidad para atender adecuadamente a los estudiantes.</t>
    </r>
  </si>
  <si>
    <t>Información demostrada sobre la relación de la formación académica de los profesores de planta y vinculación especial, vinculados al proyecto curricular, según tipo de título de especialización, maestría y doctorado, con el objeto de conocimiento del proyecto curricular, indicando la información demostrada acerca de las instituciones en las cuales fueron formados</t>
  </si>
  <si>
    <t>Profesores del proyecto curricular adscritos en forma directa o a través de la Facultad con dedicación de tiempo completo, medio tiempo y cátedra, según nivel de formación</t>
  </si>
  <si>
    <t>Tiempo de dedicación de los profesores del proyecto curricular a la docencia (incluyendo el desarrollo de productos, artefactos, materiales y prototipos, entre otros), la investigación, la creación artística, a la extensión o proyección social, la atención de funciones de gestión académica o administrativa, la tutoría individual de los estudiantes de acuerdo con la naturaleza del proyecto curricular.</t>
  </si>
  <si>
    <t>Tiempos de los profesores de cátedra dedicados a las tutorías, el acompañamiento de estudiante y el desarrollo de competencias, especialmente actitudes, conocimientos, capacidades y habilidades.</t>
  </si>
  <si>
    <t>Experiencia profesional y/o académica de los profesores, según necesidades y exigencias del proyecto curricular para el desarrollo óptimo de sus funciones sustantivas.</t>
  </si>
  <si>
    <t>Suficiencia del número de profesores con relación a la cantidad de estudiantes del proyecto curricular y sus necesidades de formación de acuerdo con el proyecto educativo.</t>
  </si>
  <si>
    <t>Apreciación de directivos, profesores y estudiantes del proyecto curricular sobre la calidad y la suficiencia del número y de la dedicación de los profesores al servicio de éste.</t>
  </si>
  <si>
    <t>Existencia y utilización de sistemas y criterios para evaluar el número, la dedicación, el nivel de formación y la experiencia de los profesores del proyecto curricular; periodicidad de esta evaluación; acciones adelantadas por la institución y el proyecto curricular, a partir de los resultados de las evaluaciones realizadas en esta materia en los últimos cinco años.</t>
  </si>
  <si>
    <r>
      <rPr>
        <b/>
        <sz val="11"/>
        <color theme="1"/>
        <rFont val="Garamond"/>
        <family val="1"/>
      </rPr>
      <t>Desarrollo profesoral:</t>
    </r>
    <r>
      <rPr>
        <sz val="11"/>
        <color theme="1"/>
        <rFont val="Garamond"/>
        <family val="1"/>
      </rPr>
      <t xml:space="preserve"> De acuerdo con los objetivos de la educación superior, de la institución y del proyecto curricular, existen y se aplican políticas y programas de desarrollo profesoral adecuados a la metodología (presencial o distancia), las necesidades y los objetivos del proyecto curricular.</t>
    </r>
  </si>
  <si>
    <t>Políticas institucionales y evidencias de aplicación, en materia de desarrollo integral del profesorado, que incluyan la capacitación y actualización en los aspectos académicos, profesionales y pedagógicos relacionados con la metodología del proyecto curricular</t>
  </si>
  <si>
    <t>Número de profesores del proyecto curricular, que han participado en los últimos cinco años en programas de desarrollo profesoral o que han recibido apoyo a la capacitación y actualización permanente, como resultado de las políticas institucionales orientadas para tal fin.</t>
  </si>
  <si>
    <t>Apreciación de directivos y profesores del proyecto curricular, sobre el impacto que han tenido las acciones orientadas al desarrollo integral de los profesores, en el enriquecimiento de la calidad del proyecto curricular.</t>
  </si>
  <si>
    <t>Acompañamiento por expertos, para la cualificación de la labor pedagógica de los profesores, de acuerdo con el tipo y metodología del proyecto curricular.</t>
  </si>
  <si>
    <t>Reconocimiento a los profesores que participan en procesos de creación artística y cultural.</t>
  </si>
  <si>
    <t>Estrategias orientadas a la actualización docente en temas relacionados con la atención a la diversidad poblacional.</t>
  </si>
  <si>
    <r>
      <rPr>
        <b/>
        <sz val="11"/>
        <color theme="1"/>
        <rFont val="Garamond"/>
        <family val="1"/>
      </rPr>
      <t>Estímulos a la docencia, investigación, creación artística y cultural, extensión o proyección social y a la cooperación internacional:</t>
    </r>
    <r>
      <rPr>
        <sz val="11"/>
        <color theme="1"/>
        <rFont val="Garamond"/>
        <family val="1"/>
      </rPr>
      <t xml:space="preserve"> La institución ha definido y aplica con criterios académicos un régimen de estímulos que reconoce efectivamente el ejercicio calificado de las funciones de docencia, investigación, creación artística, extensión o proyección social y cooperación internacional.</t>
    </r>
  </si>
  <si>
    <t>Aplicación de las políticas de estímulo y reconocimiento a los profesores por el ejercicio calificado de la docencia, investigación, innovación, creación artística, técnica y tecnología, extensión o proyección social y cooperación internacional y evidenciar la incidencia de dichos reconocimientos frente a la actividad docente.</t>
  </si>
  <si>
    <r>
      <rPr>
        <b/>
        <sz val="11"/>
        <color theme="1"/>
        <rFont val="Garamond"/>
        <family val="1"/>
      </rPr>
      <t>Producción, pertinencia, utilización e impacto de material docente:</t>
    </r>
    <r>
      <rPr>
        <sz val="11"/>
        <color theme="1"/>
        <rFont val="Garamond"/>
        <family val="1"/>
      </rPr>
      <t xml:space="preserve"> Los profesores al servicio del proyecto curricular, producen materiales para el desarrollo de las diversas actividades docentes, que utilizan en forma eficiente y se evalúan periódicamente con base en criterios y mecanismos académicos previamente definidos.</t>
    </r>
  </si>
  <si>
    <t>Producción, utilización y evaluación de materiales de apoyo docente producidos en los últimos cinco años, que sean pertinentes a la naturaleza y metodología del proyecto curricular y a su función pedagógica</t>
  </si>
  <si>
    <t>Uso y apreciación de los estudiantes sobre la calidad de los materiales de apoyo producidos o utilizados por los profesores y su pertinencia con la metodología de los espacios académicos del proyecto curricular.</t>
  </si>
  <si>
    <t>Premios u otros reconocimientos a los materiales de apoyo a la labor docente, en el ámbito nacional o internacional, que hayan producido los profesores adscritos al proyecto curricular.</t>
  </si>
  <si>
    <t>Existencia y aplicación de un régimen de propiedad intelectual en la institución aplicado a los materiales de apoyo a la docencia.</t>
  </si>
  <si>
    <r>
      <rPr>
        <b/>
        <sz val="11"/>
        <color theme="1"/>
        <rFont val="Garamond"/>
        <family val="1"/>
      </rPr>
      <t>Remuneración por méritos:</t>
    </r>
    <r>
      <rPr>
        <sz val="11"/>
        <color theme="1"/>
        <rFont val="Garamond"/>
        <family val="1"/>
      </rPr>
      <t xml:space="preserve"> La remuneración que reciben los profesores está de acuerdo con sus méritos académicos y profesionales, y permite el adecuado desarrollo de las funciones misionales del proyecto curricular y la institución.</t>
    </r>
  </si>
  <si>
    <t>Conocimiento por parte de los profesores del proyecto curricular, de las políticas y reglamentaciones institucionales en materia de remuneración de los profesores en las que se tengan en cuenta los méritos profesionales y académicos, así como los estímulos a la producción académica y de innovación debidamente evaluada</t>
  </si>
  <si>
    <t>Evidencias sobre la aplicación de estas políticas y reglamentaciones.</t>
  </si>
  <si>
    <t>Apreciación de los profesores con respecto a la correspondencia entre la remuneración y los méritos académicos y profesionales</t>
  </si>
  <si>
    <r>
      <rPr>
        <b/>
        <sz val="11"/>
        <color theme="1"/>
        <rFont val="Garamond"/>
        <family val="1"/>
      </rPr>
      <t>Evaluación de profesores:</t>
    </r>
    <r>
      <rPr>
        <sz val="11"/>
        <color theme="1"/>
        <rFont val="Garamond"/>
        <family val="1"/>
      </rPr>
      <t xml:space="preserve"> Existencia de sistemas institucionalizados y adecuados de evaluación integral de los profesores. En las evaluaciones de los profesores se tiene en cuenta su desempeño académico, su producción como docentes e investigadores en los campos de las ciencias, las artes y las tecnologías, y su contribución al logro
de los objetivos institucionales.</t>
    </r>
  </si>
  <si>
    <t>Existencia y aplicación de políticas institucionales en materia de evaluación integral al desempeño de los profesores. La institución presente evidencias sobre el desarrollo de estas políticas.</t>
  </si>
  <si>
    <t>Criterios y mecanismos de evaluación de los profesores adscritos al proyecto curricular, en correspondencia con la naturaleza del cargo, las funciones y los compromisos contraídos en relación con las metas institucionales y del proyecto curricular.</t>
  </si>
  <si>
    <t>Evaluaciones realizadas a los profesores adscritos al proyecto curricular durante los últimos cinco años y las acciones adelantadas por la institución y por el proyecto curricular a partir de dichos resultados.</t>
  </si>
  <si>
    <t>Información verificable sobre la participación de los distintos actores en la evaluación.</t>
  </si>
  <si>
    <r>
      <rPr>
        <b/>
        <sz val="11"/>
        <color theme="1"/>
        <rFont val="Garamond"/>
        <family val="1"/>
      </rPr>
      <t>Procesos Académicos:</t>
    </r>
    <r>
      <rPr>
        <sz val="11"/>
        <color theme="1"/>
        <rFont val="Garamond"/>
        <family val="1"/>
      </rPr>
      <t xml:space="preserve"> Un proyecto curricular de alta calidad se reconoce por la capacidad que tiene de ofrecer una formación integral, flexible, actualizada e interdisciplinar, acorde con las tendencias contemporáneas del área disciplinar o profesional que le ocupa.</t>
    </r>
  </si>
  <si>
    <r>
      <rPr>
        <b/>
        <sz val="11"/>
        <color theme="1"/>
        <rFont val="Garamond"/>
        <family val="1"/>
      </rPr>
      <t xml:space="preserve">Integralidad del currículo: </t>
    </r>
    <r>
      <rPr>
        <sz val="11"/>
        <color theme="1"/>
        <rFont val="Garamond"/>
        <family val="1"/>
      </rPr>
      <t>El currículo contribuye a la formación en competencias generales y específicas, valores, actitudes, aptitudes, conocimientos, métodos, capacidades y habilidades de acuerdo con el estado del arte de la disciplina, profesión, ocupación u oficio, y busca la formación integral del estudiante, en coherencia con la misión institucional y los objetivos del proyecto curricular.</t>
    </r>
  </si>
  <si>
    <t>Existencia de criterios y mecanismos para el seguimiento y la evaluación del desarrollo de competencias profesionales básicas y ciudadanas, especialmente en lo relativo a la formación de actitudes, conocimientos, capacidades y habilidades generales que han sido establecidas por el proyecto curricular en su proyecto educativo</t>
  </si>
  <si>
    <t>Existencia de criterios y mecanismos para el seguimiento y la evaluación del desarrollo de competencias laborales específicas del ejercicio y de la cultura de la profesión o la disciplina en la que se forma al estudiante.</t>
  </si>
  <si>
    <t>Proporción de créditos académicos definidos por el proyecto curricular, correspondiente a espacios académicos orientados a ampliar la formación del estudiante en las dimensiones ética, estética, ambiental, filosófica, política y social.</t>
  </si>
  <si>
    <t>Evaluación de la pertinencia de los espacios académicos del proyecto curricular destinados a ampliar la formación de los estudiantes hacia las dimensiones ética, estética, ambiental, filosófica, política y social</t>
  </si>
  <si>
    <t>Criterios pedagógicos y estrategias adoptadas para la asignación de créditos y la distribución de tiempos directo, cooperativo y autónomo a las distintas actividades de formación en las que se ofrece el proyecto curricular, según su naturaleza y modalidad.</t>
  </si>
  <si>
    <t>Estrategias utilizadas para promover y establecer el trabajo cooperativo y autónomo en los distintos espacios académicos del proyecto curricular.</t>
  </si>
  <si>
    <t>Apreciación por parte de directivos, profesores, estudiantes y egresados sobre la integralidad del currículo a la luz de las dimensiones ética, estética, ambiental, filosófica, política y social.</t>
  </si>
  <si>
    <t>Apreciación por parte de directivos, profesores, estudiantes y egresados de la calidad del currículo a la luz de sus funciones esenciales de formación disciplinar, investigación y proyección social.</t>
  </si>
  <si>
    <t>Aplicación y evaluación de estrategias, metodologías y/o problemáticas desde las cuales se propicie en los estudiantes el desarrollo del pensamiento autónomo y el fomento de la creatividad, según el campo de conocimiento y la naturaleza del proyecto curricular.</t>
  </si>
  <si>
    <t>Análisis cuantitativo y cualitativo sobre el desempeño obtenido por los estudiantes del proyecto curricular en las pruebas de estado de educación superior, durante los últimos cinco años. Análisis con respecto al promedio nacional.</t>
  </si>
  <si>
    <t>j</t>
  </si>
  <si>
    <t>Estudios de valor agregado realizados para analizar los resultados obtenidos por los estudiantes en la Pruebas Saber Pro y su relación con los resultados de las Pruebas Saber 11. Análisis de los promedios obtenidos y sus relaciones con los promedios nacionales</t>
  </si>
  <si>
    <t>Identificación en el perfil profesional y ocupacional de los distintos tipos de competencias, especialmente actitudes, conocimientos, capacidades y habilidades requeridas en el nivel de formación y definidas en las actividades académicas necesarias para su desarrollo.</t>
  </si>
  <si>
    <t>Existe articulación del plan de estudios del proyecto curricular con los diversos niveles de formación (periodos académicos, especialización, maestría y doctorado, componentes propedéuticos y /o ciclos, entre otros )</t>
  </si>
  <si>
    <t>k</t>
  </si>
  <si>
    <t>l</t>
  </si>
  <si>
    <t>m</t>
  </si>
  <si>
    <t>n</t>
  </si>
  <si>
    <r>
      <rPr>
        <b/>
        <sz val="11"/>
        <color theme="1"/>
        <rFont val="Garamond"/>
        <family val="1"/>
      </rPr>
      <t xml:space="preserve">Flexibilidad del currículo: </t>
    </r>
    <r>
      <rPr>
        <sz val="11"/>
        <color theme="1"/>
        <rFont val="Garamond"/>
        <family val="1"/>
      </rPr>
      <t>El currículo es lo suficientemente flexible para mantenerse actualizado y pertinente, y para optimizar el tránsito de los estudiantes por el proyecto curricular y por la institución, a través de opciones que el estudiante tiene de construir, dentro de ciertos límites, su propia trayectoria de formación a partir de sus aspiraciones e intereses.</t>
    </r>
  </si>
  <si>
    <t>Evaluación de la aplicación de las políticas institucionales de flexibilidad referidas a la organización y jerarquización de contenidos, el reconocimiento de créditos, la formación por competencias tales como actitudes, conocimientos, capacidades, habilidades y estrategias pedagógicas, electividad, doble titulación y movilidad.</t>
  </si>
  <si>
    <t>Nivel de correspondencia entre los desarrollos disciplinares, profesionales y pedagógicos frente a los mecanismos de actualización del currículo atendiendo las necesidades del entorno.</t>
  </si>
  <si>
    <t>Definición del índice de flexibilidad curricular del proyecto curricular y comparación de este a nivel nacional e internacional con programas académicos que coincidan con el campo de conocimiento del proyecto curricular.</t>
  </si>
  <si>
    <t>Resultados de la aplicación en el proyecto curricular de las políticas de movilidad estudiantil hacia otras instituciones nacionales e internacionales.</t>
  </si>
  <si>
    <t>Existencia, aplicación y evaluación de sistemas de homologación de créditos y de tránsito del pregrado al postgrado</t>
  </si>
  <si>
    <t>Aplicación de criterios de flexibilidad, a la oferta académica, para garantizar la participación de los estudiantes en el diseño de su propio plan académico según sus intereses y que permita la adquisición de actitudes, conocimientos, capacidades y habilidades, con el apoyo de un tutor o asesor.</t>
  </si>
  <si>
    <t>Aseguramiento del tránsito y continuidad de los estudiantes en el sistema educativo y su inserción en el sistema productivo, acorde al tipo y modalidad del proyecto curricular, a través de mecanismos establecidos en los convenios y en las relaciones de cooperación interinstitucional con el sector educativo y laboral.</t>
  </si>
  <si>
    <t>Acciones llevadas a cabo entre la Institución y otras instituciones del sector público o privado (educativo, productivo, financiero, entre otros) para articular y afirmar el carácter secuencial y complementario de los niveles de formación, desde el punto de vista académico y laboral, de acuerdo con el tipo y modalidad del proyecto curricular.</t>
  </si>
  <si>
    <r>
      <rPr>
        <b/>
        <sz val="11"/>
        <color theme="1"/>
        <rFont val="Garamond"/>
        <family val="1"/>
      </rPr>
      <t>Interdisciplinariedad:</t>
    </r>
    <r>
      <rPr>
        <sz val="11"/>
        <color theme="1"/>
        <rFont val="Garamond"/>
        <family val="1"/>
      </rPr>
      <t xml:space="preserve"> El proyecto curricular reconoce y promueve la interdisciplinariedad y estimula la interacción de estudiantes y profesores de distintos programas y de otras áreas de conocimiento.</t>
    </r>
  </si>
  <si>
    <t>Existencia de espacios y actividades resultantes de los espacios curriculares y extracurriculares que tienen un carácter explícitamente interdisciplinario.</t>
  </si>
  <si>
    <t>Apreciación de profesores y estudiantes sobre la pertinencia y eficacia de la interdisciplinariedad
del proyecto curricular en el enriquecimiento de la calidad del mismo.</t>
  </si>
  <si>
    <r>
      <rPr>
        <b/>
        <sz val="11"/>
        <color theme="1"/>
        <rFont val="Garamond"/>
        <family val="1"/>
      </rPr>
      <t>Estrategias De Enseñanza Y Aprendizaje:</t>
    </r>
    <r>
      <rPr>
        <sz val="11"/>
        <color theme="1"/>
        <rFont val="Garamond"/>
        <family val="1"/>
      </rPr>
      <t xml:space="preserve"> Los métodos pedagógicos empleados para el desarrollo de los contenidos del plan de estudios son coherentes con la naturaleza de los saberes, las necesidades y los objetivos del proyecto curricular, las competencias, tales como las actitudes, los conocimientos, las capacidades y las habilidades que se espera desarrollar y el número de estudiantes que participa en cada actividad formación.</t>
    </r>
  </si>
  <si>
    <t>Concordancia de los métodos de enseñanza y aprendizaje utilizados con el tipo y metodología del proyecto curricular, a la luz de los syllabus propuestos en cada uno de los espacios académicos.</t>
  </si>
  <si>
    <t>Correspondencia de los métodos de enseñanza y aprendizaje empleados para el desarrollo de los contenidos o los problemas del plan de estudios del proyecto curricular, con las competencias tales como las actitudes, los conocimientos, las capacidades y las habilidades que se espera desarrollar, la naturaleza de los saberes y las necesidades, objetivos y modalidad del proyecto curricular.</t>
  </si>
  <si>
    <t>Apreciación de los estudiantes, profesores y directivos del proyecto curricular sobre la correspondencia entre los métodos de enseñanza y aprendizaje que se emplean en el proyecto curricular y el desarrollo de los contenidos, problemas o proyectos que se desarrollan en el plan de estudios.</t>
  </si>
  <si>
    <t>Identificación de las estrategias y mecanismos de seguimiento y acompañamiento por parte del docente al trabajo que realizan los estudiantes en las distintas actividades académicas, de acuerdo con sus capacidades y potencialidades y con el tipo y metodología del proyecto curricular</t>
  </si>
  <si>
    <t>Incorporación de los avances, tendencias y transformaciones que se han dado en el campo de conocimiento del proyecto curricular (ciencias, tecnologías, técnicas o artes) que se correspondan con el tipo y modalidad del proyecto curricular.</t>
  </si>
  <si>
    <t>Evidencias de que en el proyecto curricular existe una perspectiva de atención a la diversidad a través de la caracterización de las necesidades de los estudiantes y la implementación de las estrategias pedagógicas, didácticas y comunicativas acordes con las metodologías de enseñanza y las posibilidades tecnológicas.</t>
  </si>
  <si>
    <t>Articulación entre las estrategias pedagógicas propias de la metodología de enseñanza y los recursos tecnológicos utilizados.</t>
  </si>
  <si>
    <t>Existencia y aplicación de estrategias pedagógicas definidas por el proyecto curricular, que están orientados hacia la integración de las tres funciones sustantivas de investigación, docencia y proyección social.</t>
  </si>
  <si>
    <t>Estudios o investigaciones realizadas por la institución y el proyecto curricular para identificar y evaluar la permanencia y retención de los estudiantes, de acuerdo con las metodologías de enseñanza</t>
  </si>
  <si>
    <t>Correlación entre la duración prevista para culminar el plan de estudios propuesto por el proyecto curricular y la que realmente tiene lugar , a la luz de un análisis de rendimiento académico por cohortes, acorde con la metodología y el plan de estudios del proyecto curricular.</t>
  </si>
  <si>
    <t>Evidencias de las estrategias y procedimientos que permiten garantizar el éxito académico de los estudiantes en el tiempo previsto para culminar el plan de estudios, atendiendo los estándares de calidad.</t>
  </si>
  <si>
    <t>Información estadística sobre los rendimientos académicos de la población de estudiantes del proyecto curricular desde el primero hasta el último semestre, en las últimas cinco cohortes</t>
  </si>
  <si>
    <t>Apreciación de profesores y estudiantes sobre la correspondencia entre las condiciones y exigencias académicas de permanencia y graduación en el proyecto curricular, y la naturaleza del mismo.</t>
  </si>
  <si>
    <t>Existencia de mecanismos de seguimiento, acompañamiento especial a estudiantes admitidos en condición de vulnerabilidad y discapacidad.</t>
  </si>
  <si>
    <t>Existencia de adecuaciones locativas para facilitar el óptimo desempeño de estudiantes admitidos en condición de vulnerabilidad y discapacidad</t>
  </si>
  <si>
    <t>o</t>
  </si>
  <si>
    <r>
      <rPr>
        <b/>
        <sz val="11"/>
        <color theme="1"/>
        <rFont val="Garamond"/>
        <family val="1"/>
      </rPr>
      <t>Sistema de evaluación de estudiantes:</t>
    </r>
    <r>
      <rPr>
        <sz val="11"/>
        <color theme="1"/>
        <rFont val="Garamond"/>
        <family val="1"/>
      </rPr>
      <t xml:space="preserve"> El sistema de evaluación de estudiantes se basa en políticas y reglas claras, universales y transparentes. Dicho sistema debe permitir la identificación de las competencias, especialmente las actitudes, los conocimientos, las capacidades y las habilidades adquiridas de acuerdo con el plan curricular y debe ser aplicado teniendo en cuenta la naturaleza de las características de cada actividad académica.</t>
    </r>
  </si>
  <si>
    <t>Aplicación y divulgación de los criterios, políticas y reglamentaciones institucionales y del proyecto curricular en materia de evaluación académica de los estudiantes.</t>
  </si>
  <si>
    <t>Correspondencia entre las formas de evaluación de los aprendizajes, los propósitos de formación y los perfiles de egreso definidos por el proyecto curricular</t>
  </si>
  <si>
    <t>Apreciación de directivos, profesores y estudiantes del proyecto curricular sobre la correspondencia entre las formas de evaluación académica de los estudiantes, la naturaleza del mismo y los métodos pedagógicos empleados para su desarrollo.</t>
  </si>
  <si>
    <t>Apreciación de los estudiantes acerca de la utilidad del sistema de evaluación académica en la adquisición de competencias, tales como las actitudes, los conocimientos, las capacidades y las habilidades propias del proyecto curricular.</t>
  </si>
  <si>
    <t>Existencia y aplicación de criterios y procedimientos orientados a la evaluación de competencias especialmente actitudes, conocimientos, capacidades y habilidades, y de las estrategias de retroalimentación de la actividad académica de los estudiantes.</t>
  </si>
  <si>
    <t>Existencia y aplicación de criterios y procedimientos para la revisión, actualización y seguimiento a los sistemas de evaluación académica de los estudiantes.</t>
  </si>
  <si>
    <r>
      <rPr>
        <b/>
        <sz val="11"/>
        <color theme="1"/>
        <rFont val="Garamond"/>
        <family val="1"/>
      </rPr>
      <t>Trabajos de los estudiantes:</t>
    </r>
    <r>
      <rPr>
        <sz val="11"/>
        <color theme="1"/>
        <rFont val="Garamond"/>
        <family val="1"/>
      </rPr>
      <t xml:space="preserve"> Los trabajos realizados por los estudiantes en las diferentes etapas del plan de estudios favorecen el logro de los objetivos del proyecto curricular y el desarrollo de las competencias, tales como las actitudes, los conocimientos, las capacidades y las habilidades, según las exigencias de calidad de la comunidad académica y el tipo y metodología del proyecto curricular.</t>
    </r>
  </si>
  <si>
    <t>Correspondencia entre el tipo de trabajos y actividades realizados por los estudiantes respecto a los objetivos, perfil del egresado, competencias y modalidad del proyecto curricular.</t>
  </si>
  <si>
    <t>Criterios y estrategias aplicados en el proyecto curricular para la definición de los tiempos de trabajo de los estudiantes y profesores, en coherencia con el sistema de créditos, teniendo en cuenta lo definido para valorar el trabajo directo, el colaborativo y el autónomo.</t>
  </si>
  <si>
    <t>Apreciación de directivos y profesores adscritos al proyecto curricular sobre la correspondencia entre la calidad de los trabajos realizados por los estudiantes y los objetivos de logro, incluyendo la formación personal), definidos por el mismo.</t>
  </si>
  <si>
    <t>Descripción de los trabajos académicos realizados por estudiantes del proyecto curricular en los últimos cinco años, que han merecido premios o reconocimientos significativos por la comunidad no solo académica nacional o internacional, .sino además local y/ o comunitaria.</t>
  </si>
  <si>
    <r>
      <rPr>
        <b/>
        <sz val="11"/>
        <color theme="1"/>
        <rFont val="Garamond"/>
        <family val="1"/>
      </rPr>
      <t xml:space="preserve">Evaluación y autorregulación del proyecto curricular: </t>
    </r>
    <r>
      <rPr>
        <sz val="11"/>
        <color theme="1"/>
        <rFont val="Garamond"/>
        <family val="1"/>
      </rPr>
      <t>Existencia de una cultura de la calidad que aplique criterios y procedimientos claros para la evaluación periódica de los objetivos, procesos y logros del proyecto curricular, con miras a su mejoramiento continuo y a la innovación. Se cuenta para ello con la participación de profesores, estudiantes, egresados y empleadores, considerando la pertinencia y relevancia social del proyecto curricular.</t>
    </r>
  </si>
  <si>
    <t>Estrategias verificables de seguimiento, evaluación, mejoramiento continuo y gestión de la innovación, realizadas por el proyecto curricular tomando como referencia los objetivos, procesos, logros, pertinencia y relevancia social del proyecto curricular.</t>
  </si>
  <si>
    <t xml:space="preserve">Apreciación de directivos, profesores y estudiantes sobre la incidencia de los sistemas de evaluación y autorregulación del proyecto curricular en el enriquecimiento de la calidad de éste. </t>
  </si>
  <si>
    <t>Estudio de comparabilidad que evidencie los cambios específicos realizados en el proyecto curricular, en los últimos cinco años, a partir de los resultados de los procesos de evaluación y autorregulación.</t>
  </si>
  <si>
    <r>
      <rPr>
        <b/>
        <sz val="11"/>
        <color theme="1"/>
        <rFont val="Garamond"/>
        <family val="1"/>
      </rPr>
      <t>Extensión o proyección social:</t>
    </r>
    <r>
      <rPr>
        <sz val="11"/>
        <color theme="1"/>
        <rFont val="Garamond"/>
        <family val="1"/>
      </rPr>
      <t xml:space="preserve"> En el campo de acción del proyecto curricular, este ejerce una influencia positiva sobre su entorno, en desarrollo de políticas definidas y en correspondencia con su naturaleza y su situación específica; esta influencia es objeto de análisis sistemático. El proyecto curricular ha definido mecanismos para enfrentar académicamente problemas y oportunidades del entorno, para evaluar su pertinencia, promover el vínculo con los distintos sectores de la sociedad, el sector productivo, el Sistema Nacional de Ciencia y Tecnología y el Sistema Nacional de Formación para el Trabajo e incorpora en el plan de estudios el resultado de estas experiencias.</t>
    </r>
  </si>
  <si>
    <t>Existencia, aplicación y evaluación periódica de criterios y políticas institucionales y del proyecto curricular en materia de extensión o proyección social.</t>
  </si>
  <si>
    <t>Análisis estadístico diferenciado de proyectos y actividades de extensión o proyección a la comunidad desarrollados por directivos, profesores y estudiantes del proyecto curricular en los últimos cinco años.</t>
  </si>
  <si>
    <t>Descripción del impacto en el entorno y en los procesos académicos que han generado los resultados de los proyectos de extensión o proyección social desarrollados por el proyecto curricular.</t>
  </si>
  <si>
    <t>Participación en la aplicación de las políticas nacionales en materia de educación, innovación y desarrollo económico, técnico y tecnológico (innovación, adaptación, transferencia), de acuerdo con el tipo y modalidad del proyecto curricular.</t>
  </si>
  <si>
    <t>Análisis de las apreciaciones de empresarios, funcionarios públicos, líderes comunitarios y de otros agentes externos sobre el impacto social de los proyectos de extensión y/o proyección social desarrollados por el proyecto curricular.</t>
  </si>
  <si>
    <t>Número y tipo de reconocimientos hechos en los últimos cinco años por entidades gubernamentales y no gubernamentales al impacto que el proyecto curricular ha ejercido en los medios local, regional, nacional o internacional.</t>
  </si>
  <si>
    <t>Aplicación de los mecanismos y procedimientos desde los cuales se analiza la influencia que el proyecto curricular ejerce sobre el medio y desde los que se revisan de forma periódica las estrategias implementadas en esta materia.</t>
  </si>
  <si>
    <t>Existencia y utilización de base de datos con información suficiente y adecuada sobre las comunidades, empresas, gobiernos, instituciones, organizaciones de usuarios, y asociaciones a los quienes el proyecto curricular presta asistencia técnica o tecnológica, servicios, asesorías y otros apoyos que apuntan a la resolución de problemas o a la ejecución de programas de mejoramiento, de acuerdo con la naturaleza y modalidad del mismo.</t>
  </si>
  <si>
    <r>
      <rPr>
        <b/>
        <sz val="11"/>
        <color theme="1"/>
        <rFont val="Garamond"/>
        <family val="1"/>
      </rPr>
      <t xml:space="preserve">Recursos bibliográficos: </t>
    </r>
    <r>
      <rPr>
        <sz val="11"/>
        <color theme="1"/>
        <rFont val="Garamond"/>
        <family val="1"/>
      </rPr>
      <t>El proyecto curricular cuenta con recursos bibliográficos adecuados y suficientes en cantidad y calidad, actualizados y accesibles a los miembros de la comunidad académica, y promueve el contacto del estudiante con los textos y materiales fundamentales y con aquellos que recogen los desarrollos más recientes relacionados con el área de conocimiento del proyecto curricular.</t>
    </r>
  </si>
  <si>
    <t>Promoción y seguimiento, por parte del proyecto curricular, a la aplicación de estrategias y mecanismos que incentiven en los estudiantes la consulta y el uso de textos, bases de datos, materiales y esarrollos recientes, relacionados con las áreas de conocimiento de la profesión o la disciplina.</t>
  </si>
  <si>
    <t>Existencia y aplicación de criterios y políticas institucionales y del proyecto curricular en materia de acceso, adquisición, actualización y aseguramiento de la difusión de material bibliográfico pertinente.</t>
  </si>
  <si>
    <t>Evidencias de la inversión anual y los incrementos presupuestales en las adquisiciones y actualizaciones de libros, revistas especializadas, bases de datos y suscripciones a publicaciones periódicas, relacionados con el campo de conocimiento del proyecto curricular, ejecutadas en los últimos 5 años.</t>
  </si>
  <si>
    <t>Análisis comparativo de los últimos cinco años, sobre la utilización que profesores y estudiantes del proyecto curricular hacen de los recursos bibliográficos: libros, revistas especializadas y bases de datos, etc., de acuerdo con la naturaleza, el tipo y modalidad del proyecto curricular.</t>
  </si>
  <si>
    <t>Apreciación de directivos, profesores y estudiantes del proyecto curricular sobre la pertinencia, actualización y suficiencia del material bibliográfico con que cuenta el proyecto curricular.</t>
  </si>
  <si>
    <r>
      <rPr>
        <b/>
        <sz val="11"/>
        <color theme="1"/>
        <rFont val="Garamond"/>
        <family val="1"/>
      </rPr>
      <t xml:space="preserve">Recursos informáticos y de comunicación: </t>
    </r>
    <r>
      <rPr>
        <sz val="11"/>
        <color theme="1"/>
        <rFont val="Garamond"/>
        <family val="1"/>
      </rPr>
      <t>El proyecto curricular, de acuerdo con su naturaleza, cuenta con las plataformas informáticas y los equipos computacionales y de telecomunicaciones suficientes (hardware y software), actualizados y adecuados para el diseño y la producción de contenidos, la implementación de estrategias pedagógicas pertinentes y el continuo apoyo y seguimiento de las actividades académicas de los estudiantes.</t>
    </r>
  </si>
  <si>
    <t>Existencia y uso de plataformas tecnológicas que garanticen la conectividad, interactividad, acceso a sistemas de información, y apoyo y recursos para el aprendizaje, de acuerdo a los requerimientos del proyecto curricular, de sus espacios académicos y sus necesidades administrativas</t>
  </si>
  <si>
    <t>Aplicación, articulación y divulgación de estrategias y mecanismos orientados a incentivar el uso de recursos informáticos y de comunicación, por parte de los profesores y estudiantes del proyecto curricular.</t>
  </si>
  <si>
    <t>Actualización, disponibilidad, accesibilidad y calidad de los recursos informáticos y de comunicaciones requeridas por los docentes, estudiantes, directivos y administrativas, que permita el desarrollo de los procesos académicos y de apoyo necesarios para el desarrollo del proyecto curricular de acuerdo con su naturaleza.</t>
  </si>
  <si>
    <t>Análisis de la eficiencia, oportunidad y eficacia en cuanto a la actualización y al soporte técnico de la plataforma informática y los equipos computacionales con que cuenta el proyecto curricular</t>
  </si>
  <si>
    <r>
      <rPr>
        <b/>
        <sz val="11"/>
        <color theme="1"/>
        <rFont val="Garamond"/>
        <family val="1"/>
      </rPr>
      <t>Recursos de apoyo docente:</t>
    </r>
    <r>
      <rPr>
        <sz val="11"/>
        <color theme="1"/>
        <rFont val="Garamond"/>
        <family val="1"/>
      </rPr>
      <t xml:space="preserve"> El proyecto curricular, de acuerdo con su naturaleza y con el número de estudiantes, cuenta con recursos de apoyo para la implementación del currículo, tales como: talleres, laboratorios, equipos, medios audiovisuales, sitios de práctica, estaciones y granjas experimentales, escenarios de simulación virtual, entre
otros, los cuales son suficientes, actualizados y adecuados.</t>
    </r>
  </si>
  <si>
    <t>Adecuación de la dotación de equipos, materiales e insumos en los laboratorios y talleres, campos de práctica, prácticas académicas, culturales y artísticas, plantas piloto, etc., según la naturaleza, metodología y exigencias del proyecto curricular.</t>
  </si>
  <si>
    <t>Cumplimiento de las normas sanitarias y de bioseguridad, salud ocupacional, seguridad industrial y manejo de seres vivos, establecidas en las normas nacionales e institucionales vigentes requeridas para el funcionamiento de laboratorios, máquinas y talleres utilizados por el proyecto curricular.</t>
  </si>
  <si>
    <t>Disponibilidad y capacidad de talleres, laboratorios, equipos, medios audiovisuales, sitios de práctica, espacios para atención a estudiantes, estaciones y granjas experimentales, escenarios de simulación virtual, entre otros, según los requerimientos del proyecto curricular que permitan el óptimo desempeño de la actividad docente, investigativa y de proyección social.</t>
  </si>
  <si>
    <t>Apreciación de profesores, estudiantes, administrativos y auxiliares de laboratorio del proyecto curricular sobre la capacidad, disponibilidad, dotación y cumplimiento de las normas vigentes en laboratorios, talleres, ayudas audiovisuales y campos de práctica, con los que cuenta el proyecto curricular para el desarrollo de sus actividades.</t>
  </si>
  <si>
    <r>
      <rPr>
        <b/>
        <sz val="11"/>
        <color theme="1"/>
        <rFont val="Garamond"/>
        <family val="1"/>
      </rPr>
      <t>Visibilidad nacional e internacional:</t>
    </r>
    <r>
      <rPr>
        <sz val="11"/>
        <color theme="1"/>
        <rFont val="Garamond"/>
        <family val="1"/>
      </rPr>
      <t xml:space="preserve"> Un proyecto curricular de alta calidad es reconocido nacional e internacionalmente a través de los resultados de sus procesos misionales</t>
    </r>
  </si>
  <si>
    <r>
      <rPr>
        <b/>
        <sz val="11"/>
        <color theme="1"/>
        <rFont val="Garamond"/>
        <family val="1"/>
      </rPr>
      <t xml:space="preserve">Inserción del proyecto curricular en contextos académicos nacionales e internacionales: </t>
    </r>
    <r>
      <rPr>
        <sz val="11"/>
        <color theme="1"/>
        <rFont val="Garamond"/>
        <family val="1"/>
      </rPr>
      <t>Para la organización y actualización de su plan de estudios, el proyecto curricular toma como referencia las tendencias, el estado del arte de la disciplina o profesión y los indicadores de calidad reconocidos por la comunidad académica nacional e internacional; estimula el contacto con miembros distinguidos de esas comunidades y promueve la cooperación con instituciones y programas en el país y en el exterior.</t>
    </r>
  </si>
  <si>
    <t>Existencia, aplicación y seguimiento de políticas institucionales en materia de incorporación de referentes académicos externos, nacionales e internacionales para la revisión y actualización del plan de estudio.</t>
  </si>
  <si>
    <t>Existencia de propuestas en curso y actividades ejecutadas para la revisión y actualización del plan de estudios, donde se tengan en cuenta referentes académicos externos, nacionales e internacionales.</t>
  </si>
  <si>
    <t>Actividades de cooperación académica desarrolladas por el proyecto curricular con instituciones y programas de alta calidad y(o reconocimiento nacional e internacional, o con instituciones reconocidas de diverso índole, que permitan el desarrollo del campo de conocimiento del proyecto curricular.</t>
  </si>
  <si>
    <t>Proyectos de investigación, innovación, creación artística y cultural y/o proyección, desarrollados como producto de la cooperación académica y profesional y realizada por directivos, profesores y estudiantes del proyecto curricular, con miembros de comunidades nacionales e internacionales de reconocido liderazgo en el área del proyecto curricular, o con miembros de comunidades cuyo conocimiento es considerado fundamental y de gran valor dentro del contexto del proyecto curricular y/o la disciplina.</t>
  </si>
  <si>
    <t>Profesores, estudiantes y directivos del proyecto curricular con participación activa en redes u organismos nacionales e internacionales de la que se hayan derivado productos concretos como publicaciones en coautoría, cofinanciación de proyectos, registros y patentes, entre otros, de acuerdo al campo de conocimiento del proyecto curricular.</t>
  </si>
  <si>
    <t>Existencia de estudios o iniciativas en curso, sobre posibilidades de doble titulación con otras instituciones, de acuerdo con el tipo y naturaleza del proyecto curricular.</t>
  </si>
  <si>
    <t>Introducción de modificaciones y ajustes en el plan de estudios surgidos a partir de la interacción con comunidades académicas nacionales e internacionales y evaluación del impacto de dichas modificaciones.</t>
  </si>
  <si>
    <t>Evidencias del impacto social que ha generado la inserción del proyecto curricular en contextos académicos o profesionales nacionales e internacionales relacionados con el campo de formación, de acuerdo a su naturaleza y sus objetivos de formación.</t>
  </si>
  <si>
    <t>Inversión efectivamente realizada por la institución para los fines de internacionalización del currículo del proyecto curricular, en los últimos cinco años.</t>
  </si>
  <si>
    <r>
      <rPr>
        <b/>
        <sz val="11"/>
        <color theme="1"/>
        <rFont val="Garamond"/>
        <family val="1"/>
      </rPr>
      <t>Relaciones externas de profesores y estudiantes:</t>
    </r>
    <r>
      <rPr>
        <sz val="11"/>
        <color theme="1"/>
        <rFont val="Garamond"/>
        <family val="1"/>
      </rPr>
      <t xml:space="preserve"> El proyecto curricular promueve la interacción con otros programas académicos del nivel nacional e internacional y coordina la movilidad de profesores adscritos al proyecto curricular y estudiantes, entendida ésta como el desplazamiento temporal, en doble vía con propósitos académicos. Estas interacciones son coherentes con los objetivos y las necesidades del proyecto curricular.</t>
    </r>
  </si>
  <si>
    <t>Convenios activos de intercambio con universidades nacionales y extranjeras.</t>
  </si>
  <si>
    <t>Número de estudiantes extranjeros en el proyecto curricular en los últimos 5 años.</t>
  </si>
  <si>
    <t>Experiencias de homologación de cursos realizados en otros programas nacionales o extranjeros.</t>
  </si>
  <si>
    <t>Profesores o expertos visitantes nacionales y extranjeros que ha recibido el proyecto curricular en los últimos cinco años (objetivos, duración y resultados de su estadía).</t>
  </si>
  <si>
    <t>Profesores y estudiantes adscritos al proyecto curricular que en los últimos cinco años han participado en actividades de cooperación académica y profesional con programas nacionales e internacionales de reconocido liderazgo en el área (semestre académico de intercambio, pasantía o práctica, rotación médica, curso corto, misión, profesor visitante/conferencia, estancia de investigación, estudios de postgrado, profesor en programa de pregrado y/o postgrado, congresos, foros, seminarios, simposios, educación continuada, par académico, parques tecnológicos, incubadoras de empresas, mesas y ruedas de negociación económica y tecnológica, entre otros).</t>
  </si>
  <si>
    <t>Participación de profesores adscritos al proyecto curricular en redes académicas, culturales, artísticas, científicas, técnicas y tecnológicas, económicas, a nivel nacional e internacional, de acuerdo con el tipo y modalidad del proyecto curricular.</t>
  </si>
  <si>
    <t>Inversión efectiva (directa o indirecta) destinada por la Universidad Distrital para financiar los proyectos de movilidad en doble vía, realizados por los estudiantes y profesores adscritos al proyecto curricular en los últimos cinco años.</t>
  </si>
  <si>
    <r>
      <rPr>
        <b/>
        <sz val="11"/>
        <color theme="1"/>
        <rFont val="Garamond"/>
        <family val="1"/>
      </rPr>
      <t>Investigación, innovación y creación artística y cultural:</t>
    </r>
    <r>
      <rPr>
        <sz val="11"/>
        <color theme="1"/>
        <rFont val="Garamond"/>
        <family val="1"/>
      </rPr>
      <t xml:space="preserve"> Un programa de alta calidad, de acuerdo con su naturaleza, se reconoce por la efectividad en sus procesos de formación para la investigación, el espíritu crítico y la creación, y por sus aportes al conocimiento científico, a la innovación y al desarrollo cultural.</t>
    </r>
  </si>
  <si>
    <r>
      <rPr>
        <b/>
        <sz val="11"/>
        <color theme="1"/>
        <rFont val="Garamond"/>
        <family val="1"/>
      </rPr>
      <t>Formación para la investigación, la innovación y la creación artística y cultural:</t>
    </r>
    <r>
      <rPr>
        <sz val="11"/>
        <color theme="1"/>
        <rFont val="Garamond"/>
        <family val="1"/>
      </rPr>
      <t xml:space="preserve"> El programa promueve la capacidad de indagación y búsqueda, y la formación de un espíritu investigativo, creativo e innovador que favorece en el estudiante una aproximación crítica y permanente al estado del arte en el área de conocimiento del programa y a potenciar un pensamiento autónomo que le permita la formulación de problemas de conocimiento y de alternativas de solución, así como la identificación de oportunidades.</t>
    </r>
  </si>
  <si>
    <t>Criterios, estrategias y actividades del programa orientado a promover la capacidad de indagación y búsqueda, y la formación de un espíritu investigativo, creativo e innovador en los estudiantes.</t>
  </si>
  <si>
    <t>Actividades académicas –cursos electivos, seminarios, pasantías, eventos– derivados de líneas de investigación y/o de espacios académicos vinculados a la investigación en los últimos cinco años.</t>
  </si>
  <si>
    <t>Participación de los estudiantes en los programas institucionales de jóvenes investigadores.</t>
  </si>
  <si>
    <t>Participación de los estudiantes en proyectos Universidad Empresa Estado que adelante la Institución.</t>
  </si>
  <si>
    <t>Participación de los estudiantes en programas de innovación como: transferencia de conocimiento, emprendimiento y creatividad.</t>
  </si>
  <si>
    <r>
      <rPr>
        <b/>
        <sz val="11"/>
        <color theme="1"/>
        <rFont val="Garamond"/>
        <family val="1"/>
      </rPr>
      <t xml:space="preserve">Compromiso con la investigación y la creación artística y cultural: </t>
    </r>
    <r>
      <rPr>
        <sz val="11"/>
        <color theme="1"/>
        <rFont val="Garamond"/>
        <family val="1"/>
      </rPr>
      <t>De acuerdo con lo definido en el proyecto institucional y las políticas institucionales en materia investigativa, el proyecto curricular cuenta con un núcleo de profesores adscritos directamente o a través de la facultad o departamento respectivo, al cual se le garantiza tiempo significativo dedicado la investigación, a la innovación y a la creación artística y cultural relacionadas con el proyecto curricular.</t>
    </r>
  </si>
  <si>
    <t>Correspondencia entre el número y el nivel de formación de los profesores adscritos al proyecto curricular con la intensidad de la actividad investigativa y de innovación y creación artística y cultural.</t>
  </si>
  <si>
    <t>Talento humano y recursos logísticos y financieros con que cuenta el proyecto curricular, asociados a proyectos y a otras actividades de investigación, innovación y creación artística y cultural.</t>
  </si>
  <si>
    <t>Impacto a nivel regional, nacional e internacional de la investigación, la innovación y la creación artística y cultural del proyecto curricular, de acuerdo con su naturaleza.</t>
  </si>
  <si>
    <t>Publicaciones en revistas indexadas y especializadas nacionales e internacionales, innovaciones, patentes, productos o procesos técnicos y tecnológicos patentables o no patentables o protegidas por secreto industrial, libros, capítulos de libros, dirección de trabajos de grado de maestría y doctorado, paquetes tecnológicos, normas resultado de investigación, producción artística y cultural, productos de apropiación social del conocimiento, productos asociados a servicios técnicos o consultoría cualificada, elaborados por profesores adscritos al proyecto curricular, de acuerdo con su tipo y naturaleza.</t>
  </si>
  <si>
    <t>En el caso de las artes, los reconocimientos en libros de arte y revistas especializadas, presentación, exposición o ejecución de obras en instituciones de reconocido prestigio, participación en eventos organizados por comunidades artísticas y académicas. Cuando existen productos literarios, publicación por editoriales reconocidas en el ámbito literario e incluidas en antologías, entre otras.</t>
  </si>
  <si>
    <t>Apoyo administrativo, formativo y financiero para el desarrollo y gestión de la investigación, la gestión del conocimiento (vigilancia tecnológica), la creación de empresas y de planes de negocios (como los centros de incubación y financiación empresarial, oficinas de transferencia de resultados de investigación, centros de investigación y desarrollo tecnológico, entre otros), proyectos de innovación en conjunto con empresas o entidades que promuevan el desarrollo de proyectos o iniciativas y la creación artística y cultural, la gestión y producción artística y cultural, y la investigación-creación de acuerdo con la naturaleza del proyecto curricular.</t>
  </si>
  <si>
    <r>
      <rPr>
        <b/>
        <sz val="11"/>
        <color theme="1"/>
        <rFont val="Garamond"/>
        <family val="1"/>
      </rPr>
      <t>Bienestar institucional:</t>
    </r>
    <r>
      <rPr>
        <sz val="11"/>
        <color theme="1"/>
        <rFont val="Garamond"/>
        <family val="1"/>
      </rPr>
      <t xml:space="preserve"> Un proyecto curricular de alta calidad se reconoce porque su comunidad hace uso de los recursos de bienestar institucional que apuntan a la formación integral y el desarrollo humano.</t>
    </r>
  </si>
  <si>
    <r>
      <rPr>
        <b/>
        <sz val="11"/>
        <color theme="1"/>
        <rFont val="Garamond"/>
        <family val="1"/>
      </rPr>
      <t xml:space="preserve">Políticas, programas y servicios de bienestar universitario: </t>
    </r>
    <r>
      <rPr>
        <sz val="11"/>
        <color theme="1"/>
        <rFont val="Garamond"/>
        <family val="1"/>
      </rPr>
      <t>Los servicios de bienestar universitario son suficientes, adecuados y accesibles, son utilizados por profesores, estudiantes y personal administrativo del proyecto curricular y responden a una política integral de bienestar universitario definida por la institución.</t>
    </r>
  </si>
  <si>
    <t xml:space="preserve">Estrategias que propicien un clima institucional adecuado que favorezca el desarrollo humano y promueva una cultura que reconozca el valor de la diversidad. </t>
  </si>
  <si>
    <t>Programas, servicios y actividades de bienestar dirigidos a los profesores, estudiantes y personal administrativo del proyecto curricular.</t>
  </si>
  <si>
    <t>Participación de directivos, profesores, estudiantes y personal administrativo del proyecto curricular en los programas, los servicios y las actividades de bienestar institucional.</t>
  </si>
  <si>
    <t>Investigación permanente de la problemática social del entorno que incide en la comunidad institucional.</t>
  </si>
  <si>
    <t>Estrategias que permitan a los estudiantes vincularse a redes de apoyo orientadas a contrarrestar las situaciones de vulnerabilidad.</t>
  </si>
  <si>
    <t>En los programas de salud, donde sea pertinente, evidenciar estrategias de bienestar adecuadas para los estudiantes en prácticas (lockers, camarotes, dormitorios) entre otros-.</t>
  </si>
  <si>
    <t xml:space="preserve">Criterios, estrategias y políticas institucionales en materia de investigación, innovación y creación artística y cultural que se evidencie en mecanismos efectivos que estimulen el desarrollo de los procesos investigativos, de innovación y creativos, y establezcan criterios de evaluación de su calidad y pertinencia, ampliamente difundidos y aceptados por la comunidad académica. </t>
  </si>
  <si>
    <r>
      <rPr>
        <b/>
        <sz val="11"/>
        <color theme="1"/>
        <rFont val="Garamond"/>
        <family val="1"/>
      </rPr>
      <t xml:space="preserve">Permanencia y retención estudiantil: </t>
    </r>
    <r>
      <rPr>
        <sz val="11"/>
        <color theme="1"/>
        <rFont val="Garamond"/>
        <family val="1"/>
      </rPr>
      <t>El proyecto curricular ha definido sistemas de evaluación y seguimiento a la permanencia y retención y tiene mecanismos para su control sin detrimento de la calidad. El tiempo promedio de permanencia de los estudiantes en el proyecto curricular es concordante con la calidad que se propone alcanzar y con la eficacia y eficiencia institucionales.</t>
    </r>
  </si>
  <si>
    <t>Tasas de deserción estudiantil acumulada y por períodos académicos, acorde con los reportes efectuados al Sistema para la Prevención de la Deserción de la Educación Superior – SPADIES–.</t>
  </si>
  <si>
    <t>Registros periódicos de la caracterización de los estudiantes teniendo en cuenta variables de vulnerabilidad.</t>
  </si>
  <si>
    <t>Existencia de proyectos que establezcan estrategias pedagógicas y actividades extracurriculares  orientadas a optimizar las tasas de retención y de graduación de estudiantes en los tiempos previstos, manteniendo la calidad académica del proyecto curricular.</t>
  </si>
  <si>
    <r>
      <rPr>
        <b/>
        <sz val="11"/>
        <color theme="1"/>
        <rFont val="Garamond"/>
        <family val="1"/>
      </rPr>
      <t xml:space="preserve">Organización, administración y gestión: </t>
    </r>
    <r>
      <rPr>
        <sz val="11"/>
        <color theme="1"/>
        <rFont val="Garamond"/>
        <family val="1"/>
      </rPr>
      <t>Un proyecto curricular de alta calidad requiere una estructura administrativa y procesos de gestión al servicio de las funciones misionales del proyecto curricular. La administración no debe verse en sí misma, sino en función de su vocación al proyecto curricular y su proyecto educativo.</t>
    </r>
  </si>
  <si>
    <r>
      <rPr>
        <b/>
        <sz val="11"/>
        <color theme="1"/>
        <rFont val="Garamond"/>
        <family val="1"/>
      </rPr>
      <t xml:space="preserve">Organización, administración y gestión del programa: </t>
    </r>
    <r>
      <rPr>
        <sz val="11"/>
        <color theme="1"/>
        <rFont val="Garamond"/>
        <family val="1"/>
      </rPr>
      <t>La organización, la administración y la gestión del proyecto curricular favorecen el desarrollo y la articulación de las funciones de docencia, investigación o creación artística y cultural, extensión o proyección social y la cooperación internacional. Las personas encargadas de la administración del proyecto curricular son suficientes en número y dedicación, poseen la idoneidad requerida para el desempeño de sus funciones y entienden su vocación de servicio al desarrollo de las funciones misionales del proyecto curricular.</t>
    </r>
  </si>
  <si>
    <t>Correspondencia entre la organización, administración y gestión del proyecto curricular, y los fines de la docencia, la investigación, la innovación o creación artística y cultural, la extensión o proyección social y la cooperación nacional e internacional.</t>
  </si>
  <si>
    <t>Información verificable sobre mecanismos orientados al mejoramiento de la calidad de los procesos en el proyecto curricular.</t>
  </si>
  <si>
    <t>c1</t>
  </si>
  <si>
    <t>c2</t>
  </si>
  <si>
    <t>Cantidad y dedicación del talento humano para cubrir las necesidades del proyecto curricular.</t>
  </si>
  <si>
    <t>Formación y experiencia de quienes orientan la administración del programa.</t>
  </si>
  <si>
    <t>Apreciación del personal administrativo del proyecto curricular sobre la claridad de las funciones encomendadas, y sobre la articulación de sus tareas con las necesidades y objetivos del proyecto curricular.</t>
  </si>
  <si>
    <t>Apreciación de profesores y estudiantes adscritos al proyecto curricular sobre la eficiencia, eficacia y orientación de los procesos administrativos hacia el desarrollo de las funciones misionales.</t>
  </si>
  <si>
    <r>
      <rPr>
        <b/>
        <sz val="11"/>
        <color theme="1"/>
        <rFont val="Garamond"/>
        <family val="1"/>
      </rPr>
      <t>Sistemas de comunicación e información:</t>
    </r>
    <r>
      <rPr>
        <sz val="11"/>
        <color theme="1"/>
        <rFont val="Garamond"/>
        <family val="1"/>
      </rPr>
      <t xml:space="preserve"> El proyecto curricular cuenta con mecanismos eficaces de comunicación y con sistemas de información claramente establecidos y accesibles.</t>
    </r>
  </si>
  <si>
    <t>Existencia y utilización de sistemas de información integrados y mecanismos eficaces que faciliten la comunicación interna y externa el proyecto curricular.</t>
  </si>
  <si>
    <t>La página web institucional incluye información detallada y actualizada sobre el currículo y los profesores adscritos al proyecto curricular, incluyendo su formación y trayectoria.</t>
  </si>
  <si>
    <t>Sistemas de consulta, registro y archivo de la información académica de los estudiantes y los profesores adscritos al proyecto curricular.</t>
  </si>
  <si>
    <t>Mecanismos de gestión documental, organización, actualización y seguridad de los registros y archivos académicos de estudiantes, profesores, personal directivo y administrativo.</t>
  </si>
  <si>
    <t>Apreciación de directivos, profesores, estudiantes y personal administrativo sobre la eficacia de los sistemas de información académica y de los mecanismos de comunicación del proyecto curricular.</t>
  </si>
  <si>
    <t>Profesores, administrativos y estudiantes que confirman el acceso con calidad a los sistemas de comunicación e información mediados por las TIC.</t>
  </si>
  <si>
    <t>Existencia de estrategias que garanticen la conectividad a los miembros de la comunidad académica del proyecto curricular, de acuerdo con la modalidad en que éste es ofrecido.</t>
  </si>
  <si>
    <t>Mecanismos de comunicación para facilitar que la población estudiantil en toda su diversidad tenga acceso a la información.</t>
  </si>
  <si>
    <r>
      <rPr>
        <b/>
        <sz val="11"/>
        <color theme="1"/>
        <rFont val="Garamond"/>
        <family val="1"/>
      </rPr>
      <t xml:space="preserve">Dirección del programa: </t>
    </r>
    <r>
      <rPr>
        <sz val="11"/>
        <color theme="1"/>
        <rFont val="Garamond"/>
        <family val="1"/>
      </rPr>
      <t>Existe orientación y liderazgo en la gestión del proyecto curricular, cuyos métodos de gestión están claramente definidos y son conocidos por la comunidad académica.</t>
    </r>
  </si>
  <si>
    <t>Apreciación de profesores y estudiantes adscritos al proyecto curricular sobre la orientación académica que imparten los directivos del mismo y sobre el liderazgo que ejercen.</t>
  </si>
  <si>
    <t>Lineamientos y políticas que orientan la gestión del proyecto curricular, debidamente divulgados y apropiados por los directivos, profesores y personal administrativo del mismo.</t>
  </si>
  <si>
    <t>Documentos institucionales que establecen la forma de operación (procesos y procedimientos) de las distintas instancias relacionadas con la gestión del proyecto curricular.</t>
  </si>
  <si>
    <t>Mecanismos eficientes de participación de la comunidad académica en la gestión del proyecto curricular.</t>
  </si>
  <si>
    <r>
      <rPr>
        <b/>
        <sz val="11"/>
        <color theme="1"/>
        <rFont val="Garamond"/>
        <family val="1"/>
      </rPr>
      <t xml:space="preserve">Impacto de los egresados en el medio: </t>
    </r>
    <r>
      <rPr>
        <sz val="11"/>
        <color theme="1"/>
        <rFont val="Garamond"/>
        <family val="1"/>
      </rPr>
      <t>Un proyecto curricular de alta calidad se reconoce a través del desempeño laboral de sus egresados y del impacto que éstos tienen en el proyecto académico y en los procesos de desarrollo social, cultural y económico en sus respectivos entornos.</t>
    </r>
  </si>
  <si>
    <r>
      <rPr>
        <b/>
        <sz val="11"/>
        <color theme="1"/>
        <rFont val="Garamond"/>
        <family val="1"/>
      </rPr>
      <t>Seguimiento de los egresados:</t>
    </r>
    <r>
      <rPr>
        <sz val="11"/>
        <color theme="1"/>
        <rFont val="Garamond"/>
        <family val="1"/>
      </rPr>
      <t xml:space="preserve"> El proyecto curricular hace seguimiento a la ubicación y a las actividades que desarrollan los egresados en asuntos concernientes al logro de los fines de la institución y del proyecto curricular.</t>
    </r>
  </si>
  <si>
    <t>Existencia de registros actualizados sobre ocupación y ubicación profesional de los egresados del proyecto curricular.</t>
  </si>
  <si>
    <t>Correspondencia entre la ocupación y ubicación profesional de los egresados y el perfil de formación del proyecto curricular.</t>
  </si>
  <si>
    <t>Apreciación de los egresados, empleadores y usuarios externos sobre la calidad de la formación dada por el proyecto curricular.</t>
  </si>
  <si>
    <t>Apreciación de los egresados acerca de la forma como el proyecto curricular favorece el desarrollo del proyecto de vida.</t>
  </si>
  <si>
    <t>Utilización de la información contenida en el Observatorio Laboral para la Educación, como insumo para estudiar la pertinencia del proyecto curricular.</t>
  </si>
  <si>
    <t>Evidencia de los procesos de análisis de la situación de los egresados.</t>
  </si>
  <si>
    <t>Mecanismos y estrategias para efectuar ajustes al proyecto curricular en atención a las necesidades del entorno, evidenciados a través del seguimiento de los egresados.</t>
  </si>
  <si>
    <t>Estrategias que faciliten el paso del estudiante al mundo laboral.</t>
  </si>
  <si>
    <r>
      <rPr>
        <b/>
        <sz val="11"/>
        <color theme="1"/>
        <rFont val="Garamond"/>
        <family val="1"/>
      </rPr>
      <t>Impacto de los egresados en el medio social y académico:</t>
    </r>
    <r>
      <rPr>
        <sz val="11"/>
        <color theme="1"/>
        <rFont val="Garamond"/>
        <family val="1"/>
      </rPr>
      <t xml:space="preserve"> Los egresados del proyecto curricular son reconocidos por la calidad de la formación recibida y se destacan por su desempeño en la disciplina, profesión, ocupación u oficio correspondiente.</t>
    </r>
  </si>
  <si>
    <t>Índice de empleo entre los egresados del proyecto curricular.</t>
  </si>
  <si>
    <t>Egresados del proyecto curricular que forman parte de comunidades académicas reconocidas, de asociaciones científicas, profesionales, tecnológicas, técnicas o artísticas, y del sector productivo y financiero, en el ámbito nacional o internacional.</t>
  </si>
  <si>
    <t>Egresados del proyecto curricular que han recibido distinciones y reconocimientos significativos por su desempeño en la disciplina, profesión, ocupación u oficio correspondiente.</t>
  </si>
  <si>
    <t>Apreciación de empleadores sobre la calidad de la formación y el desempeño de los egresados del proyecto curricular.</t>
  </si>
  <si>
    <r>
      <rPr>
        <b/>
        <sz val="11"/>
        <color theme="1"/>
        <rFont val="Garamond"/>
        <family val="1"/>
      </rPr>
      <t>Recursos físicos y financieros:</t>
    </r>
    <r>
      <rPr>
        <sz val="11"/>
        <color theme="1"/>
        <rFont val="Garamond"/>
        <family val="1"/>
      </rPr>
      <t xml:space="preserve"> Un proyecto curricular de alta calidad se reconoce por garantizar los recursos necesarios para dar cumplimiento óptimo a su proyecto educativo y por mostrar una ejecución y manejo efectivos y transparentes de sus recursos físicos y financieros.</t>
    </r>
  </si>
  <si>
    <r>
      <rPr>
        <b/>
        <sz val="11"/>
        <color theme="1"/>
        <rFont val="Garamond"/>
        <family val="1"/>
      </rPr>
      <t xml:space="preserve">Recursos físicos: </t>
    </r>
    <r>
      <rPr>
        <sz val="11"/>
        <color theme="1"/>
        <rFont val="Garamond"/>
        <family val="1"/>
      </rPr>
      <t>El proyecto curricular cuenta con una planta física adecuada, suficiente y bien mantenida para el desarrollo de sus funciones sustantivas.</t>
    </r>
  </si>
  <si>
    <t>Existencia y uso adecuado de aulas, laboratorios, talleres, sitios de estudio para los alumnos, salas de cómputo, oficinas de profesores, sitios para la creación artística y cultural, auditorios y salas de conferencias, oficinas administrativas, cafeterías, baños, servicios, campos de juego, espacios libres, zonas verdes y demás espacios destinados al bienestar en general.</t>
  </si>
  <si>
    <t xml:space="preserve">Existencia de planes y proyectos en ejecución para la conservación, expansión, mejoras y mantenimiento de la planta física para el proyecto curricular, de acuerdo con las normas técnicas respectivas. </t>
  </si>
  <si>
    <t>Apreciación de directivos, profesores, estudiantes y personal administrativo del proyecto curricular sobre las características de la planta física, desde el punto de vista de su accesibilidad, diseño, capacidad, iluminación, ventilación y condiciones de seguridad e higiene.</t>
  </si>
  <si>
    <t xml:space="preserve">Disponibilidad de infraestructura física para atender las necesidades académicas, administrativas y de bienestar, que sea coherente con la modalidad en que se ofrece el proyecto curricular </t>
  </si>
  <si>
    <r>
      <rPr>
        <b/>
        <sz val="11"/>
        <color theme="1"/>
        <rFont val="Garamond"/>
        <family val="1"/>
      </rPr>
      <t>Presupuesto del programa:</t>
    </r>
    <r>
      <rPr>
        <sz val="11"/>
        <color theme="1"/>
        <rFont val="Garamond"/>
        <family val="1"/>
      </rPr>
      <t xml:space="preserve"> El proyecto curricular dispone de recursos presupuestales suficientes para funcionamiento e inversión, de acuerdo con su naturaleza y objetivos.</t>
    </r>
  </si>
  <si>
    <t>Origen, monto y distribución de los recursos presupuestales destinados al proyecto curricular.</t>
  </si>
  <si>
    <t>Mecanismos de seguimiento y verificación a la ejecución presupuestal del proyecto curricular con base en planes de mejoramiento y mantenimiento.</t>
  </si>
  <si>
    <t>Distribución de la asignación presupuestal para actividades de docencia, investigación, creación artística y cultural, proyección social, bienestar institucional e internacionalización que en forma directa o indirecta se reflejen en el proyecto curricular.</t>
  </si>
  <si>
    <t>Porcentaje de los ingresos que la Institución dedica a la inversión en el proyecto curricular.</t>
  </si>
  <si>
    <t>Capacidad del proyecto curricular para generar recursos externos para el apoyo a sus funciones misionales.</t>
  </si>
  <si>
    <t>Existencia de estudio de viabilidad financiera del proyecto curricular, que incluya un plan básico de inversión orientado a la consolidación del Proyecto Educativo.</t>
  </si>
  <si>
    <t>Los planes de mejoramiento del proyecto curricular se soportan en un presupuesto de apropiación programada.</t>
  </si>
  <si>
    <r>
      <rPr>
        <b/>
        <sz val="11"/>
        <color theme="1"/>
        <rFont val="Garamond"/>
        <family val="1"/>
      </rPr>
      <t>Administración de recursos:</t>
    </r>
    <r>
      <rPr>
        <sz val="11"/>
        <color theme="1"/>
        <rFont val="Garamond"/>
        <family val="1"/>
      </rPr>
      <t xml:space="preserve"> La administración de los recursos físicos y financieros del proyecto curricular son eficientes, eficaces, transparentes y se ajustan a las normas legales vigentes.</t>
    </r>
  </si>
  <si>
    <t>Manejo de los recursos físicos y financieros, en concordancia con los planes de desarrollo, los planes de mejoramiento y el tamaño y la complejidad de la institución y del proyecto curricular.</t>
  </si>
  <si>
    <t>Criterios y mecanismos para la elaboración, ejecución y seguimiento del presupuesto y para la asignación de recursos físicos y financieros para el proyecto curricular.</t>
  </si>
  <si>
    <t>Evidencias de los controles legales y administrativos para asegurar el manejo transparente de los recursos.</t>
  </si>
  <si>
    <t>Apreciación de directivos y profesores adscritos al proyecto curricular sobre la equidad en la asignación de recursos físicos y financieros para el proyecto curricular.</t>
  </si>
  <si>
    <t>En los programas de salud, donde sea pertinente, evidencia las dinámicas de administración compartida entre las Institución de Educación Superior y el Hospital Universitario o la IPS, en cuanto a convenios docentes-asistenciales y escenarios de prácticas, entre otros.</t>
  </si>
  <si>
    <t>Apropiación del Proyecto Educativo del proyecto curricular por parte de la comunidad académica respectiva</t>
  </si>
  <si>
    <t>Coherencia entre el Proyecto Educativo del proyecto curricular y las actividades académicas desarrolladas.</t>
  </si>
  <si>
    <t>Estudios que demuestren la necesidad social, económica, cultural y educativa del proyecto curricular en la metodología que se ofrece.</t>
  </si>
  <si>
    <t>Estudios y/o proyectos formulados o en desarrollo, que propendan por la modernización, actualización y pertinencia del currículo de acuerdo con las necesidades del entorno en el cual espera incidir el proyecto curricular.</t>
  </si>
  <si>
    <t>Estudios actualizados sobre las necesidades formativas en la región de influencia del proyecto curricular (ciudad región y país).</t>
  </si>
  <si>
    <t>El proyecto educativo institucional y de Facultad orienta las acciones y decisiones del proyectocurricular, en la gestión del currículo, la docencia, la investigación científica, la creación artística, la internacionalización, la proyección social, el bienestar de la comunidad y demás áreas estratégicas de la Universidad Distrital.</t>
  </si>
  <si>
    <t>Modelo pedagógico o concepción de aprendizaje que sustentan la metodología de enseñanza en que se ofrece el proyecto curricular evaluado. Los fundamentos pedagógicos o concepciones de aprendizaje asumidos por el proyecto curricular son coherentes e inciden en las metodologías de enseñanza.</t>
  </si>
  <si>
    <t>Análisis realizados sobre las tendencias y líneas de desarrollo de la disciplina o profesión en el ámbito local, regional, nacional e internacional, y su incidencia en el proyecto curricular.</t>
  </si>
  <si>
    <t>Requerimientos para el ingreso de estudiantes en condición de transferencia, homologación u otro proceso que amerite criterios específicos para el tránsito entre ciclos, niveles y/o instituciones. Beneficios de estos requerimientos en la formación integral de los estudiantes.</t>
  </si>
  <si>
    <t>Políticas y estrategias definidas por el proyecto curricular en materia de formación integral de los estudiantes.</t>
  </si>
  <si>
    <t>Evaluación de la efectividad de las políticas y estrategias definidas por el proyecto curricular en materia de formación integral de los estudiantes.</t>
  </si>
  <si>
    <t>Apreciación de estudiantes y profesores del proyecto curricular sobre la pertinencia, vigencia y aplicación del reglamento estudiantil y académico.</t>
  </si>
  <si>
    <t>Evidencias sobre la aplicación de las normas establecidas en los reglamentos estudiantil y académico para atender las situaciones presentadas con los estudiantes.</t>
  </si>
  <si>
    <t>Apreciación de directivos y profesores del proyecto curricular sobre el impacto que, para el enriquecimiento de la calidad del mismo , ha tenido el régimen de estímulos al profesorado por el ejercicio calificado de la docencia, la investigación, la innovación, la creación artística y cultural, la extensión o proyección social, los aportes al desarrollo técnico y tecnológico y la cooperación internacional.</t>
  </si>
  <si>
    <t>Estrategias que promueven la creación artística y cultural, la innovación, la adaptación, la transferencia técnica y tecnológica, la creación de tecnofactos y prototipos, y la obtención de patentes, de acuerdo con la naturaleza del proyecto curricular.</t>
  </si>
  <si>
    <t>Evaluación y seguimiento a la aplicación de las estrategias orientadas a desarrollar competencias,
especialmente conocimientos, capacidades y habilidades comunicativas en un segundo idiomaextranjero.</t>
  </si>
  <si>
    <t>Aplicación y evaluación de políticas y normas relacionadas con homologaciones de créditos, equivalencia de títulos y transferencias; de forma que se garantice a los estudiantes la continuidad y movilidad en el sistema educativo.</t>
  </si>
  <si>
    <t>Correspondencia entre las actividades y trabajos realizados por los estudiantes y las formas de evaluación por competencias especialmente en actitudes, conocimientos, capacidades y habilidades, según la naturaleza del proyecto curricular y los métodos pedagógicos empleados para desarrollar los diversos procesos de formación.</t>
  </si>
  <si>
    <t>Existencia, aplicación de políticas y estrategias institucionales en términos de la evaluación y autorregulación del proyecto curricular conducentes al diseño y formulación de planes de mejoramiento continuo y de gestión de la innovación</t>
  </si>
  <si>
    <t>Pertinencia, actualización, suficiencia y especializado del material bibliográfico con que cuentan profesores y estudiantes para apoyar el desarrollo de las distintas actividades académicas, de acuerdo con el tipo, modalidad y campo de conocimiento del proyecto curricular.</t>
  </si>
  <si>
    <t>Aplicación y evaluación de estrategias que garanticen el rendimiento de los equipos, la capacidad de almacenamiento y la seguridad (confidencialidad, disponibilidad e integridad) en el manejo de la información.</t>
  </si>
  <si>
    <t>Adecuación de la dotación, mantenimiento y las medidas de reducción del riesgo tanto delaboratorios, máquinas y talleres como de los equipos y materiales, según la naturaleza, metodología y exigencias del proyecto curricular</t>
  </si>
  <si>
    <t>Descripción de la actividad desplegada, por parte de la comunidad académica, en desarrollo de los convenios de cooperación con centros, instituciones, empresas u organizaciones, que facilitan el uso de otros recursos y escenarios de enseñanza, aprendizaje, investigación y creación artística y cultural, práctica profesional, entre otros.</t>
  </si>
  <si>
    <t>Actividades desarrolladas por los proyectos curriculares en las que se discuta y realicen análisis sistemáticos de comparabilidad con otros programas nacionales e internacionales de la misma naturaleza.</t>
  </si>
  <si>
    <t>Acuerdos y convenios activos de cooperación académica, establecidos y desarrollados por el proyecto curricular con instituciones y programas de alta calidad y reconocimiento nacional e internacional, o con instituciones reconocidas de diversa índole relacionados con el campo de formación del proyecto curricular.</t>
  </si>
  <si>
    <t>Resultados efectivos de la participación de profesores y estudiantes adscritos al proyecto curricular en actividades de cooperación académica.</t>
  </si>
  <si>
    <t>Existencia y utilización de mecanismos por parte de los profesores adscritos al programa para incentivar en los estudiantes la generación de ideas y problemas de investigación, la identificación de problemas en el ámbito empresarial susceptibles de resolver mediante la aplicación del conocimiento y la innovación.</t>
  </si>
  <si>
    <t>Estudiantes que están vinculados como monitores, auxiliares de investigación e integrantes de semilleros y/o grupos de investigación.</t>
  </si>
  <si>
    <t>Grupos y semilleros de investigación del programa en los que participan estudiantes de acuerdo con su tipo y modalidad.</t>
  </si>
  <si>
    <t>Actividades académicas – pasantías, talleres, actividades conjuntas- relacionadas con la realidad profesional en diversos ámbitos, organizadas desde los primeros semestres con una lógica enfocada en la comprensión de los grados de complejidad.</t>
  </si>
  <si>
    <t>Existencia dentro del plan de estudios de espacios académicos y de vinculación con el sector productivo o con ámbitos de desarrollo y desempeño profesional según naturaleza del programa donde se analiza la naturaleza de la investigación científica, técnica y tecnológica, la innovación, sus objetos de indagación, sus problemas, oportunidades y sus resultados y soluciones.</t>
  </si>
  <si>
    <t>Grupos de investigación conformados por profesores y estudiantes adscritos al proyecto curricular reconocidos por COLCIENCIAS o por otra entidad reconocida.</t>
  </si>
  <si>
    <t>Existencia y aplicación de las políticas sobre bienestar institucional suficientemente conocidas que propician el desarrollo integral de la comunidad institucional, reconocen el valor y la diversidad y orientan la prestación de los servicios de bienestar.</t>
  </si>
  <si>
    <t>Apreciación de directivos, profesores, estudiantes y personal administrativo del proyecto curricular sobre la calidad y pertinencia de los servicios y las actividades de bienestar y sobre su contribución a su desarrollo personal.</t>
  </si>
  <si>
    <t>Programas y estrategias de seguimiento integral a la comunidad institucional y acciones derivadas que conduzcan al desarrollo humano y el respeto a la diferencia.</t>
  </si>
  <si>
    <t>Correspondencia entre la organización, administración y gestión del proyecto curricular y los objetivos definidos en sus planes de desarrollo y mejoramiento</t>
  </si>
  <si>
    <t>Criterios institucionales para la toma de decisiones sobre asignación de cargos, responsabilidades y procedimientos en los diferentes proyectos curriculares. Evidencia sobre la aplicación de estos criterios.</t>
  </si>
  <si>
    <t>Existencia y efectividad de la página web institucional debidamente actualizada para mantener informados a los usuarios sobre los temas de interés institucional y facilitar la comunicación académica y administrativa.</t>
  </si>
  <si>
    <t>Espacios que se destinan al desarrollo de cada una de las funciones de docencia, investigación y extensión a las que se dedica el proyecto curricular y de las áreas destinadas al bienestar institucional.</t>
  </si>
  <si>
    <t>Apreciación de directivos y profesores adscritos al proyecto curricular sobre la suficiencia de los recursos presupuestales de que se dispone en el mismo y sobre la ejecución presupuestal.</t>
  </si>
  <si>
    <t>Documento que sintetiza la relación del PUI con las acciones y decisiones del proyecto curricular en la gestión del currículo, la docencia, la investigación científica, la creación artística, la internacionalización, la proyección social, el bienestar de la comunidad y demás áreas estratégicas de la Universidad Distrital.</t>
  </si>
  <si>
    <t>Informe sobre becas y ayudas económicas dadas por la Universidad Distrital a los estudiantes del proyecto curricular.</t>
  </si>
  <si>
    <t>Aplicación de las estrategias de la Institución para propiciar la permanencia de los profesores en el proyecto curricular y el relevo generacional.</t>
  </si>
  <si>
    <t>Proyecto educativo del proyecto
curricular (PEP)</t>
  </si>
  <si>
    <t>Proyecto educativo institucional PUI</t>
  </si>
  <si>
    <t>Proyecto educativo de la facultad</t>
  </si>
  <si>
    <t>Documento de registro calificado: condición aspectos curriculares.</t>
  </si>
  <si>
    <t>Actas o relatorías de reuniones de discusión, actualización y evaluación del Proyecto Educativo del proyecto curricular</t>
  </si>
  <si>
    <t>Evidencias de la difusión del Proyecto Educativo del proyecto curricular en la comunidad académica</t>
  </si>
  <si>
    <t>Documentos anteriores de autoevaluación</t>
  </si>
  <si>
    <t>Documento de registro calificado, condiciones: Justificación, contenidos curriculares y  organización de las actividades académicas.</t>
  </si>
  <si>
    <t>Documentos en los que se consignan las discusiones sobre la coherencia entre los fundamentos pedagógicos o las concepciones de aprendizaje y las metodologías de enseñanza.</t>
  </si>
  <si>
    <t>Documento de registro calificado, condiciones: Justificación, contenidos curriculares y organización de las actividades académicas, la investigación y la proyección social.</t>
  </si>
  <si>
    <t>Evaluaciones realizadas por el proyecto curricular sobre la coherencia entre la justificación, los contenidos curriculares y la organización de las actividades académicas, la investigación y la proyección social.</t>
  </si>
  <si>
    <t>Documento de registro calificado, condiciones: Justificación y relación con el sector externo.</t>
  </si>
  <si>
    <t>Informes de Evaluaciones y modificaciones del currículo</t>
  </si>
  <si>
    <t>Documento de registro calificado, condiciones: Justificación y proyección social.</t>
  </si>
  <si>
    <t>Evaluación y actualización del currículo tomando como referencia las necesidades del entorno laboral, cultural, académico reconocido por el proyecto curricular como sus ámbitos de actuación.</t>
  </si>
  <si>
    <t>Documento de registro calificado condición: justificación.</t>
  </si>
  <si>
    <t>Evaluación de las acciones que el proyecto curricular ha realizado para atender las necesidades identificadas.</t>
  </si>
  <si>
    <t>Documento de registro calificado, condiciones: Justificación y Condiciones curriculares</t>
  </si>
  <si>
    <t>Evaluación de la correspondencia entre los perfiles laborales y profesionales definidos por el proyecto curricular.</t>
  </si>
  <si>
    <t>Documento de registro calificado, condiciones: Justificación, Condiciones curriculares, investigación, relación con el sector externo.</t>
  </si>
  <si>
    <t>Informe de los estudios o proyectos realizados sobre la modernización, actualización y pertinencia del currículo que hayan sido realizados para acoger las necesidades del entorno.</t>
  </si>
  <si>
    <t>Documentos que sustentan las modificaciones curriculares realizadas para incorporar las necesidades del currículo.</t>
  </si>
  <si>
    <t>No Aplica</t>
  </si>
  <si>
    <t>Documento de registro calificado condición: aspectos curriculares y proyección social.</t>
  </si>
  <si>
    <t>Diagnóstico elaborado sobre las necesidades de formación, relacionadas con el ámbito del proyecto curricular, identificadas por el Distrital, la ciudad región y el país.</t>
  </si>
  <si>
    <t>Documentos que sustentan las modificaciones realizadas en el currículo con el objeto de analizar e intervenir en la solución de problemas del contexto, (Distrito, ciudad región y país).</t>
  </si>
  <si>
    <t>Resoluciones del Consejo Académicos y justificaciones realizadas para la solicitud de modificaciones.</t>
  </si>
  <si>
    <t>Plan de homologaciones</t>
  </si>
  <si>
    <t>Documento de registro calificado condiciones: justificación, condiciones curriculares y relación con los egresados.</t>
  </si>
  <si>
    <t>Resultados de los proyectos adelantados por el proyecto curricular para evaluar el impacto sobre el medio</t>
  </si>
  <si>
    <t>Documento de registro calificado condiciones: justificación y condiciones curriculares, relación con el sector externo y relación con egresados.</t>
  </si>
  <si>
    <t>Estudios de impacto de los egresados y del impacto social.</t>
  </si>
  <si>
    <t>Mecanismos de ingreso -selección y admisión- de estudiantes utilizados por el proyecto curricular en los últimos 5 años, que garantizan la transparencia y la equidad en el proceso de selección de los estudiantes.</t>
  </si>
  <si>
    <t>Documento de registro calificado, condición: mecanismos de selección y admisión de estudiantes.</t>
  </si>
  <si>
    <t>Datos estadísticos sobre los procesos de admisión utilizados por el proyecto curricular en los últimos 5 años.</t>
  </si>
  <si>
    <t>Análisis de la efectividad de los mecanismos de transparencia y equidad aplicados en los procesos de selección y admisión de estudiantes.</t>
  </si>
  <si>
    <t>Informe estadístico reportado por la Oficina Asesora de Sistemas. Sistema Cóndor</t>
  </si>
  <si>
    <t>Información admisiones</t>
  </si>
  <si>
    <t>Información propia del proyecto curricular</t>
  </si>
  <si>
    <t>Estatuto estudiantil</t>
  </si>
  <si>
    <t>Documento de registro calificado, condiciones “Mecanismos de selección de estudiantes”, “Medios educativos” e Infraestructura física”. Acuerdos, actas o resoluciones en donde se establece el número de estudiantes por admitir
por semestre.</t>
  </si>
  <si>
    <t>Actas de los Consejos Curriculares</t>
  </si>
  <si>
    <t>Actas de los Consejos de Facultad</t>
  </si>
  <si>
    <t>Actas del Consejo Académico.</t>
  </si>
  <si>
    <t>Solicitudes de apertura de cupos por semestre de los consejos curriculares.</t>
  </si>
  <si>
    <t>“APORTES AL PROYECTO EDUCATIVO UD, Una construcción colectiva” (ISBN:978-958-8832-32-6), se realiza una perspectiva académica en cada una de las Facultades de la Universidad Distrital, allí la Facultad Tecnológica en cabeza de su Comité de Currículo  publicó los “Lineamientos conceptuales y curriculares para la educación tecnológica y formación por ciclos”.</t>
  </si>
  <si>
    <t xml:space="preserve">http://comunidad.udistrital.edu.co/cic/files/Libro-APORTES-UD-2014.pdf </t>
  </si>
  <si>
    <t>PUI</t>
  </si>
  <si>
    <t>Estatuto General de la Universidad (Actualizado)</t>
  </si>
  <si>
    <t>http://acreditacion.udistrital.edu.co/resoluciones/estatuto_general_actualizado.pdf</t>
  </si>
  <si>
    <t>http://acreditacion.udistrital.edu.co/resoluciones/modificacion_2007_estatuto.pdf</t>
  </si>
  <si>
    <t>http://acreditacion.udistrital.edu.co/documentacion/documentacion_01.html</t>
  </si>
  <si>
    <t>http://autoevaluacion.udistrital.edu.co/version3/index.php?page=NPideoLcjGZbtKK&amp;accion=1</t>
  </si>
  <si>
    <t xml:space="preserve">Informe de Autoevaluación con fines de 
Acreditación Institucional Diciembre de 2015.  </t>
  </si>
  <si>
    <t>http://acreditacion.udistrital.edu.co/documentos/proyecto_universitario_institucional_2001-2005.pdf</t>
  </si>
  <si>
    <t xml:space="preserve">Estatuto Estudiantíl: Capítulo 6 Titulo IV Incentivos </t>
  </si>
  <si>
    <t>http://sgral.udistrital.edu.co/xdata/csu/acu_1993-027.pdf</t>
  </si>
  <si>
    <t>Informe de Autoevaluación con fines de Acreditación Institucional Diciembre de 2015.  Pág 66-69</t>
  </si>
  <si>
    <t>Programa Apoyo Alimentario</t>
  </si>
  <si>
    <t>http://bienestar.udistrital.edu.co:8080/apoyo-alimentario</t>
  </si>
  <si>
    <t xml:space="preserve">Grupo Funcional Administrativo </t>
  </si>
  <si>
    <t>http://bienestar.udistrital.edu.co:8080/movilidad-academica</t>
  </si>
  <si>
    <t xml:space="preserve">Programa de Reliquidación  </t>
  </si>
  <si>
    <t>http://bienestar.udistrital.edu.co:8080/reliquidacion</t>
  </si>
  <si>
    <t>http://bienestar.udistrital.edu.co:8080/inicio/-/asset_publisher/YSp3/content/procesos-de-renovacion-icetex-2016?redirect=http%3A%2F%2Fbienestar.udistrital.edu.co%3A8080%2Finicio%3Fp_p_id%3D101_INSTANCE_YSp3%26p_p_lifecycle%3D0%26p_p_state%3Dnormal%26p_p_mode%3Dview%26p_p_col_id%3Dcolumn-1%26p_p_col_pos%3D1%26p_p_col_count%3D2</t>
  </si>
  <si>
    <t>Bienestar Universitario: Renovación ICETEX 2016 - Líneas de Crédito</t>
  </si>
  <si>
    <t>https://www.icetex.gov.co/portal/Portals/0/Creditos%20educativos/ies_convenio.pdf</t>
  </si>
  <si>
    <t>ICETEX - IES convenio con el ICETEX</t>
  </si>
  <si>
    <t>Análisis realizados por el proyecto curricular para evaluar las políticas de admisión en cuanto a garantizar el ingreso en condiciones de equidad e igualdad de oportunidades</t>
  </si>
  <si>
    <t>http://wsp.presidencia.gov.co/Normativa/Leyes/Documents/2013/LEY%201618%20DEL%2027%20DE%20FEBRERO%20DE%202013.pdf</t>
  </si>
  <si>
    <t>Estatuto Estudiantíl: Capítulo 1 Admisión e Inscripción.</t>
  </si>
  <si>
    <t xml:space="preserve">Acuerdo N° 018 de 2011: Cupos Especiales. Consejo Académico. </t>
  </si>
  <si>
    <t>http://sgral.udistrital.edu.co/xdata/ca/acu_2011-018.pdf</t>
  </si>
  <si>
    <t>Plan Estratégico de desarrollo 2007-2016</t>
  </si>
  <si>
    <t>PUI Proyecto Educativo Institucional PUI</t>
  </si>
  <si>
    <t>Resolución N° 048 Septiembre 27 de 2011, Por el cual se reglamentan aspectos de la formación por ciclos de la Facultad Tecnológica de la Universidad Distrital”</t>
  </si>
  <si>
    <t>http://sgral.udistrital.edu.co/xdata/ca/res_2011-048.pdf</t>
  </si>
  <si>
    <t>Encuestas de opinión</t>
  </si>
  <si>
    <t>Documento de registro calificado,
condición “Admisión de estudiantes”
y “Condiciones curriculares” (perfil
de ingreso)</t>
  </si>
  <si>
    <t>Archivos históricos y estadísticos sobre el puntaje obtenido en las pruebas de Estado, puntaje estandarizado en pruebas de admisión de los estudiantes, en los últimos 5 años. Tasas de absorción.</t>
  </si>
  <si>
    <t>Documento de Registro Calificado, condiciones: Contenidos curriculares, Actividades académicas, Investigación y bienestar universitario.</t>
  </si>
  <si>
    <t>Información interna del proyecto curricular</t>
  </si>
  <si>
    <t>Documento de registro calificado, condición contenidos curriculares.</t>
  </si>
  <si>
    <t>Informes de evaluación de las estrategias de formación integral implementadas por el proyecto curricular.</t>
  </si>
  <si>
    <t>Informes de Bienestar institucional.</t>
  </si>
  <si>
    <t>Actas del Consejo Curricular</t>
  </si>
  <si>
    <t>Informes propios del proyecto
curricular</t>
  </si>
  <si>
    <t>Informes propios del proyecto curricular</t>
  </si>
  <si>
    <t>Informes de Bienestar institucional</t>
  </si>
  <si>
    <t>Documento de registro calificado: condición selección y vinculación de profesores.</t>
  </si>
  <si>
    <t>Estadísticas de vinculación de profesores (planta y vinculación especial) al
proyecto curricular en los últimos 5 años.</t>
  </si>
  <si>
    <t>Informes sobre la vinculación de profesores de planta al proyecto curricular, realizados en los últimos 5 años, como producto de la aplicación de las políticas, las normas y los criterios académicos.</t>
  </si>
  <si>
    <t>Políticas de permanencia profesoral</t>
  </si>
  <si>
    <t>Políticas de relevo generacional</t>
  </si>
  <si>
    <t>Informes sobre los profesores vinculados al proyecto curricular</t>
  </si>
  <si>
    <t>Estatuto docente</t>
  </si>
  <si>
    <t>Decreto 1279 de 2002</t>
  </si>
  <si>
    <t>Listado de participantes y descripción de los instrumentos y actividades realizadas para divulgar el estatuto docente entre los profesores del proyecto curricular</t>
  </si>
  <si>
    <t>Actas del comité de puntaje</t>
  </si>
  <si>
    <t>Listado de profesores con sus respectivas categorías elaborado por Oficina de Docencia y/o Sistema Cóndor</t>
  </si>
  <si>
    <t>Resultados de grupos de discusión</t>
  </si>
  <si>
    <t>Estatuto general</t>
  </si>
  <si>
    <t>Estatuto académico</t>
  </si>
  <si>
    <t>Actos administrativos del consejo de participación (anterior consejo electoral).</t>
  </si>
  <si>
    <t>Actos administrativos de la Decanatura de la Facultad respectiva</t>
  </si>
  <si>
    <t>Informes de gestión de los representantes profesorales a los cuerpos colegiados</t>
  </si>
  <si>
    <t>Actas del consejo electoral, Consejo de participación (5 años anteriores)</t>
  </si>
  <si>
    <t>Actos administrativos de la Decanatura de la Facultad respectiva. (5 años anteriores).</t>
  </si>
  <si>
    <t>Informes de gestión de los representantes profesorales a los cuerpos colegiados.</t>
  </si>
  <si>
    <t>Cuadros maestros</t>
  </si>
  <si>
    <t>Hojas de vida de los profesores vinculados al
proyecto curricular</t>
  </si>
  <si>
    <t>Base de datos de docentes/Cuadros Maestros.</t>
  </si>
  <si>
    <t>Hojas de vida/Certificaciones Plan de trabajo</t>
  </si>
  <si>
    <t>Carga académica de los profesores</t>
  </si>
  <si>
    <t>INTEGRACION ESTADISTICA</t>
  </si>
  <si>
    <t>Hojas de vida de los profesores</t>
  </si>
  <si>
    <t>Proyecto educativo del proyecto curricular</t>
  </si>
  <si>
    <t>Perfiles solicitados para la vinculación de profesores</t>
  </si>
  <si>
    <t>Estadísticas del número de estudiantes y del número de profesores.</t>
  </si>
  <si>
    <t>Documentos de autoevaluación de los últimos
cinco años</t>
  </si>
  <si>
    <t>Política de formación y actualización docente</t>
  </si>
  <si>
    <t>Documento de registro calificado Condición Aspectos curriculares, actividades académicas</t>
  </si>
  <si>
    <t>Actas de comité de puntaje y resoluciones de respuesta a los profesores</t>
  </si>
  <si>
    <t>Programas y asistencia a tales actividades</t>
  </si>
  <si>
    <t>Estatuto profesoral</t>
  </si>
  <si>
    <t>Autoevaluaciones realizados con anterioridad</t>
  </si>
  <si>
    <t>Resultados grupos de discusión</t>
  </si>
  <si>
    <t>Documento de registro calificado, condiciones:
Material bibliográfico utilizado en el proyecto curricular</t>
  </si>
  <si>
    <t>Información del proyecto curricular</t>
  </si>
  <si>
    <t>Syllabus</t>
  </si>
  <si>
    <t xml:space="preserve">Informe de la oficina de docencia </t>
  </si>
  <si>
    <t>Reglamento de evaluación docente</t>
  </si>
  <si>
    <t>Resultados de la evaluación docente</t>
  </si>
  <si>
    <t>Reglamento de evaluación
docente</t>
  </si>
  <si>
    <t>Resultados de la autoevaluación del proyecto
curricular</t>
  </si>
  <si>
    <t>Apreciación de los profesores adscritos al proyecto curricular, sobre los criterios y mecanismos para la evaluación de docentes, su transparencia, equidad y eficacia.</t>
  </si>
  <si>
    <t>Documento de Registro calificado, condiciones:
contenidos curriculares y actividades académicas</t>
  </si>
  <si>
    <t>Documento de Registro calificado, condiciones: contenidos curriculares y actividades académicas</t>
  </si>
  <si>
    <t>Resolución del consejo académico</t>
  </si>
  <si>
    <t>Documento de registro calificado, condición:
contenidos curriculares y actividades académicas</t>
  </si>
  <si>
    <t>Documentos de autoevaluación anteriores</t>
  </si>
  <si>
    <t>Documento de registro calificado: aspectos
curriculares</t>
  </si>
  <si>
    <t>Documento de registro calificado: aspectos curriculares</t>
  </si>
  <si>
    <t>Tablas de datos con los resultados de las pruebas Saber 11</t>
  </si>
  <si>
    <t>Tablas de datos con los resultados de las pruebas Saber Pro</t>
  </si>
  <si>
    <t>Documento analítico sobre el desempeño de los estudiantes durante el tiempo que estuvieron vinculados a la institución</t>
  </si>
  <si>
    <t>http://www.icfes.gov.co/resultados/saber-pro-resultados-individuales/resultadosagregados-saber-pro</t>
  </si>
  <si>
    <t>Resultados obtenidos por todos y cada uno de los estudiantes en las pruebas saber 11 y las pruebas saber Pro.</t>
  </si>
  <si>
    <t>Análisis del valor agregado para cada estudiante y por cada componente.</t>
  </si>
  <si>
    <t>Documento de registro calificado: condición
contenidos curriculares y actividades académicas</t>
  </si>
  <si>
    <t>Perfil profesional y ocupacional y su relación con las competencias</t>
  </si>
  <si>
    <t>Documento de registro calificado, condición: aspectos curriculares.</t>
  </si>
  <si>
    <t>Estadísticas (en el caso en que apliquen) de solicitudes ingresos y egresos de estudiantes a los programas de articulación</t>
  </si>
  <si>
    <t>Planes de articulación y su planeación para la aplicación</t>
  </si>
  <si>
    <t>Acuerdo 008 de septiembre 02 de 2010 del CSU</t>
  </si>
  <si>
    <t>Syllabus de los espacios académicos destinados a la formación en Inglés</t>
  </si>
  <si>
    <t>Documento de registro calificado: condición
contenidos curriculares y organización de actividades académicas</t>
  </si>
  <si>
    <t>Políticas institucionales: Acuerdo 009 y resoluciones</t>
  </si>
  <si>
    <t>Documento de registro calificado: Condición
justificación y contenidos curriculares.</t>
  </si>
  <si>
    <t>Estudios comparativos sobre programas similares de índole nacional e internacional.</t>
  </si>
  <si>
    <t>Estadísticas de estudiantes del proyecto curricular que han hecho uso de las políticas de los sistemas de homologación y tránsito del pregrado al postgrado</t>
  </si>
  <si>
    <t>Estadísticas de estudiantes del proyecto curricular que han hecho uso de las políticas de movilidad</t>
  </si>
  <si>
    <t>Documento de registro calificado: condición
contenidos curriculares y actividades académicas.</t>
  </si>
  <si>
    <t>Estadísticas del proyecto curricular sobre la oferta académica mediante la cual se garantiza la flexibilidad y la participación de los estudiantes en el diseño de su propio plan académico.</t>
  </si>
  <si>
    <t>Listado de convenios y relaciones de cooperación académica activos que ha establecido el proyecto curricular.</t>
  </si>
  <si>
    <t>Estadística sobre la actividad realizada, por los estudiantes del proyecto curricular, en desarrollo de los convenios y relaciones de cooperación académica.</t>
  </si>
  <si>
    <t>Documento de registro calificado: condiciones aspectos curriculares, actividades académicas, investigación, relación con el sector externo y egresados.</t>
  </si>
  <si>
    <t>Estadísticas del proyecto curricular que den cuenta de las acciones realizadas para articularse con el sector público o privado</t>
  </si>
  <si>
    <t>Documento de registro calificado: condiciones aspectos curriculares, actividades académicas, investigación, relación con el sector externo y bienestar institucional.</t>
  </si>
  <si>
    <t>Documento de registro calificado: condiciones
aspectos curriculares, investigación, actividades
académicas, Syllabus</t>
  </si>
  <si>
    <t>Informes de Bienestar OPAD</t>
  </si>
  <si>
    <t>Documento de registro calificado: condiciones
aspectos curriculares, egresados.</t>
  </si>
  <si>
    <t>Documento de registro calificado: condiciones aspectos curriculares, egresados.</t>
  </si>
  <si>
    <t>Otros documentos producidos en el proyecto curricular</t>
  </si>
  <si>
    <t>Documento de registro calificado: condiciones
aspectos curriculares.</t>
  </si>
  <si>
    <t>Documento de registro calificado: condiciones
aspectos curriculares, planta física</t>
  </si>
  <si>
    <t>Reglamento estudiantil</t>
  </si>
  <si>
    <t>Documento de registro calificado condiciones
contenidos curriculares y aspectos académicos</t>
  </si>
  <si>
    <t>Documento de registro calificado condiciones contenidos curriculares y aspectos académicos</t>
  </si>
  <si>
    <t>Evaluaciones realizadas por los profesores</t>
  </si>
  <si>
    <t>Estadísticas del proyecto curricular</t>
  </si>
  <si>
    <t>Documento de registro calificado condición: Autoevaluación</t>
  </si>
  <si>
    <t>Documentos guías de Autoevaluación del  comité de Autoevaluación y acreditación de la UD.</t>
  </si>
  <si>
    <t>Plan Estratégico de Desarrollo 2007-2016.</t>
  </si>
  <si>
    <t>Seguimiento a los planes de mejoramiento.</t>
  </si>
  <si>
    <t>Trabajos de grado</t>
  </si>
  <si>
    <t>Estadísticas e informes de los proyectos o actividades de extensión o proyección social
realizados</t>
  </si>
  <si>
    <t>Estadísticas e informes de los proyectos o actividades de extensión o proyección social realizados</t>
  </si>
  <si>
    <t>Informes de los proyectos o actividades de  extensión o proyección social realizados</t>
  </si>
  <si>
    <t>Informes de los proyectos o actividades de extensión o proyección social realizados</t>
  </si>
  <si>
    <t>Información interna del proyecto curricular.</t>
  </si>
  <si>
    <t xml:space="preserve"> Documento registro calificado: condición Medios Educativos</t>
  </si>
  <si>
    <t>Documento registro calificado: condición Medios Educativos</t>
  </si>
  <si>
    <t>Informes de Biblioteca</t>
  </si>
  <si>
    <t>Seguimiento al plan de mejoramiento</t>
  </si>
  <si>
    <t>Análisis de las solicitudes realizadas por el proyecto curricular en materia de bibliografía y atención a las mismas.</t>
  </si>
  <si>
    <t>Análisis de las solicitudes realizadas por el  proyecto curricular en materia de bibliografía y atención a las mismas.</t>
  </si>
  <si>
    <t>Consultas a los profesores y estudiantes</t>
  </si>
  <si>
    <t>Informe de la red de datos</t>
  </si>
  <si>
    <t>Requerimientos realizados por los profesores en materia de recursos informáticos y de comunicación</t>
  </si>
  <si>
    <t>Evaluación del uso de estos recursos y su disponibilidad</t>
  </si>
  <si>
    <t>Informes de los servicios técnicos realizados en los equipos utilizados por el proyecto curricular</t>
  </si>
  <si>
    <t>Requerimientos de servicio técnicos vs. atención a los mismos</t>
  </si>
  <si>
    <t>Informes de los soportes técnicos realizados</t>
  </si>
  <si>
    <t>Soportes técnicos solicitados y atención a sus requerimientos</t>
  </si>
  <si>
    <t>Apreciación de directivos, profesores y estudiantes del proyecto curricular sobre la pertinencia, correspondencia y suficiencia de los recursos informáticos y de comunicación con que cuenta el proyecto curricular.</t>
  </si>
  <si>
    <t>Inventarios de laboratorios y talleres</t>
  </si>
  <si>
    <t>Normas vigentes en términos de sanitarias y de bioseguridad, salud ocupacional, seguridad industrial y manejo de seres vivos</t>
  </si>
  <si>
    <t>Manuales de uso de los laboratorios</t>
  </si>
  <si>
    <t>Inventarios y manuales de uso</t>
  </si>
  <si>
    <t>Informes de uso</t>
  </si>
  <si>
    <t>Inventarios</t>
  </si>
  <si>
    <t>Listado de los convenios de cooperación</t>
  </si>
  <si>
    <t>Informes del desarrollo de los convenios de cooperación</t>
  </si>
  <si>
    <t>Documento de registro calificado: condición Justificación y contenidos curriculares</t>
  </si>
  <si>
    <t>Convenios formados</t>
  </si>
  <si>
    <t>Documento registro calificado, condiciones: Denominación, justificación, aspectos curriculares, investigación, relación con el sector externo</t>
  </si>
  <si>
    <t>Relación del número de proyectos de , innovación, creación artística y cultural y/o proyección, desarrollados como producto de la cooperación académica y profesional</t>
  </si>
  <si>
    <t>Estadísticas propias del proyecto curricular</t>
  </si>
  <si>
    <t>Informes de gestión del CERI</t>
  </si>
  <si>
    <t>Convenios activos</t>
  </si>
  <si>
    <t>Informes de los profesores visitantes</t>
  </si>
  <si>
    <t>Informes de los profesores y estudiantes participantes en este tipo de actividades</t>
  </si>
  <si>
    <t>Solicitudes de participación de profesores y estudiantes en actividades de cooperación académica.</t>
  </si>
  <si>
    <t>Informes de los profesores y estudiantes participantes en actividades de cooperación</t>
  </si>
  <si>
    <t>Informes de profesores sobre su participación en redes.</t>
  </si>
  <si>
    <t>Informes de los profesores y estudiantes participantes en proyectos de doble vía</t>
  </si>
  <si>
    <t>Documento de registro calificado, condición: Investigación</t>
  </si>
  <si>
    <t>Informe estadístico reportado por el Centro de Investigaciones y Desarrollo Científico.</t>
  </si>
  <si>
    <t>Informe estadístico elaborado por el proyecto curricular.</t>
  </si>
  <si>
    <t>Informe estadístico elaborado por el proyecto curricular que contenga la cantidad de grupos y/o semilleros de investigación, clasifique aquellos en los que participan estudiantes, su modalidad y tipo.</t>
  </si>
  <si>
    <t>Reporte de actividades académicas efectuadas, que incluya: línea de investigación o espacio académico, frecuencia de la actividad, lugar de realización, número de participantes, fechas, organizadores o responsables, resultados en los últimos cinco años.</t>
  </si>
  <si>
    <t>Informe estadístico que contenga los nombres de las pasantías, talleres o actividades conjuntas, semestres en que se realizaron, fechas, participantes, lugares, organizadores, aportes en la comprensión de la experiencia profesional.</t>
  </si>
  <si>
    <t>Informe descriptivo sobre los diferentes espacios  académicos que propician la vinculación con el sector productivo o de desarrollo y desempeño profesional, la reflexión sobre la naturaleza de la investigación científica, técnica y tecnológica, la innovación, sus objetos de indagación, sus problemas, oportunidades y sus resultados y soluciones.</t>
  </si>
  <si>
    <t>Informe estadístico sobre los proyectos o propuestas de articulación Universidad -Empresa - Estado existentes en la Universidad Distrital o en el proyecto curricular, incluyendo datos descriptivos de la participación de los estudiantes y del tiempo de desarrollo de dichos proyectos o propuestas.</t>
  </si>
  <si>
    <t>Base de datos con nombres de los estudiantes participantes, la cantidad total en los últimos tres años, fechas y espacios donde realizan estos programas de innovación, diferenciados por transferencia, emprendimiento y creatividad.</t>
  </si>
  <si>
    <t>Estrategias, programas y proyectos orientados a consolidar el sistema de investigaciones de la UD.</t>
  </si>
  <si>
    <t>Documento de registro calificado condición: Investigación</t>
  </si>
  <si>
    <t>Documento de registro calificado, condición Personal docente e Investigación.</t>
  </si>
  <si>
    <t>Cuadros maestros de información, guía CNA para la acreditación de programas de pregrado.</t>
  </si>
  <si>
    <t>Informe estadístico y comparativo entre la cantidad de profesores que realizan actividades investigativa y de innovación y la creación artística y cultural y su nivel de formación.</t>
  </si>
  <si>
    <t>Informe estadístico del talento humano y los recursos logísticos y financieros con que cuenta el proyecto curricular.</t>
  </si>
  <si>
    <t>Base de datos por Facultad y por proyecto curricular, de la oficina de docencia. Base de datos del proyecto curricular.</t>
  </si>
  <si>
    <t>Informe estadístico de los grupos de investigación reconocidos del CIDC por facultad y por proyecto curricular.</t>
  </si>
  <si>
    <t>Base de datos de los grupos de investigación diferenciando reconocidos  por Colciencias o por otro organismo.</t>
  </si>
  <si>
    <t>Cuadros maestros.</t>
  </si>
  <si>
    <t>Objetivos de la investigación, la innovación y la creación artística y cultural del proyecto  curricular, incluyendo el impacto esperado a nivel regional, nacional e internacional.</t>
  </si>
  <si>
    <t>Resultados de la investigación, la innovación y la creación artística y cultural del proyecto curricular.</t>
  </si>
  <si>
    <t>Documento de registro calificado, condición: Investigación.</t>
  </si>
  <si>
    <t>Bases de datos o reportes sobre productos de investigación de los profesores del proyecto curricular.</t>
  </si>
  <si>
    <t>Estadísticas sobre presentaciones, exposiciones o ejecuciones de obras en instituciones de reconocido prestigio</t>
  </si>
  <si>
    <t>Reportes sobre publicación de obras literarias.</t>
  </si>
  <si>
    <t>Documento de registro calificado, condiciones: estructura académicoadministrativa y recursos financieros suficientes.</t>
  </si>
  <si>
    <t>Estadísticas descriptivas de la actividad de las Unidades de Emprendimiento, de los centros y grupos de investigación sobre número de beneficiarios, número de proyectos presentados y apoyados, actividades y proyectos orientados a la transferencia de conocimiento y de resultados de investigación, número de proyectos de creación artística y cultural, etc.</t>
  </si>
  <si>
    <t>Documento de Registro Calificado, condición: Bienestar Institucional.</t>
  </si>
  <si>
    <t xml:space="preserve">Documento </t>
  </si>
  <si>
    <t>Fuente de información</t>
  </si>
  <si>
    <t>Base de datos con información de los programas, servicios y actividades de bienestar.</t>
  </si>
  <si>
    <t>Informe estadístico con información de cantidad de profesores, estudiantes y personal administrativo, diferenciando los programas, servicios y las actividades en que participan.</t>
  </si>
  <si>
    <t>Documentos descriptivos sobre la filosofía de la Universidad Distrital.</t>
  </si>
  <si>
    <t>Objetivos de los programas y estrategias de seguimiento integral.</t>
  </si>
  <si>
    <t>CIDC</t>
  </si>
  <si>
    <t>Documento de Registro Calificado, condición: Investigación; Relación con el entorno.</t>
  </si>
  <si>
    <t>Base de datos con información sobre redes de apoyo a las cuales se puedan vincular los estudiantes.</t>
  </si>
  <si>
    <t>Condiciones para la vinculación de estudiantes.</t>
  </si>
  <si>
    <t>Objetivos de las redes de apoyo.</t>
  </si>
  <si>
    <t>Base de datos de deserción estudiantil por periodos académicos con información de estudiantes, por facultades, por proyectos curriculares.</t>
  </si>
  <si>
    <t>Comparativo entre la tasa de deserción y los reportes efectuados al Sistema para la Prevención de la Deserción de la Educación Superior – SPADIES–.</t>
  </si>
  <si>
    <t>Identificación periódica de las variables de vulnerabilidad de los estudiantes del proyecto curricular.</t>
  </si>
  <si>
    <t>Objetivos de los proyectos.</t>
  </si>
  <si>
    <t>Datos estadísticos permanentes sobre la retención y graduación de estudiantes.</t>
  </si>
  <si>
    <t>Actas de C. Facultad, actas de dependencias relacionadas con información sobre la organización y gestión.</t>
  </si>
  <si>
    <t>Análisis y documentación de los medios o instrumentos, acciones de organización, administración y gestión, desde los cuales se logra el cumplimiento de los objetivos planteados en los planes de mejoramiento y/o desarrollo, mediante gráficas, datos cuantitativos, análisis de documentación: actas, informes, oficios, entre otros.</t>
  </si>
  <si>
    <t>Estructura organizacional.</t>
  </si>
  <si>
    <t>Organización de las coordinaciones de los proyectos curriculares.</t>
  </si>
  <si>
    <t>Acciones para la gestión de los objetivos formulados.</t>
  </si>
  <si>
    <t>Organigrama y estructura organizacional explicando relación coordinación-consejo facultad-consejo curricular-comités, subcomités, etc</t>
  </si>
  <si>
    <t>Seguimiento a los mecanismos implementados por el proyecto curricular para dar cumplimiento a los objetivos propuestos en los planes de mejoramiento</t>
  </si>
  <si>
    <t>Información semestral que muestre cambios avances en los planes de mejoramiento, a partir
de las acciones y estrategias implementadas.</t>
  </si>
  <si>
    <t>Mecanismos adelantados para avanzar en los objetivos de los planes de mejoramiento, con información verificable para el cumplimiento del aspecto.</t>
  </si>
  <si>
    <t>Actas, resoluciones, de comités, consejos de proyecto curricular y consejos de facultad, o de reunión de profesores donde se evidencien los mecanismos adoptados para cumplir con los objetivos del plan de mejoramiento.</t>
  </si>
  <si>
    <t>Normativas relacionadas con criterios para la toma de decisiones.</t>
  </si>
  <si>
    <t>Resolución 1101 del 29 de julio de 2002 para cargos de planta de personal administrativo.</t>
  </si>
  <si>
    <t>Manual de funciones y procedimientos. (Oficina
Asesora de Planeación y Control; Oficina de
Recursos Humanos)</t>
  </si>
  <si>
    <t>Actas de Consejos, estudio de concursos docentes, número de asignaturas y número de docentes, organización administrativa, de gestión y comunicación y personas asignadas.</t>
  </si>
  <si>
    <t>Número de horas de trabajo por las necesidades
determinadas.</t>
  </si>
  <si>
    <t>Relación de las tareas de la administración con la hoja de vida o experiencia de quienes las realizan.</t>
  </si>
  <si>
    <t>Grupos de discusión,</t>
  </si>
  <si>
    <t>Red de Datos.</t>
  </si>
  <si>
    <t>Establezca los diferentes sistemas de información con que cuenta la institución y el proyecto curricular.</t>
  </si>
  <si>
    <t>Documento donde se diferencien los sistemas integrados de comunicación interna y externa.</t>
  </si>
  <si>
    <t>Señalar los procedimientos para facilitar la comunicación interna y externa.</t>
  </si>
  <si>
    <t>Problemas encontrados en los sistemas de comunicación.</t>
  </si>
  <si>
    <t>Estudios sobre las características de la página web institucional y del proyecto curricular.</t>
  </si>
  <si>
    <t>Estrategias para lograr la efectividad de la página web.</t>
  </si>
  <si>
    <t>Resultados de convocatorias a través de páginas web: número de consultas y confirmación de recibidos.</t>
  </si>
  <si>
    <t>Datos sobre comunicación urgente enviada a docentes y estudiantes que verifiquen la confirmación de la eficacia de la información.</t>
  </si>
  <si>
    <t>Imágenes o link de la página web, donde se muestre la información actualizada sobre el currículo.</t>
  </si>
  <si>
    <t>Imágenes o link de la página web, donde se muestre la información actualizada de los profesores adscritos al proyecto curricular y que incluya su formación y trayectoria.</t>
  </si>
  <si>
    <t>Documentos que expliquen la conformación,
funcionamiento y estructura de los sistemas de
consulta, registro y archivo de la información
académica de estudiantes y profesores.</t>
  </si>
  <si>
    <t>Estudios sobre la garantía de seguridad de los
registros y archivos académicos.</t>
  </si>
  <si>
    <t>Grupos de discusión.</t>
  </si>
  <si>
    <t>Red de datos</t>
  </si>
  <si>
    <t>Documentar propuestas y/o modificaciones a las estrategias establecidas por el proyecto curricular, la facultad y la institución, que garanticen la conectividad</t>
  </si>
  <si>
    <t>Documento donde se identifican las categorías
para establecer la diversidad en la población
estudiantil.</t>
  </si>
  <si>
    <t>Información verificable de los mecanismos que facilitan el acceso a la información, para cada una de las categorías identificada (población con dificultad de acceso –condiciones  socioeconómicas-, población con necesidades especiales -ciegos, sordos, minusválidos, entre otros-; población de diferentes etnias, extranjeros.</t>
  </si>
  <si>
    <t>Plan Estratégico de Desarrollo.</t>
  </si>
  <si>
    <t>Informe de Planeación.</t>
  </si>
  <si>
    <t>Procesos y procedimientos de las diferentes instancias relacionadas con la gestión.</t>
  </si>
  <si>
    <t>Documentos que evidencien las instancias de participación y los mecanismos establecidos para la participación de estudiantes, docentes, administrativos en relación a la gestión del proyecto curricular.</t>
  </si>
  <si>
    <t>Base de datos de los egresados del proyecto curricular que incluya ubicación y ocupación.</t>
  </si>
  <si>
    <t>Perfil de egreso de los estudiantes del proyecto curricular.</t>
  </si>
  <si>
    <t>Texto con la correspondencia entre el perfil y la ocupación.</t>
  </si>
  <si>
    <t>Estudio de los resultados de las encuestas o grupos de discusión y transformaciones que han tenido las apreciaciones.</t>
  </si>
  <si>
    <t>Taller Identificación de los proyectos de vida
de los egresados.</t>
  </si>
  <si>
    <t>Documento con la correlación entre proyectos de vida y el proyecto curricular</t>
  </si>
  <si>
    <t>Documento de Registro Calificado, condiciones: Justificación, Relación con el sector externo, Investigación.</t>
  </si>
  <si>
    <t>Estudios o investigaciones sobre el entorno, desde los cuáles sea posible establecer las necesidades laborales.</t>
  </si>
  <si>
    <t>Estudios permanentes sobre la pertinencia del proyecto curricular.</t>
  </si>
  <si>
    <t>Oficina de egresados</t>
  </si>
  <si>
    <t>Estudios analíticos realizados dentro del proyecto curricular o a nivel institucional, sobre la situación de los egresados.</t>
  </si>
  <si>
    <t>Estrategias y procedimientos institucionales propuestos para analizar la situación de los egresados.</t>
  </si>
  <si>
    <t>Seguimiento a los egresados que culminan en ajustes al proyecto curricular.</t>
  </si>
  <si>
    <t>Seguimiento a egresados que permiten identificar necesidades del entorno.</t>
  </si>
  <si>
    <t>Maneras en que el proyecto curricular articula los resultados del seguimiento a los egresados y las necesidades del entorno.</t>
  </si>
  <si>
    <t>Aplicación de estrategias y procedimientos por parte del proyecto curricular para a los estudiantes con el mundo laboral y/o profesional.</t>
  </si>
  <si>
    <t>Base de datos de los egresados, por cohortes, con información de su empleabilidad.</t>
  </si>
  <si>
    <t>Listado de las comunidades académicas reconocidas, nacionales e internacionales, de las que hacen parte los egresados.</t>
  </si>
  <si>
    <t>Listado de las asociaciones científicas, profesionales, tecnológicas, técnicas o artísticas, nacionales e internacionales, de las que hacen parte los egresados.</t>
  </si>
  <si>
    <t>Listado sectores productivos y financieros, nacionales e internacionales, de los que hacen parte los egresados.</t>
  </si>
  <si>
    <t>Documento con evidencias de las distinciones y reconocimientos recibidas por los egresados (diplomas, fotos, entre otras)</t>
  </si>
  <si>
    <t>Clasificar los reconocimientos distinciones y recibidas por los egresados (disciplina, profesión, ocupación u oficio)</t>
  </si>
  <si>
    <t>Estudio de los resultados de las encuestas o entrevistas y transformaciones tanto empleadores como egresados.</t>
  </si>
  <si>
    <t>Documento de Registro Calificado, condición: infraestructura.</t>
  </si>
  <si>
    <t>Plan de desarrollo físico.</t>
  </si>
  <si>
    <t>Base de datos con la relación de los espacios físicos, horario de utilización, grupo de estudiantes que lo utilizan, proyecto curricular, etc.</t>
  </si>
  <si>
    <t>Informe estadístico y cualitativo sobre la organización de los espacios físicos teniendo en cuenta su cantidad, destinación, uso adecuado,  frecuencia de uso, y horarios</t>
  </si>
  <si>
    <t>Plan de mejoramiento de la planta física.</t>
  </si>
  <si>
    <t>Base de datos con las características de la planta física</t>
  </si>
  <si>
    <t>Informe estadístico sobre la disponibilidad de la infraestructura física con que cuenta el proyecto curricular. (tener en cuenta la disponibilidad de estos espacios por otros proyectos curriculares)</t>
  </si>
  <si>
    <t>Informe presupuestal institucional de la oficina de presupuesto</t>
  </si>
  <si>
    <t>Informe de gestión y presupuesto del proyecto curricular</t>
  </si>
  <si>
    <t>Solicitud de la necesidad.</t>
  </si>
  <si>
    <t>Autorización para los trámites presupuestales, Cotizaciones u hojas de vida,</t>
  </si>
  <si>
    <t>Informe de gestión de cada proyecto curricular.</t>
  </si>
  <si>
    <t>Grupos de discusión</t>
  </si>
  <si>
    <t>Estudios de viabilidad financiera realizados en los últimos tres años.</t>
  </si>
  <si>
    <t>Planes básicos de inversión del proyecto curricular.</t>
  </si>
  <si>
    <t>Plan o documento con el presupuesto de apropiación programada.</t>
  </si>
  <si>
    <t>Plan de mejoramiento</t>
  </si>
  <si>
    <t>Texto que demuestra como los planes de mejoramiento se soportan en un presupuesto de apropiación programada.</t>
  </si>
  <si>
    <t>Plan Estratégico de desarrollo</t>
  </si>
  <si>
    <t>Plan de desarrollo físico de la Universidad Distrital</t>
  </si>
  <si>
    <t>Complejidad del proyecto
curricular con respecto al campo de
conocimiento.</t>
  </si>
  <si>
    <t>Documento de Registro Calificado, condición: Recursos físicos y financieros.</t>
  </si>
  <si>
    <t>Documento de Autoevaluación.</t>
  </si>
  <si>
    <t>Plan Estratégico de Desarrollo</t>
  </si>
  <si>
    <t>Oficina de Control Interno</t>
  </si>
  <si>
    <t>Documento con justificaciones sobre la asignación presupuestal.</t>
  </si>
  <si>
    <t>Empresarios</t>
  </si>
  <si>
    <t xml:space="preserve">Considero que el programa académico ejecuta proyectos que ayudan a resolver problemas en mi comunidad/empresa. </t>
  </si>
  <si>
    <t>Considero que el desempeño laboral de los egresados del programa académico es satisfactorio.</t>
  </si>
  <si>
    <t>Considero que el egresado del programa académico poseen aptitudes para: Resolver problemas propios de su trabajo</t>
  </si>
  <si>
    <t xml:space="preserve">Considero que el egresado del programa académico poseen aptitudes para: Trabajar en equipo </t>
  </si>
  <si>
    <t>Considero que el egresado del programa académico poseen aptitudes para: Tomar la iniciativa</t>
  </si>
  <si>
    <t>Considero que el egresado del programa académico poseen aptitudes para: Ser Líder</t>
  </si>
  <si>
    <t>Considero que el egresado del programa académico poseen aptitudes para: Establecer relaciones personales adecuadas</t>
  </si>
  <si>
    <t>Considero que los egresados del programa académico poseen una adecuada formación: Práctica</t>
  </si>
  <si>
    <t>Considero que los egresados del programa académico poseen una adecuada formación: Teórica</t>
  </si>
  <si>
    <t>Considero que los egresados del programa académico se desempeñan activamente en el campo: Profesional-Administrativo</t>
  </si>
  <si>
    <t>Considero que los egresados del programa académico se desempeñan activamente en el campo: Profesional-Operativo</t>
  </si>
  <si>
    <t>Considero que los egresados del programa académico se destacan sobre los egresados de otras instituciones: Resolver problemas</t>
  </si>
  <si>
    <t xml:space="preserve">Considero que los egresados del programa académico se destacan sobre los egresados de otras instituciones: Trabajar en equipo </t>
  </si>
  <si>
    <t>Considero que los egresados del programa académico se destacan sobre los egresados de otras instituciones: Tomar la iniciativa</t>
  </si>
  <si>
    <t>Considero que los egresados del programa académico se destacan sobre los egresados de otras instituciones: Ser Líder</t>
  </si>
  <si>
    <t>Considero que los egresados del programa académico se destacan sobre los egresados de otras instituciones: Establecer relaciones personales adecuadas</t>
  </si>
  <si>
    <t>Puntaje</t>
  </si>
  <si>
    <t>NO</t>
  </si>
  <si>
    <t>SI</t>
  </si>
  <si>
    <t>existencia</t>
  </si>
  <si>
    <t>puntaje</t>
  </si>
  <si>
    <t>Factor Porcentaje</t>
  </si>
  <si>
    <t>Ponderación</t>
  </si>
  <si>
    <t>Misión, proyecto institucional y de proyecto curricular</t>
  </si>
  <si>
    <t>Profesores</t>
  </si>
  <si>
    <t>Procesos Académicos</t>
  </si>
  <si>
    <t>Visibilidad nacional e internacional</t>
  </si>
  <si>
    <t>Investigación, innovación y creación artística y cultural</t>
  </si>
  <si>
    <t>Bienestar institucional</t>
  </si>
  <si>
    <t>Organización, administración y gestión</t>
  </si>
  <si>
    <t>Impacto de los egresados en el medio</t>
  </si>
  <si>
    <t>Recursos físicos y financieros</t>
  </si>
  <si>
    <t>TOTAL</t>
  </si>
  <si>
    <t>Cumplimiento
Final</t>
  </si>
  <si>
    <t>Misión y proyecto institucional</t>
  </si>
  <si>
    <t>Relevancia académica y pertinencia social del proyecto curricular</t>
  </si>
  <si>
    <t>Mecanismos de selección e ingreso</t>
  </si>
  <si>
    <t>Estudiantes admitidos y capacidad institucional</t>
  </si>
  <si>
    <t>Participación en actividades de formación integral</t>
  </si>
  <si>
    <t>Reglamentos estudiantil y académico</t>
  </si>
  <si>
    <t>Selección, vinculación y permanencia de profesores</t>
  </si>
  <si>
    <t>Número, dedicación, nivel de formación y experiencia de los profesores</t>
  </si>
  <si>
    <t>Desarrollo profesoral</t>
  </si>
  <si>
    <t>Estímulos a la docencia, investigación, creación artística y cultural, extensión o proyección social y a la cooperación internacional</t>
  </si>
  <si>
    <t>Producción, pertinencia, utilización e impacto de material docente</t>
  </si>
  <si>
    <t>Remuneración por méritos</t>
  </si>
  <si>
    <t>Evaluación de profesores</t>
  </si>
  <si>
    <t>Integralidad del currículo</t>
  </si>
  <si>
    <t>Flexibilidad del currículo</t>
  </si>
  <si>
    <t>Interdisciplinariedad</t>
  </si>
  <si>
    <t>Sistema de evaluación de estudiantes</t>
  </si>
  <si>
    <t>Evaluación y autorregulación del proyecto curricular</t>
  </si>
  <si>
    <t>Extensión o proyección social</t>
  </si>
  <si>
    <t>Recursos bibliográficos</t>
  </si>
  <si>
    <t>Recursos informáticos y de comunicación</t>
  </si>
  <si>
    <t>Inserción del proyecto curricular en contextos académicos nacionales e internacionales</t>
  </si>
  <si>
    <t>Relaciones externas de profesores y estudiantes</t>
  </si>
  <si>
    <t>Formación para la investigación, la innovación y la creación artística y cultural</t>
  </si>
  <si>
    <t>Compromiso con la investigación y la creación artística y cultural</t>
  </si>
  <si>
    <t>Políticas, programas y servicios de bienestar universitario</t>
  </si>
  <si>
    <t>Permanencia y retención estudiantil</t>
  </si>
  <si>
    <t>Organización, administración y gestión del programa</t>
  </si>
  <si>
    <t>Sistemas de comunicación e información</t>
  </si>
  <si>
    <t>Dirección del programa</t>
  </si>
  <si>
    <t>Seguimiento de los egresados</t>
  </si>
  <si>
    <t>Impacto de los egresados en el medio social y académico</t>
  </si>
  <si>
    <t>Recursos físicos</t>
  </si>
  <si>
    <t>Presupuesto del programa</t>
  </si>
  <si>
    <t>Administración de recursos</t>
  </si>
  <si>
    <t>Trabajos de los estudiantes</t>
  </si>
  <si>
    <t>Recursos de apoyo docente</t>
  </si>
  <si>
    <t>Aspecto a Evaluar</t>
  </si>
  <si>
    <t>Documental</t>
  </si>
  <si>
    <t>Estadística</t>
  </si>
  <si>
    <t>Estatuto Estudiantíl, Capítulo 5.</t>
  </si>
  <si>
    <t>Acuerdo 018 de Abril 27 de 2011, Creación de Cupos Especiales UD</t>
  </si>
  <si>
    <t xml:space="preserve">Estatuto Académico UD, Artículo 16, literal h. </t>
  </si>
  <si>
    <t>http://sgral.udistrital.edu.co/xdata/csu/acu_1996-004.pdf</t>
  </si>
  <si>
    <t>Acuerdo 018 de Abril 27 de 2011</t>
  </si>
  <si>
    <t>Estatuto Académico UD</t>
  </si>
  <si>
    <t xml:space="preserve">Instructivo para
reingresos y transferencias de estudiantes
</t>
  </si>
  <si>
    <t>Estatuto Estudiantíl</t>
  </si>
  <si>
    <t xml:space="preserve">Proceso de Admisión </t>
  </si>
  <si>
    <t xml:space="preserve">Estatuto Estudiantíl: Titulo IV Incentivos, Artículos 55 al 62. </t>
  </si>
  <si>
    <t>Acuerdo 011 de 2002 del Consejo Superior Universitario "Estatuto del profesor"</t>
  </si>
  <si>
    <t>http://www.udistrital.edu.co:8080/documents/62257/568521f4-3b29-4e71-892d-2eebd6cfbf7f</t>
  </si>
  <si>
    <t>https://www.udistrital.edu.co/files/dependencias/docenciaDECRETO%201279%20de%20Junio%2019%20de%202002.pdf</t>
  </si>
  <si>
    <t>Estatuto Académico</t>
  </si>
  <si>
    <t>Consejo de Participación Universitaria</t>
  </si>
  <si>
    <t>http://sgral.udistrital.edu.co/sgral/index.php?option=com_content&amp;task=view&amp;id=90&amp;Itemid=90</t>
  </si>
  <si>
    <t>Acuerdo 009 de 2007 CSU: "Por el cual se reglamenta el Estatuto Docente de la Universidad Distrital en cuanto a políticas y procedimientos para el Apoyo a la Formación Postgradual de alto nivel a Profesores de Carrera y se dictan otras disposiciones"</t>
  </si>
  <si>
    <t>http://sgral.udistrital.edu.co/xdata/csu/acu_2007-009.pdf</t>
  </si>
  <si>
    <t>Actas comité de Puntaje</t>
  </si>
  <si>
    <t>http://www.udistrital.edu.co:8080/en/web/docencia/actas-comite-de-puntaje</t>
  </si>
  <si>
    <t xml:space="preserve">Acuerdo 011 de 2002 del Consejo Superior Universitario "Estatuto del profesor": Artículo 67, Capítulo 11, Capítulo 12 Título V Distinciones y Estímulos. </t>
  </si>
  <si>
    <t xml:space="preserve">Decreto 1279 </t>
  </si>
  <si>
    <t>Aplicación Decreto 1279 en la Universidad Distrital</t>
  </si>
  <si>
    <t xml:space="preserve">Acuerdo 011 de 2002 del Consejo Superior Universitario "Estatuto del profesor": </t>
  </si>
  <si>
    <t>Normatividad que rige la Evaluación Docente</t>
  </si>
  <si>
    <t>http://www.udistrital.edu.co:8080/en/web/docencia/normatividad</t>
  </si>
  <si>
    <t xml:space="preserve">Resultados de la Evaluación Docente </t>
  </si>
  <si>
    <t>http://www.udistrital.edu.co:8080/en/web/docencia/resultados</t>
  </si>
  <si>
    <t>Consulta de Resultados Examen de Estado de Calidad de la Educación Superior</t>
  </si>
  <si>
    <t>http://www2.icfesinteractivo.gov.co/result_ecaes/sniee_ind_resul_ecaes.htm</t>
  </si>
  <si>
    <t>Procedimientos  que soportan los procesos  de Autoevaluación y Acreditación</t>
  </si>
  <si>
    <t>http://autoevaluacion.udistrital.edu.co/version3/index.php?page=zsKtMsypBQwuaiQoRqQfYrcjCucnbTajfOeeReHfiKXdBbupPgOsAiiqtJi&amp;accion=1</t>
  </si>
  <si>
    <t>Orientaciones metodológicas para la Autoevaluación de los proyecyos curriculares y planes de mejoramiento</t>
  </si>
  <si>
    <t>http://autoevaluacion.udistrital.edu.co/version3/index.php?page=UBHtwQjbRAAdWQijTOXhpftplpJmeKEpIPyeehxpSweumfTfcpCnxUK_llhtWVyfJQmoDhbpNvKjBuOdUCebQlCurMzoilVfjsIjFRUsiIspRQI&amp;accion=1</t>
  </si>
  <si>
    <t xml:space="preserve">Normatividad Unidad de Extensión Facultad Tecnológica </t>
  </si>
  <si>
    <t>http://www.udistrital.edu.co:8080/web/unidad-de-extension-de-la-facultad-tecnologica/normatividad</t>
  </si>
  <si>
    <t xml:space="preserve">Misión y Visión Unidad de Extensión Facultad Tecnológica </t>
  </si>
  <si>
    <t>http://www.udistrital.edu.co:8080/web/unidad-de-extension-de-la-facultad-tecnologica/vision-y-mision</t>
  </si>
  <si>
    <t>Proyectos de Extensión Facultad Tecnológica del 2012-2015</t>
  </si>
  <si>
    <t>http://www.udistrital.edu.co:8080/web/unidad-de-extension-de-la-facultad-tecnologica/proyectos</t>
  </si>
  <si>
    <t>Unidad de Extensión Facultad Tecnológica</t>
  </si>
  <si>
    <t>Sistema de Bibliotecas  UD</t>
  </si>
  <si>
    <t>https://www.udistrital.edu.co/#/biblioteca.php</t>
  </si>
  <si>
    <t>Biblioteca  Digital UD</t>
  </si>
  <si>
    <t>http://bdigital.udistrital.edu.co/</t>
  </si>
  <si>
    <t>Sistema de Información bibliográfico</t>
  </si>
  <si>
    <t>http://biblioteca.udistrital.edu.co/F/KXM99GJYUFJM37KLUDC6IBN8NX5Q9CMTB1LS9JEQVBV2KP5KRY-50172?func=find-b&amp;request=Alta%20redacci%C3%B3n.%20Informes%20t%C3%A9cnicos%20y%20administrativos&amp;find_code=WTI&amp;adjacent=N&amp;x=-559&amp;y=-403&amp;filter_code_1=WLN&amp;filter_request_1=&amp;filter_code_2=WYR&amp;filter_request_2=&amp;filter_code_3=WYR&amp;filter_request_3=&amp;filter_code_4=WFM&amp;filter_request_4=&amp;filter_code_5=WSL&amp;filter_request_5=</t>
  </si>
  <si>
    <t xml:space="preserve"> Biblioteca UD</t>
  </si>
  <si>
    <t>Facultad Tecnológica - Laboratorios</t>
  </si>
  <si>
    <t>http://ceri.udistrital.edu.co/cooperacion/proyectos/alternativa</t>
  </si>
  <si>
    <t>Cooperación nacional e internacional UD</t>
  </si>
  <si>
    <t>CERI</t>
  </si>
  <si>
    <t>Convenios CERI</t>
  </si>
  <si>
    <t>Centro de Investigaciones y Desarrollo Científico</t>
  </si>
  <si>
    <t>http://cidc.udistrital.edu.co/web/</t>
  </si>
  <si>
    <t>Plan Maestro de Investigación  - Facultad Tecnológica</t>
  </si>
  <si>
    <t>http://planmaestroinv.udistrital.edu.co/index.php/planesmaestrosfacul</t>
  </si>
  <si>
    <t>Unidad de Investigación - Facultad Tecnológica</t>
  </si>
  <si>
    <t>Centro de Investigaciones y Desarrollo Científico - CIDC</t>
  </si>
  <si>
    <t>http://bienestar.udistrital.edu.co:8080/quienes-somos</t>
  </si>
  <si>
    <t>Resolución 1101 de Julio 29 del 2002: Funciones Generales y Especificas y los
Requisitos Mínimos para los cargos de la Planta de Personal Administrativo de la UD</t>
  </si>
  <si>
    <t xml:space="preserve">Oficina Asesora de Sistemas: Link Servicios - Sistemas de Información </t>
  </si>
  <si>
    <t>https://portalws.udistrital.edu.co/oas/</t>
  </si>
  <si>
    <t>http://virtualidad.udistrital.edu.co/</t>
  </si>
  <si>
    <t>Sistema de Información  Egresados UD</t>
  </si>
  <si>
    <t>http://egresados.udistrital.edu.co/</t>
  </si>
  <si>
    <t>Plan Maestro de Desarrollo Físico</t>
  </si>
  <si>
    <t>https://www.udistrital.edu.co/files/dependencias/planeacplanMaestroDesarrolloFisico0816.pdf</t>
  </si>
  <si>
    <t>Informes de Gestión Facultad Tecnológica</t>
  </si>
  <si>
    <t xml:space="preserve">Plan de Mejoramiento Institucional </t>
  </si>
  <si>
    <t>http://autoevaluacion.udistrital.edu.co/version3/index.php?page=CqSdOUpczlZbwPY&amp;accion=1</t>
  </si>
  <si>
    <t>N° Pregunta</t>
  </si>
  <si>
    <t>17.1</t>
  </si>
  <si>
    <t>17.2</t>
  </si>
  <si>
    <t>17.3</t>
  </si>
  <si>
    <t>58.1</t>
  </si>
  <si>
    <t>58.2</t>
  </si>
  <si>
    <t>58.3</t>
  </si>
  <si>
    <t>19.1</t>
  </si>
  <si>
    <t>19.2</t>
  </si>
  <si>
    <t>19.3</t>
  </si>
  <si>
    <t>54.1</t>
  </si>
  <si>
    <t>54.2</t>
  </si>
  <si>
    <t>54.3</t>
  </si>
  <si>
    <t>57.1</t>
  </si>
  <si>
    <t>57.2</t>
  </si>
  <si>
    <t>57.3</t>
  </si>
  <si>
    <t>67.1</t>
  </si>
  <si>
    <t>67.2</t>
  </si>
  <si>
    <t>67.3</t>
  </si>
  <si>
    <t>10.1</t>
  </si>
  <si>
    <t>10.2</t>
  </si>
  <si>
    <t>10.3</t>
  </si>
  <si>
    <t>10.4</t>
  </si>
  <si>
    <t>10.5</t>
  </si>
  <si>
    <t>15.1</t>
  </si>
  <si>
    <t>15.2</t>
  </si>
  <si>
    <t>15.3</t>
  </si>
  <si>
    <t>11.1</t>
  </si>
  <si>
    <t>11.2</t>
  </si>
  <si>
    <t>11.3</t>
  </si>
  <si>
    <t>11.4</t>
  </si>
  <si>
    <t>12.1</t>
  </si>
  <si>
    <t>12.2</t>
  </si>
  <si>
    <t>12.3</t>
  </si>
  <si>
    <t>3.1</t>
  </si>
  <si>
    <t>3.2</t>
  </si>
  <si>
    <t>3.3</t>
  </si>
  <si>
    <t>3.4</t>
  </si>
  <si>
    <t>3.5</t>
  </si>
  <si>
    <t>4.1</t>
  </si>
  <si>
    <t>4.2</t>
  </si>
  <si>
    <t>5.1</t>
  </si>
  <si>
    <t>5.2</t>
  </si>
  <si>
    <t>6.1</t>
  </si>
  <si>
    <t>6.2</t>
  </si>
  <si>
    <t>6.3</t>
  </si>
  <si>
    <t>6.4</t>
  </si>
  <si>
    <t>6.5</t>
  </si>
  <si>
    <t>Directivos</t>
  </si>
  <si>
    <t xml:space="preserve">Cumplimiento de las funciones sustantivas de docencia investigación y, extensión y proyección social </t>
  </si>
  <si>
    <t>Menciona las políticas y programas educativos de la Universidad Distrital Francisco José de Caldas que deben conocer estamentos</t>
  </si>
  <si>
    <t>Conoce los planes trazados para los próximos años en el interior de la Facultad</t>
  </si>
  <si>
    <t>4.3</t>
  </si>
  <si>
    <r>
      <t xml:space="preserve">Conoce los planes trazados para los próximos años en el interior del proyecto curricular en materia de: </t>
    </r>
    <r>
      <rPr>
        <sz val="7"/>
        <color theme="1"/>
        <rFont val="Times New Roman"/>
        <family val="1"/>
      </rPr>
      <t xml:space="preserve"> </t>
    </r>
    <r>
      <rPr>
        <sz val="11"/>
        <color theme="1"/>
        <rFont val="Garamond"/>
        <family val="1"/>
      </rPr>
      <t>Investigación</t>
    </r>
  </si>
  <si>
    <r>
      <t xml:space="preserve">Conoce los planes trazados para los próximos años en el interior del proyecto curricular en materia de: </t>
    </r>
    <r>
      <rPr>
        <sz val="7"/>
        <color theme="1"/>
        <rFont val="Times New Roman"/>
        <family val="1"/>
      </rPr>
      <t xml:space="preserve"> </t>
    </r>
    <r>
      <rPr>
        <sz val="11"/>
        <color theme="1"/>
        <rFont val="Garamond"/>
        <family val="1"/>
      </rPr>
      <t xml:space="preserve">Docencia </t>
    </r>
  </si>
  <si>
    <r>
      <t xml:space="preserve">Conoce los planes trazados para los próximos años en el interior del proyecto curricular en materia de: </t>
    </r>
    <r>
      <rPr>
        <sz val="7"/>
        <color theme="1"/>
        <rFont val="Times New Roman"/>
        <family val="1"/>
      </rPr>
      <t xml:space="preserve"> </t>
    </r>
    <r>
      <rPr>
        <sz val="11"/>
        <color theme="1"/>
        <rFont val="Garamond"/>
        <family val="1"/>
      </rPr>
      <t>Extensión y proyección social</t>
    </r>
  </si>
  <si>
    <t>Conoce las líneas y proyectos de investigación que se desarrollan actualmente</t>
  </si>
  <si>
    <t>Conoce la prospectiva de presentación de proyectos de investigación en el proyecto curricular y a qué línea le apuntan</t>
  </si>
  <si>
    <t>Menciona las líneas a las que apuntan los proyectos de investigación en el proyecto curricular</t>
  </si>
  <si>
    <t>8.1</t>
  </si>
  <si>
    <t>8.2</t>
  </si>
  <si>
    <t>8.3</t>
  </si>
  <si>
    <r>
      <t>Conoce las fuentes de financiación con las que se cuenta para el desarrollo de:</t>
    </r>
    <r>
      <rPr>
        <sz val="7"/>
        <color theme="1"/>
        <rFont val="Times New Roman"/>
        <family val="1"/>
      </rPr>
      <t xml:space="preserve">  </t>
    </r>
    <r>
      <rPr>
        <sz val="11"/>
        <color theme="1"/>
        <rFont val="Garamond"/>
        <family val="1"/>
      </rPr>
      <t>Investigación</t>
    </r>
  </si>
  <si>
    <r>
      <t>Conoce las fuentes de financiación con las que se cuenta para el desarrollo de:</t>
    </r>
    <r>
      <rPr>
        <sz val="7"/>
        <color theme="1"/>
        <rFont val="Times New Roman"/>
        <family val="1"/>
      </rPr>
      <t xml:space="preserve">  </t>
    </r>
    <r>
      <rPr>
        <sz val="11"/>
        <color theme="1"/>
        <rFont val="Garamond"/>
        <family val="1"/>
      </rPr>
      <t xml:space="preserve">Docencia </t>
    </r>
  </si>
  <si>
    <r>
      <t>Conoce las fuentes de financiación con las que se cuenta para el desarrollo de:</t>
    </r>
    <r>
      <rPr>
        <sz val="7"/>
        <color theme="1"/>
        <rFont val="Times New Roman"/>
        <family val="1"/>
      </rPr>
      <t xml:space="preserve">  </t>
    </r>
    <r>
      <rPr>
        <sz val="11"/>
        <color theme="1"/>
        <rFont val="Garamond"/>
        <family val="1"/>
      </rPr>
      <t>Extensión y proyección social</t>
    </r>
  </si>
  <si>
    <r>
      <t xml:space="preserve">Considera que los recursos económicos son suficientes para el desarrollo de: </t>
    </r>
    <r>
      <rPr>
        <sz val="7"/>
        <color theme="1"/>
        <rFont val="Times New Roman"/>
        <family val="1"/>
      </rPr>
      <t xml:space="preserve"> </t>
    </r>
    <r>
      <rPr>
        <sz val="11"/>
        <color theme="1"/>
        <rFont val="Garamond"/>
        <family val="1"/>
      </rPr>
      <t>Investigación</t>
    </r>
  </si>
  <si>
    <r>
      <t xml:space="preserve">Considera que los recursos económicos son suficientes para el desarrollo de: </t>
    </r>
    <r>
      <rPr>
        <sz val="11"/>
        <color theme="1"/>
        <rFont val="Garamond"/>
        <family val="1"/>
      </rPr>
      <t xml:space="preserve">Docencia </t>
    </r>
  </si>
  <si>
    <r>
      <t xml:space="preserve">Considera que los recursos económicos son suficientes para el desarrollo de: </t>
    </r>
    <r>
      <rPr>
        <sz val="11"/>
        <color theme="1"/>
        <rFont val="Garamond"/>
        <family val="1"/>
      </rPr>
      <t>Extensión y proyección social</t>
    </r>
  </si>
  <si>
    <t>9.1</t>
  </si>
  <si>
    <t>9.2</t>
  </si>
  <si>
    <t>9.3</t>
  </si>
  <si>
    <t>Menciona convenios y fuentes de financiación externa (local o extrajera), para el desarrollo de: Investigación</t>
  </si>
  <si>
    <t xml:space="preserve">Menciona convenios y fuentes de financiación externa (local o extrajera), para el desarrollo de: Formación docente </t>
  </si>
  <si>
    <t>Menciona convenios y fuentes de financiación externa (local o extrajera), para el desarrollo de: Extensión y proyección social</t>
  </si>
  <si>
    <t>Tiene conocimiento del impacto que genera el modelo de formación por ciclos</t>
  </si>
  <si>
    <r>
      <t>Menciona las acciones que brindan posibilidades a los estudiantes para:</t>
    </r>
    <r>
      <rPr>
        <sz val="7"/>
        <color theme="1"/>
        <rFont val="Times New Roman"/>
        <family val="1"/>
      </rPr>
      <t xml:space="preserve">  </t>
    </r>
    <r>
      <rPr>
        <sz val="11"/>
        <color theme="1"/>
        <rFont val="Garamond"/>
        <family val="1"/>
      </rPr>
      <t>Desarrollar procesos de investigación</t>
    </r>
  </si>
  <si>
    <t>Menciona las acciones que brindan posibilidades a los estudiantes para: Desarrollar proyectos de extensión y proyección social a la comunidad.</t>
  </si>
  <si>
    <t>Menciona los planes de ejecución presupuestal para el mejoramiento de la infraestructura y equipos de apoyo</t>
  </si>
  <si>
    <t>Menciona los medios que se utilizan para garantizar que la ejecución presupuestal sea eficaz y eficiente.</t>
  </si>
  <si>
    <t>Menciona aspectos que se deben fortalecerse en la formación de los estudiantes.</t>
  </si>
  <si>
    <t>Marca temporal</t>
  </si>
  <si>
    <t>Dirección de correo electrónico</t>
  </si>
  <si>
    <t>Programa al cual está adscrito</t>
  </si>
  <si>
    <t>Número de renovaciones de matrícula</t>
  </si>
  <si>
    <t>1. Conozco la misión de la Universidad Distrital Francisco José de Caldas</t>
  </si>
  <si>
    <t>2. Considero que la Universidad Distrital Francisco José de Caldas es una alternativa real para acceder al conocimiento por parte de la población bogotana de menores ingresos.</t>
  </si>
  <si>
    <t>3. Considero que la Universidad Distrital Francisco José de Caldas desarrolla una educación de alta calidad con capacidad de responder a los retos del Distrito Capital y del país.</t>
  </si>
  <si>
    <t xml:space="preserve">4. Conozco el proyecto educativo de mi programa académico (PEP). </t>
  </si>
  <si>
    <t>5. He participado en la discusión y actualización del Proyecto Educativo de Programa.</t>
  </si>
  <si>
    <t>6. Conozco las funciones y me entero de las decisiones del Consejo Curricular de mi programa académico.</t>
  </si>
  <si>
    <t>7. Conozco el proceso de admisiones a cada uno de los niveles de formación de los programas académicos por ciclos ofrecidos en la Facultad Tecnológica.</t>
  </si>
  <si>
    <t>8. Considero que el proceso admisión es transparente y equitativo.</t>
  </si>
  <si>
    <t>9. Me siento a gusto con el número de estudiantes que se admiten y se inscriben en los diferentes espacios académicos.</t>
  </si>
  <si>
    <t>10. Considero que en mi programa académico se aplican debidamente las normas establecidas en los reglamentos estudiantil y académico.</t>
  </si>
  <si>
    <t>11. Conozco los procedimientos para hacer parte de los órganos de dirección de mi programa académico.</t>
  </si>
  <si>
    <t>12. Conozco el proceso de selección y vinculación de los docentes.</t>
  </si>
  <si>
    <t>13. Considero que la evaluación de docentes se utiliza para definir la permanencia de los docentes de mi programa académico.</t>
  </si>
  <si>
    <t>14. Considero que el número de docentes al servicio de mi programa académico es suficiente.</t>
  </si>
  <si>
    <t>15.1. Considero que el tiempo dedicado por los docentes de mi programa académico es adecuado para: LA ENSEÑANZA.</t>
  </si>
  <si>
    <t>15.2. Considero que el tiempo dedicado por los docentes de mi programa académico es adecuado para: LA INVESTIGACIÓN.</t>
  </si>
  <si>
    <t>15.3. Considero que el tiempo dedicado por los docentes de mi programa académico es adecuado para: LA PARTICIPACIÓN EN PROYECTOS DIRIGIDOS A LA COMUNIDAD.</t>
  </si>
  <si>
    <t>16. El plan de estudios formulado en mi programa académico es coherente con las competencias que yo espero fortalecer.</t>
  </si>
  <si>
    <t>17.1. El programa académico al que pertenezco me brinda las posibilidades necesarias para: DESARROLLAR PROCESOS DE INVESTIGACIÓN.</t>
  </si>
  <si>
    <t>17.2. El programa académico al que pertenezco me brinda las posibilidades necesarias para: FORMAR UN PENSAMIENTO CRÍTICO Y ÉTICO.</t>
  </si>
  <si>
    <t>17.3. El programa académico al que pertenezco me brinda las posibilidades necesarias para: GENERAR CONOCIMIENTO AL SERVICIO DE LA SOCIEDAD.</t>
  </si>
  <si>
    <t>17.4. El programa académico al que pertenezco me brinda las posibilidades necesarias para: SER PARTE ACTIVA Y PARTICIPATIVA EN LA CULTURA CIUDADANA.</t>
  </si>
  <si>
    <t>17.5. El programa académico al que pertenezco me brinda las posibilidades necesarias para: DESARROLLAR TEXTOS QUE ARGUMENTEN OPINIONES Y/O CONCEPTOS.</t>
  </si>
  <si>
    <t xml:space="preserve">18. El plan de estudios me permite cursar espacios académicos electivos en diversas áreas. </t>
  </si>
  <si>
    <t>19. El menú de asignaturas electivas despierta en mi interés profesional y personal.</t>
  </si>
  <si>
    <t>20. En mi programa académico existe proyectos de investigación con participación de personas de distintas áreas del conocimiento.</t>
  </si>
  <si>
    <t>21. Los proyectos de grado pueden realizarse con intervención de estudiantes de diferentes programas académicos.</t>
  </si>
  <si>
    <t>22. Puedo inscribir espacios académicos en otros programas académicos.</t>
  </si>
  <si>
    <t>23. Puedo inscribir espacios académicos en otras Instituciones y homologarlas en mi programa académico.</t>
  </si>
  <si>
    <t xml:space="preserve">24. En mi programa académico existen espacios académicos en donde se inscriben estudiantes de diferentes programas. </t>
  </si>
  <si>
    <t>25. En mi programa académico existen cursos de interés para los estudiantes de otros programas académicos de la Facultad Tecnológica y de la Universidad Distrital Francisco José de Caldas.</t>
  </si>
  <si>
    <t xml:space="preserve">26. Mi programa académico incentiva las actividades y proyectos extra clase que los estudiantes realizan. </t>
  </si>
  <si>
    <t>27. Las estrategias didácticas empleadas en mi programa académico me permiten adquirir los conocimientos característicos de la profesión que escogí.</t>
  </si>
  <si>
    <t>28. El plan de estudios de mi programa académico se desarrolla empleando estrategias didácticas diversas.</t>
  </si>
  <si>
    <t>29. Me siento a gusto con las estrategias de enseñanza utilizadas en mi programa académico.</t>
  </si>
  <si>
    <t>30. Los docentes de mi programa académico cumplen con el contenido propuesto para los espacios académicos en cada semestre.</t>
  </si>
  <si>
    <t>31. Me siento a gusto con las estrategias de enseñanza utilizadas en mi programa académico.</t>
  </si>
  <si>
    <t>32. Conozco las diferencias entre los programas de formación en ingeniería por ciclos y los programas de ingeniería tradicional.</t>
  </si>
  <si>
    <t>33. Tengo claro qué es y para qué sirve el componente propedéutico en un programa de ingeniería por ciclos.</t>
  </si>
  <si>
    <t>34. Considero que ser tecnólogo me brinda oportunidades para vincularme en el mercado laboral.</t>
  </si>
  <si>
    <t xml:space="preserve">35. Ser ingeniero mejora las condiciones laborales del tecnólogo. </t>
  </si>
  <si>
    <t xml:space="preserve">36. Mi proyecto de vida me motiva o me motivó a continuar con mis estudios de ingeniería. </t>
  </si>
  <si>
    <t xml:space="preserve">37. Considero o consideré atractivo la posibilidad de cursar una ingeniería en otra área del conocimiento. </t>
  </si>
  <si>
    <t>38. Las evaluaciones practicadas en los diferentes espacios académicos son adecuadas e imparciales.</t>
  </si>
  <si>
    <t>39. Las reglas de evaluación están claramente definidas en el estatuto estudiantil.</t>
  </si>
  <si>
    <t>40. Los temas de los trabajos desarrollados en los espacios académicos despiertan mi interés personal y profesional.</t>
  </si>
  <si>
    <t>41. Los objetivos de cada uno de los espacios académicos son coherentes con los trabajos de aula solicitados por los docentes.</t>
  </si>
  <si>
    <t>42. Conozco los procesos para la evaluación periódica de la pertinencia y calidad del programa académico al cual pertenezco.</t>
  </si>
  <si>
    <t>43. He participado en procesos para la evaluación periódica de la pertinencia y calidad del programa académico al cual pertenezco.</t>
  </si>
  <si>
    <t>44. Puedo identificar mejoras realizadas  en mi programa académico durante el último año.</t>
  </si>
  <si>
    <t>45. Conozco proyectos dirigidos a la comunidad y liderados por mi programa académico.</t>
  </si>
  <si>
    <t>46. He participado en proyectos dirigidos a la comunidad y liderados por el programa académico.</t>
  </si>
  <si>
    <t>47. Desde mi programa académico se ayuda a resolver problemas de la comunidad.</t>
  </si>
  <si>
    <t>48.1. Considero que el material bibliográfico es: SUFICIENTE.</t>
  </si>
  <si>
    <t>48.2. Considero que el material bibliográfico es: ADECUADO.</t>
  </si>
  <si>
    <t>48.3. Considero que el material bibliográfico es: ACTUALIZADO.</t>
  </si>
  <si>
    <t>49.1. Considero que los computadores y software disponibles en mi programa académico son: SUFICIENTE.</t>
  </si>
  <si>
    <t>49.2. Considero que los computadores y software disponibles en mi programa académico son: ADECUADO.</t>
  </si>
  <si>
    <t>49.3. Considero que los computadores y software disponibles en mi programa académico son: ACTUALIZADO.</t>
  </si>
  <si>
    <t>50. Durante el desarrollo de las clases se hace un adecuado uso de las herramientas poseídas por la Universidad Distrital Francisco José de Caldas tales como: laboratorios, talleres y medios audiovisuales.</t>
  </si>
  <si>
    <t>51.1. Considero que los laboratorios y talleres disponibles en mi programa académico son: SUFICIENTES.</t>
  </si>
  <si>
    <t>51.2. Considero que los laboratorios y talleres disponibles en mi programa académico son: ADECUADOS.</t>
  </si>
  <si>
    <t>51.3. Considero que los laboratorios y talleres disponibles en mi programa académico son: ACTUALIZADOS.</t>
  </si>
  <si>
    <t>51.4. Considero que los laboratorios y talleres disponibles en mi programa académico son: APOYADOS POR PERSONAL DEBIDAMENTE CAPACITADO.</t>
  </si>
  <si>
    <t>51.5. Considero que los laboratorios y talleres disponibles en mi programa académico son: VENTILADOS.</t>
  </si>
  <si>
    <t>51.6. Considero que los laboratorios y talleres disponibles en mi programa académico son: ILUMINADOS.</t>
  </si>
  <si>
    <t>51.7. Considero que los laboratorios y talleres disponibles en mi programa académico son: DISEÑADOS SEGÚN NORMAS DE SEGURIDAD.</t>
  </si>
  <si>
    <t>52.1. Considero que los materiales de apoyo audiovisual son: SUFICIENTES.</t>
  </si>
  <si>
    <t>52.2. Considero que los materiales de apoyo audiovisual son: ADECUADOS.</t>
  </si>
  <si>
    <t>52.3. Considero que los materiales de apoyo audiovisual son: ACTUALIZADOS.</t>
  </si>
  <si>
    <t>52.4. Considero que los materiales de apoyo audiovisual son: SOPORTADOS POR PERSONAL DEBIDAMENTE CAPACITADO.</t>
  </si>
  <si>
    <t>53. Mi programa académico promueve la participación en proyectos de investigación.</t>
  </si>
  <si>
    <t xml:space="preserve">54. Mi programa académico dispone de los recursos que necesito para desarrollar mis trabajos de investigación. </t>
  </si>
  <si>
    <t>55. Participo o he participado en grupos y redes académicas externas a la Universidad Distrital Francisco José de Caldas.</t>
  </si>
  <si>
    <t>56. Considero que los servicios o actividades ofrecidas por Bienestar Institucional contribuyen a mi desarrollo personal y profesional.</t>
  </si>
  <si>
    <t>57.1. Considero que los servicios de bienestar son: SUFICIENTE.</t>
  </si>
  <si>
    <t>57.2. Considero que los servicios de bienestar son: ADECUADO.</t>
  </si>
  <si>
    <t>57.3. Considero que los servicios de bienestar son: ACCESIBLES.</t>
  </si>
  <si>
    <t xml:space="preserve">58. Mi experiencia en éste programa académico me motiva a continuar en mi programa académico.  </t>
  </si>
  <si>
    <t xml:space="preserve">59. Puedo terminar mi pregrado en el tiempo establecido por mi programa académico. </t>
  </si>
  <si>
    <t xml:space="preserve">60. Las alternativas de grado actuales me permitirán terminar mis estudios en el tiempo previsto. </t>
  </si>
  <si>
    <t xml:space="preserve">61. Considero que la atención por parte del personal administrativo de mi programa académico es idónea. </t>
  </si>
  <si>
    <t>62.1. La organización, administración y gestión de mi programa académico permite cumplir los objetivos de: DESARROLLO REGULAR DE LOS ESPACIOS Y DE LOS SEMESTRES ACADÉMICOS.</t>
  </si>
  <si>
    <t>62.2. La organización, administración y gestión de mi programa académico permite cumplir los objetivos de: PROMOCIÓN DE LA CULTURA DE LA INVESTIGACIÓN.</t>
  </si>
  <si>
    <t>62.3. La organización, administración y gestión de mi programa académico permite cumplir los objetivos de: INTEGRACIÓN CON LA COMUNIDAD Y CON EL ENTORNO.</t>
  </si>
  <si>
    <t xml:space="preserve">63. Puedo identificar las personas que desarrollan la representación estudiantil en mi programa académico. </t>
  </si>
  <si>
    <t>64. Considero que la representación estudiantil cumple su papel de comunicación entre los directivos y los estudiantes.</t>
  </si>
  <si>
    <t xml:space="preserve">65. Los representantes estudiantiles han liderado propuestas para el mejoramiento de mi programa académico. </t>
  </si>
  <si>
    <t>66.1. Considero que los sistemas de información empleados por mi programa académico son: VERACES.</t>
  </si>
  <si>
    <t>66.2. Considero que los sistemas de información empleados por mi programa académico son: OPORTUNOS.</t>
  </si>
  <si>
    <t>67.1. Considero que los medios empleados para la difusión de información de mi programa académico son: VERACES.</t>
  </si>
  <si>
    <t>67.2. Considero que los medios empleados para la difusión de información de mi programa académico son: OPORTUNOS.</t>
  </si>
  <si>
    <t xml:space="preserve">68. Considero que las orientaciones de los directivos de mi programa académico son adecuadas. </t>
  </si>
  <si>
    <t>69. Considero que el liderazgo ejercido por los directivos de mi programa académico es idóneo.</t>
  </si>
  <si>
    <t>70.1. Considero que la planta física de mi programa académico es: ADECUADA.</t>
  </si>
  <si>
    <t>70.2. Considero que la planta física de mi programa académico es: SUFICIENTE.</t>
  </si>
  <si>
    <t>70.3. Considero que la planta física de mi programa académico es: CONSERVADA.</t>
  </si>
  <si>
    <t>Observaciones</t>
  </si>
  <si>
    <t>Código estudiantil</t>
  </si>
  <si>
    <t/>
  </si>
  <si>
    <t>Totalmente de acuerdo / SI</t>
  </si>
  <si>
    <t>Totalmente en desacuerdo / NO</t>
  </si>
  <si>
    <t>N/A</t>
  </si>
  <si>
    <t>Cuenta de 1. Conozco la misión de la Universidad Distrital Francisco José de Caldas</t>
  </si>
  <si>
    <t>Total general</t>
  </si>
  <si>
    <t>Cuenta de 2. Considero que la Universidad Distrital Francisco José de Caldas es una alternativa real para acceder al conocimiento por parte de la población bogotana de menores ingresos.</t>
  </si>
  <si>
    <t>Cuenta de 3. Considero que la Universidad Distrital Francisco José de Caldas desarrolla una educación de alta calidad con capacidad de responder a los retos del Distrito Capital y del país.</t>
  </si>
  <si>
    <t xml:space="preserve">Cuenta de 4. Conozco el proyecto educativo de mi programa académico (PEP). </t>
  </si>
  <si>
    <t>Cuenta de 5. He participado en la discusión y actualización del Proyecto Educativo de Programa.</t>
  </si>
  <si>
    <t>Cuenta de 6. Conozco las funciones y me entero de las decisiones del Consejo Curricular de mi programa académico.</t>
  </si>
  <si>
    <t>Cuenta de 7. Conozco el proceso de admisiones a cada uno de los niveles de formación de los programas académicos por ciclos ofrecidos en la Facultad Tecnológica.</t>
  </si>
  <si>
    <t>Cuenta de 8. Considero que el proceso admisión es transparente y equitativo.</t>
  </si>
  <si>
    <t>Cuenta de 9. Me siento a gusto con el número de estudiantes que se admiten y se inscriben en los diferentes espacios académicos.</t>
  </si>
  <si>
    <t>Cuenta de 10. Considero que en mi programa académico se aplican debidamente las normas establecidas en los reglamentos estudiantil y académico.</t>
  </si>
  <si>
    <t>Cuenta de 11. Conozco los procedimientos para hacer parte de los órganos de dirección de mi programa académico.</t>
  </si>
  <si>
    <t>Cuenta de 12. Conozco el proceso de selección y vinculación de los docentes.</t>
  </si>
  <si>
    <t>Cuenta de 13. Considero que la evaluación de docentes se utiliza para definir la permanencia de los docentes de mi programa académico.</t>
  </si>
  <si>
    <t>Cuenta de 14. Considero que el número de docentes al servicio de mi programa académico es suficiente.</t>
  </si>
  <si>
    <t>Cuenta de 15.1. Considero que el tiempo dedicado por los docentes de mi programa académico es adecuado para: LA ENSEÑANZA.</t>
  </si>
  <si>
    <t>Cuenta de 15.2. Considero que el tiempo dedicado por los docentes de mi programa académico es adecuado para: LA INVESTIGACIÓN.</t>
  </si>
  <si>
    <t>Cuenta de 15.3. Considero que el tiempo dedicado por los docentes de mi programa académico es adecuado para: LA PARTICIPACIÓN EN PROYECTOS DIRIGIDOS A LA COMUNIDAD.</t>
  </si>
  <si>
    <t>Cuenta de 16. El plan de estudios formulado en mi programa académico es coherente con las competencias que yo espero fortalecer.</t>
  </si>
  <si>
    <t>Cuenta de 17.1. El programa académico al que pertenezco me brinda las posibilidades necesarias para: DESARROLLAR PROCESOS DE INVESTIGACIÓN.</t>
  </si>
  <si>
    <t>Cuenta de 17.2. El programa académico al que pertenezco me brinda las posibilidades necesarias para: FORMAR UN PENSAMIENTO CRÍTICO Y ÉTICO.</t>
  </si>
  <si>
    <t>Cuenta de 17.3. El programa académico al que pertenezco me brinda las posibilidades necesarias para: GENERAR CONOCIMIENTO AL SERVICIO DE LA SOCIEDAD.</t>
  </si>
  <si>
    <t>Cuenta de 17.4. El programa académico al que pertenezco me brinda las posibilidades necesarias para: SER PARTE ACTIVA Y PARTICIPATIVA EN LA CULTURA CIUDADANA.</t>
  </si>
  <si>
    <t>Cuenta de 17.5. El programa académico al que pertenezco me brinda las posibilidades necesarias para: DESARROLLAR TEXTOS QUE ARGUMENTEN OPINIONES Y/O CONCEPTOS.</t>
  </si>
  <si>
    <t xml:space="preserve">Cuenta de 18. El plan de estudios me permite cursar espacios académicos electivos en diversas áreas. </t>
  </si>
  <si>
    <t>Cuenta de 19. El menú de asignaturas electivas despierta en mi interés profesional y personal.</t>
  </si>
  <si>
    <t>Cuenta de 20. En mi programa académico existe proyectos de investigación con participación de personas de distintas áreas del conocimiento.</t>
  </si>
  <si>
    <t>Cuenta de 21. Los proyectos de grado pueden realizarse con intervención de estudiantes de diferentes programas académicos.</t>
  </si>
  <si>
    <t>Cuenta de 22. Puedo inscribir espacios académicos en otros programas académicos.</t>
  </si>
  <si>
    <t>Cuenta de 23. Puedo inscribir espacios académicos en otras Instituciones y homologarlas en mi programa académico.</t>
  </si>
  <si>
    <t xml:space="preserve">Cuenta de 24. En mi programa académico existen espacios académicos en donde se inscriben estudiantes de diferentes programas. </t>
  </si>
  <si>
    <t>Cuenta de 25. En mi programa académico existen cursos de interés para los estudiantes de otros programas académicos de la Facultad Tecnológica y de la Universidad Distrital Francisco José de Caldas.</t>
  </si>
  <si>
    <t xml:space="preserve">Cuenta de 26. Mi programa académico incentiva las actividades y proyectos extra clase que los estudiantes realizan. </t>
  </si>
  <si>
    <t>Cuenta de 27. Las estrategias didácticas empleadas en mi programa académico me permiten adquirir los conocimientos característicos de la profesión que escogí.</t>
  </si>
  <si>
    <t>Cuenta de 28. El plan de estudios de mi programa académico se desarrolla empleando estrategias didácticas diversas.</t>
  </si>
  <si>
    <t>Cuenta de 29. Me siento a gusto con las estrategias de enseñanza utilizadas en mi programa académico.</t>
  </si>
  <si>
    <t>Cuenta de 30. Los docentes de mi programa académico cumplen con el contenido propuesto para los espacios académicos en cada semestre.</t>
  </si>
  <si>
    <t>Cuenta de 31. Me siento a gusto con las estrategias de enseñanza utilizadas en mi programa académico.</t>
  </si>
  <si>
    <t>Cuenta de 32. Conozco las diferencias entre los programas de formación en ingeniería por ciclos y los programas de ingeniería tradicional.</t>
  </si>
  <si>
    <t>Cuenta de 33. Tengo claro qué es y para qué sirve el componente propedéutico en un programa de ingeniería por ciclos.</t>
  </si>
  <si>
    <t>Cuenta de 34. Considero que ser tecnólogo me brinda oportunidades para vincularme en el mercado laboral.</t>
  </si>
  <si>
    <t xml:space="preserve">Cuenta de 35. Ser ingeniero mejora las condiciones laborales del tecnólogo. </t>
  </si>
  <si>
    <t xml:space="preserve">Cuenta de 36. Mi proyecto de vida me motiva o me motivó a continuar con mis estudios de ingeniería. </t>
  </si>
  <si>
    <t xml:space="preserve">Cuenta de 37. Considero o consideré atractivo la posibilidad de cursar una ingeniería en otra área del conocimiento. </t>
  </si>
  <si>
    <t>Cuenta de 38. Las evaluaciones practicadas en los diferentes espacios académicos son adecuadas e imparciales.</t>
  </si>
  <si>
    <t>Cuenta de 39. Las reglas de evaluación están claramente definidas en el estatuto estudiantil.</t>
  </si>
  <si>
    <t>Cuenta de 40. Los temas de los trabajos desarrollados en los espacios académicos despiertan mi interés personal y profesional.</t>
  </si>
  <si>
    <t>Cuenta de 41. Los objetivos de cada uno de los espacios académicos son coherentes con los trabajos de aula solicitados por los docentes.</t>
  </si>
  <si>
    <t>Cuenta de 42. Conozco los procesos para la evaluación periódica de la pertinencia y calidad del programa académico al cual pertenezco.</t>
  </si>
  <si>
    <t>Cuenta de 43. He participado en procesos para la evaluación periódica de la pertinencia y calidad del programa académico al cual pertenezco.</t>
  </si>
  <si>
    <t>Cuenta de 44. Puedo identificar mejoras realizadas  en mi programa académico durante el último año.</t>
  </si>
  <si>
    <t>Cuenta de 45. Conozco proyectos dirigidos a la comunidad y liderados por mi programa académico.</t>
  </si>
  <si>
    <t>Cuenta de 46. He participado en proyectos dirigidos a la comunidad y liderados por el programa académico.</t>
  </si>
  <si>
    <t>Cuenta de 47. Desde mi programa académico se ayuda a resolver problemas de la comunidad.</t>
  </si>
  <si>
    <t>Cuenta de 48.1. Considero que el material bibliográfico es: SUFICIENTE.</t>
  </si>
  <si>
    <t>Cuenta de 48.2. Considero que el material bibliográfico es: ADECUADO.</t>
  </si>
  <si>
    <t>Cuenta de 48.3. Considero que el material bibliográfico es: ACTUALIZADO.</t>
  </si>
  <si>
    <t>Cuenta de 49.1. Considero que los computadores y software disponibles en mi programa académico son: SUFICIENTE.</t>
  </si>
  <si>
    <t>Cuenta de 49.2. Considero que los computadores y software disponibles en mi programa académico son: ADECUADO.</t>
  </si>
  <si>
    <t>Cuenta de 49.3. Considero que los computadores y software disponibles en mi programa académico son: ACTUALIZADO.</t>
  </si>
  <si>
    <t>Cuenta de 50. Durante el desarrollo de las clases se hace un adecuado uso de las herramientas poseídas por la Universidad Distrital Francisco José de Caldas tales como: laboratorios, talleres y medios audiovisuales.</t>
  </si>
  <si>
    <t>Cuenta de 51.1. Considero que los laboratorios y talleres disponibles en mi programa académico son: SUFICIENTES.</t>
  </si>
  <si>
    <t>Cuenta de 51.2. Considero que los laboratorios y talleres disponibles en mi programa académico son: ADECUADOS.</t>
  </si>
  <si>
    <t>Cuenta de 51.3. Considero que los laboratorios y talleres disponibles en mi programa académico son: ACTUALIZADOS.</t>
  </si>
  <si>
    <t>Cuenta de 51.4. Considero que los laboratorios y talleres disponibles en mi programa académico son: APOYADOS POR PERSONAL DEBIDAMENTE CAPACITADO.</t>
  </si>
  <si>
    <t>Cuenta de 51.5. Considero que los laboratorios y talleres disponibles en mi programa académico son: VENTILADOS.</t>
  </si>
  <si>
    <t>Cuenta de 51.6. Considero que los laboratorios y talleres disponibles en mi programa académico son: ILUMINADOS.</t>
  </si>
  <si>
    <t>Cuenta de 51.7. Considero que los laboratorios y talleres disponibles en mi programa académico son: DISEÑADOS SEGÚN NORMAS DE SEGURIDAD.</t>
  </si>
  <si>
    <t>Cuenta de 52.1. Considero que los materiales de apoyo audiovisual son: SUFICIENTES.</t>
  </si>
  <si>
    <t>Cuenta de 52.2. Considero que los materiales de apoyo audiovisual son: ADECUADOS.</t>
  </si>
  <si>
    <t>Cuenta de 52.3. Considero que los materiales de apoyo audiovisual son: ACTUALIZADOS.</t>
  </si>
  <si>
    <t>Cuenta de 52.4. Considero que los materiales de apoyo audiovisual son: SOPORTADOS POR PERSONAL DEBIDAMENTE CAPACITADO.</t>
  </si>
  <si>
    <t>Cuenta de 53. Mi programa académico promueve la participación en proyectos de investigación.</t>
  </si>
  <si>
    <t xml:space="preserve">Cuenta de 54. Mi programa académico dispone de los recursos que necesito para desarrollar mis trabajos de investigación. </t>
  </si>
  <si>
    <t>Cuenta de 55. Participo o he participado en grupos y redes académicas externas a la Universidad Distrital Francisco José de Caldas.</t>
  </si>
  <si>
    <t>Cuenta de 56. Considero que los servicios o actividades ofrecidas por Bienestar Institucional contribuyen a mi desarrollo personal y profesional.</t>
  </si>
  <si>
    <t>Cuenta de 57.1. Considero que los servicios de bienestar son: SUFICIENTE.</t>
  </si>
  <si>
    <t>Cuenta de 57.2. Considero que los servicios de bienestar son: ADECUADO.</t>
  </si>
  <si>
    <t>Cuenta de 57.3. Considero que los servicios de bienestar son: ACCESIBLES.</t>
  </si>
  <si>
    <t xml:space="preserve">Cuenta de 58. Mi experiencia en éste programa académico me motiva a continuar en mi programa académico.  </t>
  </si>
  <si>
    <t xml:space="preserve">Cuenta de 59. Puedo terminar mi pregrado en el tiempo establecido por mi programa académico. </t>
  </si>
  <si>
    <t xml:space="preserve">Cuenta de 60. Las alternativas de grado actuales me permitirán terminar mis estudios en el tiempo previsto. </t>
  </si>
  <si>
    <t xml:space="preserve">Cuenta de 61. Considero que la atención por parte del personal administrativo de mi programa académico es idónea. </t>
  </si>
  <si>
    <t>Cuenta de 62.1. La organización, administración y gestión de mi programa académico permite cumplir los objetivos de: DESARROLLO REGULAR DE LOS ESPACIOS Y DE LOS SEMESTRES ACADÉMICOS.</t>
  </si>
  <si>
    <t>Cuenta de 62.2. La organización, administración y gestión de mi programa académico permite cumplir los objetivos de: PROMOCIÓN DE LA CULTURA DE LA INVESTIGACIÓN.</t>
  </si>
  <si>
    <t>Cuenta de 62.3. La organización, administración y gestión de mi programa académico permite cumplir los objetivos de: INTEGRACIÓN CON LA COMUNIDAD Y CON EL ENTORNO.</t>
  </si>
  <si>
    <t xml:space="preserve">Cuenta de 63. Puedo identificar las personas que desarrollan la representación estudiantil en mi programa académico. </t>
  </si>
  <si>
    <t>Cuenta de 64. Considero que la representación estudiantil cumple su papel de comunicación entre los directivos y los estudiantes.</t>
  </si>
  <si>
    <t xml:space="preserve">Cuenta de 65. Los representantes estudiantiles han liderado propuestas para el mejoramiento de mi programa académico. </t>
  </si>
  <si>
    <t>Cuenta de 66.1. Considero que los sistemas de información empleados por mi programa académico son: VERACES.</t>
  </si>
  <si>
    <t>Cuenta de 66.2. Considero que los sistemas de información empleados por mi programa académico son: OPORTUNOS.</t>
  </si>
  <si>
    <t>Cuenta de 67.1. Considero que los medios empleados para la difusión de información de mi programa académico son: VERACES.</t>
  </si>
  <si>
    <t>Cuenta de 67.2. Considero que los medios empleados para la difusión de información de mi programa académico son: OPORTUNOS.</t>
  </si>
  <si>
    <t xml:space="preserve">Cuenta de 68. Considero que las orientaciones de los directivos de mi programa académico son adecuadas. </t>
  </si>
  <si>
    <t>Cuenta de 69. Considero que el liderazgo ejercido por los directivos de mi programa académico es idóneo.</t>
  </si>
  <si>
    <t>Cuenta de 70.1. Considero que la planta física de mi programa académico es: ADECUADA.</t>
  </si>
  <si>
    <t>Cuenta de 70.2. Considero que la planta física de mi programa académico es: SUFICIENTE.</t>
  </si>
  <si>
    <t>Cuenta de 70.3. Considero que la planta física de mi programa académico es: CONSERVADA.</t>
  </si>
  <si>
    <t>Total</t>
  </si>
  <si>
    <t>17.4</t>
  </si>
  <si>
    <t>17.5</t>
  </si>
  <si>
    <t>48.1</t>
  </si>
  <si>
    <t>48.2</t>
  </si>
  <si>
    <t>48.3</t>
  </si>
  <si>
    <t>49.1</t>
  </si>
  <si>
    <t>49.2</t>
  </si>
  <si>
    <t>49.3</t>
  </si>
  <si>
    <t>51.1</t>
  </si>
  <si>
    <t>51.2</t>
  </si>
  <si>
    <t>51.3</t>
  </si>
  <si>
    <t>51.4</t>
  </si>
  <si>
    <t>51.5</t>
  </si>
  <si>
    <t>51.6</t>
  </si>
  <si>
    <t>51.7</t>
  </si>
  <si>
    <t>52.1</t>
  </si>
  <si>
    <t>52.2</t>
  </si>
  <si>
    <t>52.3</t>
  </si>
  <si>
    <t>52.4</t>
  </si>
  <si>
    <t>62.1</t>
  </si>
  <si>
    <t>62.2</t>
  </si>
  <si>
    <t>62.3</t>
  </si>
  <si>
    <t>66.1</t>
  </si>
  <si>
    <t>66.2</t>
  </si>
  <si>
    <t>70.1</t>
  </si>
  <si>
    <t>70.2</t>
  </si>
  <si>
    <t>70.3</t>
  </si>
  <si>
    <t>NOMBRE COMPLETO</t>
  </si>
  <si>
    <t>NÚMERO DE IDENTIFICACIÓN</t>
  </si>
  <si>
    <t>TIPO DE VINCULACIÓN</t>
  </si>
  <si>
    <t>CATEGORÍA</t>
  </si>
  <si>
    <t>ÚLTIMO TITULO POSGRADUAL OBTENIDO</t>
  </si>
  <si>
    <t>UNIVERSIDAD DONDE OBTUVO ESTE TÍTULO</t>
  </si>
  <si>
    <t>FECHA ESTIMADA VINCULACIÓN A LA UD</t>
  </si>
  <si>
    <t>CORREO ELECTRÓNICO</t>
  </si>
  <si>
    <t>PROGRAMA EN EL CUAL PRESTA SUS SERVICIOS</t>
  </si>
  <si>
    <t>1. Conozco la misión de la Universidad Distrital Francisco José de Caldas.</t>
  </si>
  <si>
    <t>2. Me siento identificado con la misión de la Universidad Distrital Francisco José de Caldas.</t>
  </si>
  <si>
    <t>3. Considero que la Universidad Distrital Francisco José de Caldas es una alternativa real para acceder al conocimiento por parte de la población bogotana de menores ingresos.</t>
  </si>
  <si>
    <t>4. Considero que la Universidad Distrital Francisco José de Caldas desarrolla una educación de alta calidad con capacidad de responder a los retos del Distrito Capital y del país.</t>
  </si>
  <si>
    <t>5. Conozco el proyecto educativo (PEP) del programa académico al cual pertenezco.</t>
  </si>
  <si>
    <t>6. He participado en la elaboración, discusión y actualización del Proyecto Educativo de Programa.</t>
  </si>
  <si>
    <t>7. Considero que el proceso de admisión a cada uno de los niveles de formación de los programas académicos por ciclos es el apropiado.</t>
  </si>
  <si>
    <t>8. Considero que el proceso de admisión de estudiantes a los programas de la Facultad Tecnológica es transparente y equitativo.</t>
  </si>
  <si>
    <t>9. Me siento cómodo con el número de estudiantes que se inscriben en los diferentes espacios académicos que lidero.</t>
  </si>
  <si>
    <t>10. Considero que los principales reglamentos de la Universidad Distrital son apropiados.</t>
  </si>
  <si>
    <t>11. Considero que en el programa académico al cual pertenezco se aplican debidamente las normas establecidas en los reglamentos estudiantil y académico.</t>
  </si>
  <si>
    <t>12. Considero que el proceso de selección y vinculación de docentes DE PLANTA a la Universidad Distrital Francisco José de Caldas es trasparente y equitativo.</t>
  </si>
  <si>
    <t>13. Considero que el proceso de selección y vinculación de docentes OCASIONALES a la Universidad Distrital Francisco José de Caldas es trasparente y equitativo.</t>
  </si>
  <si>
    <t>14. Conozco los criterios académicos establecidos para definir la permanencia de los docentes en la Universidad Distrital Francisco José de Caldas.</t>
  </si>
  <si>
    <t>15. Considero que en el programa académico al cual pertenezco se aplican debidamente las normas establecidas en el estatuto docente.</t>
  </si>
  <si>
    <t>16. Considero que el estatuto docente es pertinente y es vigente.</t>
  </si>
  <si>
    <t>17. Conozco los procedimientos para hacer parte de los órganos de dirección del programa académico al cual pertenezco, de la Facultad Tecnológica y de la Universidad Distrital Francisco José de Caldas.</t>
  </si>
  <si>
    <t>18. Considero que el número de docentes de tiempo completo al servicio del programa académico al cual pertenezco es suficiente.</t>
  </si>
  <si>
    <t>19.1. Considero que el tiempo que dedico a las siguientes actividades es suficiente: A LA DOCENCIA</t>
  </si>
  <si>
    <t>19.2. Considero que el tiempo que dedico a las siguientes actividades es suficiente: A LA INVESTIGACIÓN</t>
  </si>
  <si>
    <t>19.3. Considero que el tiempo que dedico a las siguientes actividades es suficiente: A LA PARTICIPACIÓN EN PROYECTOS DE EXTENSIÓN.</t>
  </si>
  <si>
    <t>20. Considero que el tiempo de dedicación que los profesores de vinculación especial (TCO, MTO y HC) en actividades de consejería, atención a estudiantes y corrección de trabajos de grado es adecuado.</t>
  </si>
  <si>
    <t>21. Conozco los procedimientos para acceder a los apoyos económicos institucionales para participar en actividades de formación o actualización.</t>
  </si>
  <si>
    <t>22. Considero que el programa académico al cual pertenezco controla la participación de los docentes en actividades de actualización o capacitación acordes con las necesidades y objetivos colectivos.</t>
  </si>
  <si>
    <t>23. Considero que el sistema de bonificaciones y el de asignación de puntos salariales para los profesores de planta es transparente.</t>
  </si>
  <si>
    <t>24. Considero que la Universidad Distrital Francisco José de Caldas y el programa académico al cual pertenezco incentivan la producción de material de enseñanza (libros de texto, objetos de aprendizaje, material didáctico).</t>
  </si>
  <si>
    <t xml:space="preserve">25. Considero que el contenido de la evaluación docente está acorde con los requerimientos del proyecto educativo del programa académico al cual pertenezco. </t>
  </si>
  <si>
    <t>26. El programa académico al cual pertenezco me da a conocer los resultados de la evaluación docente de cada periodo académico.</t>
  </si>
  <si>
    <t xml:space="preserve">27. El programa académico al cual pertenezco utiliza los resultados de la evaluación docente para implementar acciones de mejora. </t>
  </si>
  <si>
    <t>28. El plan de estudios del programa académico al cual pertenezco es coherente con el perfil profesional y ocupacional que se espera alcanzar.</t>
  </si>
  <si>
    <t xml:space="preserve">29. El plan de estudios del programa académico al cual pertenezco permite desarrollar en los estudiantes competencias investigativas. </t>
  </si>
  <si>
    <t xml:space="preserve">30. El plan de estudios del programa académico al cual pertenezco permite desarrollar en los estudiantes competencias para la comprensión del contexto. </t>
  </si>
  <si>
    <t>31. El programa académico al cual pertenezco incentiva el desarrollo de proyectos de investigación con participación interdisciplinaria.</t>
  </si>
  <si>
    <t>32. El programa académico al cual pertenezco incentiva el desarrollo de proyectos de grado con participación interdisciplinaria.</t>
  </si>
  <si>
    <t xml:space="preserve">33. El plan de estudios del programa académico al cual pertenezco ofrece la suficiente variedad de espacios académicos electivos. </t>
  </si>
  <si>
    <t xml:space="preserve">34. El programa académico al cual pertenezco incentiva las actividades y proyectos extra clase realizados por docentes y estudiantes. </t>
  </si>
  <si>
    <t>35. Considero que el programa académico al cual pertenezco se preocupa por evolucionar hacia planes de estudios cada vez más flexibles.</t>
  </si>
  <si>
    <t>36. Considero que el programa académico al cual pertenezco se preocupa permanentemente por la actualización de los contenidos programáticos de los diferentes espacios académicos.</t>
  </si>
  <si>
    <t xml:space="preserve">37. Considero que el programa académico al cual pertenezco reflexiona permanentemente sobre los métodos de enseñanza- aprendizaje empleados. </t>
  </si>
  <si>
    <t>38. Conozco las diferencias entre los programas de formación en ingeniería por ciclos y los programas de ingeniería tradicional.</t>
  </si>
  <si>
    <t>39. Tengo claro qué es y para qué sirve el componente propedéutico en un programa de ingeniería por ciclos.</t>
  </si>
  <si>
    <t>40. Considero que ser tecnólogo brinda oportunidades para la vinculación en el mercado laboral.</t>
  </si>
  <si>
    <t xml:space="preserve">41. Considero que ser ingeniero mejora las condiciones laborales del tecnólogo. </t>
  </si>
  <si>
    <t xml:space="preserve">42. Considero que el paso por el nivel de ingeniería  mejora las competencias que se han desarrollado en el nivel tecnológico. </t>
  </si>
  <si>
    <t xml:space="preserve">43. Conozco cuales son los criterios, políticas y reglamentación de la evaluación académica de los estudiantes.  </t>
  </si>
  <si>
    <t xml:space="preserve">44. Considero que los métodos de evaluación empleados en el programa académico al cual pertenezco permiten evaluar la adquisición de competencias profesionales por  los estudiantes. </t>
  </si>
  <si>
    <t>45. El programa académico al cual pertenezco incentiva el desarrollo de trabajos de aula con contenido investigativo.</t>
  </si>
  <si>
    <t>46. Conozco los procesos efectuados para la evaluación periódica de la pertinencia y calidad del programa académico al cual pertenezco.</t>
  </si>
  <si>
    <t>47. He participado en procesos para la evaluación periódica de la pertinencia y calidad del programa académico al cual pertenezco.</t>
  </si>
  <si>
    <t>48. Puedo identificar mejoras realizadas en el programa académico al cual pertenezco durante el último año.</t>
  </si>
  <si>
    <t>49. He participado en proyectos dirigidos a la comunidad y liderados por el programa académico al cual pertenezco.</t>
  </si>
  <si>
    <t>50. Considero que el programa académico al cual pertenezco ejecuta proyectos y ayuda a resolver problemas del entorno inmediato.</t>
  </si>
  <si>
    <t>51.1. Considero que el material bibliográfico a disposición del programa académico al cual pertenezco es: SUFICIENTE</t>
  </si>
  <si>
    <t>51.2. Considero que el material bibliográfico a disposición del programa académico al cual pertenezco es: ADECUADO</t>
  </si>
  <si>
    <t>51.3. Considero que el material bibliográfico a disposición del programa académico al cual pertenezco es: ACTUALIZADO</t>
  </si>
  <si>
    <t>52.1. Considero que los computadores y software disponibles en el programa académico al cual pertenezco son: SUFICIENTE</t>
  </si>
  <si>
    <t>52.2. Considero que los computadores y software disponibles en el programa académico al cual pertenezco son: ADECUADO</t>
  </si>
  <si>
    <t>52.3. Considero que los computadores y software disponibles en el programa académico al cual pertenezco son: ACTUALIZADO</t>
  </si>
  <si>
    <t>53.1. Considero que los laboratorios y talleres disponibles en el programa académico al cual pertenezco son: SUFICIENTES</t>
  </si>
  <si>
    <t>53.2. Considero que los laboratorios y talleres disponibles en el programa académico al cual pertenezco son: ADECUADOS</t>
  </si>
  <si>
    <t>53.3. Considero que los laboratorios y talleres disponibles en el programa académico al cual pertenezco son: ACTUALIZADOS</t>
  </si>
  <si>
    <t>53.4. Considero que los laboratorios y talleres disponibles en el programa académico al cual pertenezco son: APOYADOS POR PERSONAL DEBIDAMENTE CAPACITADO</t>
  </si>
  <si>
    <t>53.5. Considero que los laboratorios y talleres disponibles en el programa académico al cual pertenezco son: VENTILADOS</t>
  </si>
  <si>
    <t>53.6. Considero que los laboratorios y talleres disponibles en el programa académico al cual pertenezco son: ILUMINADOS</t>
  </si>
  <si>
    <t>53.7. Considero que los laboratorios y talleres disponibles en el programa académico al cual pertenezco son: DISEÑADOS SEGÚN NORMAS DE SEGURIDAD</t>
  </si>
  <si>
    <t>54.1. Considero que los equipos de apoyo audiovisual a disposición del programa académico al cual pertenezco son: SUFICIENTES</t>
  </si>
  <si>
    <t>54.2. Considero que los equipos de apoyo audiovisual a disposición del programa académico al cual pertenezco son: ADECUADOS</t>
  </si>
  <si>
    <t>54.3. Considero que los equipos de apoyo audiovisual a disposición del programa académico al cual pertenezco son: ACTUALIZADOS</t>
  </si>
  <si>
    <t>54.4. Considero que los equipos de apoyo audiovisual a disposición del programa académico al cual pertenezco son: SOPORTADOS POR PERSONAL DEBIDAMENTE CAPACITADO</t>
  </si>
  <si>
    <t>55. Considero que la institución apoya suficientemente las iniciativas de movilidad académica de los docentes.</t>
  </si>
  <si>
    <t xml:space="preserve">56. Considero que el programa académico al cual pertenezco promueve la participación en grupos de investigación. </t>
  </si>
  <si>
    <t xml:space="preserve">57. El programa académico al cual pertenezco muestra una dinámica de integración a redes académicas externas. </t>
  </si>
  <si>
    <t>58.1. Considero que los servicios de Bienestar Universitario son: SUFICIENTES</t>
  </si>
  <si>
    <t>58.2. Considero que los servicios de Bienestar Universitario son: ADECUADOS</t>
  </si>
  <si>
    <t>58.3. Considero que los servicios de Bienestar Universitario son: ACCESIBLES</t>
  </si>
  <si>
    <t xml:space="preserve">59. Considero que la atención por parte del personal administrativo del programa académico al cual pertenezco es idónea. </t>
  </si>
  <si>
    <t>60.1. La organización, administración y gestión del programa académico al cual pertenezco permite cumplir los objetivos de: DESARROLLO REGULAR DE LOS ESPACIOS Y DE LOS SEMESTRES ACADÉMICOS.</t>
  </si>
  <si>
    <t>60.2. La organización, administración y gestión del programa académico al cual pertenezco permite cumplir los objetivos de: PROMOCIÓN DE LA CULTURA DE LA INVESTIGACIÓN</t>
  </si>
  <si>
    <t>60.3. La organización, administración y gestión del programa académico al cual pertenezco permite cumplir los objetivos de: INTEGRACIÓN CON LA COMUNIDAD Y CON EL ENTORNO.</t>
  </si>
  <si>
    <t>61. Considero que la representación docente cumple su papel de comunicación entre los directivos y los docentes.</t>
  </si>
  <si>
    <t xml:space="preserve">62. Considero que los representantes docentes han liderado propuestas para el mejoramiento del programa académico al cual pertenezco. </t>
  </si>
  <si>
    <t>63. Considero que los sistemas de información empleados por el programa académico al cual pertenezco son efectivos.</t>
  </si>
  <si>
    <t xml:space="preserve">64. Considero que las orientaciones de los directivos del programa académico al cual pertenezco son adecuadas. </t>
  </si>
  <si>
    <t>65. Me entero de las decisiones del Consejo Curricular del programa académico al cual pertenezco.</t>
  </si>
  <si>
    <t>66. Considero que el liderazgo ejercido por los directivos del programa académico al cual pertenezco es idóneo.</t>
  </si>
  <si>
    <t>67.1. Considero que la planta física empleada por el programa académico al cual pertenezco es: ADECUADA</t>
  </si>
  <si>
    <t>67.2. Considero que la planta física empleada por el programa académico al cual pertenezco es: SUFICIENTE</t>
  </si>
  <si>
    <t>67.3. Considero que la planta física empleada por el programa académico al cual pertenezco es: MANTENIDA APROPIADAMENTE.</t>
  </si>
  <si>
    <t>Medio Tiempo Ocasional (MTO)</t>
  </si>
  <si>
    <t>Asistente</t>
  </si>
  <si>
    <t>Planta</t>
  </si>
  <si>
    <t>Titular</t>
  </si>
  <si>
    <t>Maestria</t>
  </si>
  <si>
    <t>Hora Catedra</t>
  </si>
  <si>
    <t>Asociado</t>
  </si>
  <si>
    <t>Tiempo Completo Ocasional (TCO)</t>
  </si>
  <si>
    <t>Doctorado</t>
  </si>
  <si>
    <t>Universidad Nacional de Colombia</t>
  </si>
  <si>
    <t>Hora Cátedra por Honorarios</t>
  </si>
  <si>
    <t>Universidad Distrital</t>
  </si>
  <si>
    <t>Universidad de los Andes</t>
  </si>
  <si>
    <t>Auxiliar</t>
  </si>
  <si>
    <t>jmw2586@hotmail.com</t>
  </si>
  <si>
    <t>Pontificia Universidad Javeriana</t>
  </si>
  <si>
    <t>nnovoat@udistrital.edu.co</t>
  </si>
  <si>
    <t>jovireyesm@yahoo.com</t>
  </si>
  <si>
    <t>Cuenta de 1. Conozco la misión de la Universidad Distrital Francisco José de Caldas.</t>
  </si>
  <si>
    <t>Cuenta de 2. Me siento identificado con la misión de la Universidad Distrital Francisco José de Caldas.</t>
  </si>
  <si>
    <t>Cuenta de 3. Considero que la Universidad Distrital Francisco José de Caldas es una alternativa real para acceder al conocimiento por parte de la población bogotana de menores ingresos.</t>
  </si>
  <si>
    <t>Cuenta de 4. Considero que la Universidad Distrital Francisco José de Caldas desarrolla una educación de alta calidad con capacidad de responder a los retos del Distrito Capital y del país.</t>
  </si>
  <si>
    <t>Cuenta de 5. Conozco el proyecto educativo (PEP) del programa académico al cual pertenezco.</t>
  </si>
  <si>
    <t>Cuenta de 6. He participado en la elaboración, discusión y actualización del Proyecto Educativo de Programa.</t>
  </si>
  <si>
    <t>Cuenta de 7. Considero que el proceso de admisión a cada uno de los niveles de formación de los programas académicos por ciclos es el apropiado.</t>
  </si>
  <si>
    <t>Cuenta de 8. Considero que el proceso de admisión de estudiantes a los programas de la Facultad Tecnológica es transparente y equitativo.</t>
  </si>
  <si>
    <t>Cuenta de 9. Me siento cómodo con el número de estudiantes que se inscriben en los diferentes espacios académicos que lidero.</t>
  </si>
  <si>
    <t>Cuenta de 10. Considero que los principales reglamentos de la Universidad Distrital son apropiados.</t>
  </si>
  <si>
    <t>Cuenta de 11. Considero que en el programa académico al cual pertenezco se aplican debidamente las normas establecidas en los reglamentos estudiantil y académico.</t>
  </si>
  <si>
    <t>Cuenta de 12. Considero que el proceso de selección y vinculación de docentes DE PLANTA a la Universidad Distrital Francisco José de Caldas es trasparente y equitativo.</t>
  </si>
  <si>
    <t>Cuenta de 13. Considero que el proceso de selección y vinculación de docentes OCASIONALES a la Universidad Distrital Francisco José de Caldas es trasparente y equitativo.</t>
  </si>
  <si>
    <t>Cuenta de 14. Conozco los criterios académicos establecidos para definir la permanencia de los docentes en la Universidad Distrital Francisco José de Caldas.</t>
  </si>
  <si>
    <t>Cuenta de 15. Considero que en el programa académico al cual pertenezco se aplican debidamente las normas establecidas en el estatuto docente.</t>
  </si>
  <si>
    <t>Cuenta de 16. Considero que el estatuto docente es pertinente y es vigente.</t>
  </si>
  <si>
    <t>Cuenta de 17. Conozco los procedimientos para hacer parte de los órganos de dirección del programa académico al cual pertenezco, de la Facultad Tecnológica y de la Universidad Distrital Francisco José de Caldas.</t>
  </si>
  <si>
    <t>Cuenta de 18. Considero que el número de docentes de tiempo completo al servicio del programa académico al cual pertenezco es suficiente.</t>
  </si>
  <si>
    <t>Cuenta de 19.1. Considero que el tiempo que dedico a las siguientes actividades es suficiente: A LA DOCENCIA</t>
  </si>
  <si>
    <t>Cuenta de 19.2. Considero que el tiempo que dedico a las siguientes actividades es suficiente: A LA INVESTIGACIÓN</t>
  </si>
  <si>
    <t>Cuenta de 19.3. Considero que el tiempo que dedico a las siguientes actividades es suficiente: A LA PARTICIPACIÓN EN PROYECTOS DE EXTENSIÓN.</t>
  </si>
  <si>
    <t>Cuenta de 20. Considero que el tiempo de dedicación que los profesores de vinculación especial (TCO, MTO y HC) en actividades de consejería, atención a estudiantes y corrección de trabajos de grado es adecuado.</t>
  </si>
  <si>
    <t>(en blanco)</t>
  </si>
  <si>
    <t>Cuenta de 21. Conozco los procedimientos para acceder a los apoyos económicos institucionales para participar en actividades de formación o actualización.</t>
  </si>
  <si>
    <t>Cuenta de 22. Considero que el programa académico al cual pertenezco controla la participación de los docentes en actividades de actualización o capacitación acordes con las necesidades y objetivos colectivos.</t>
  </si>
  <si>
    <t>Cuenta de 23. Considero que el sistema de bonificaciones y el de asignación de puntos salariales para los profesores de planta es transparente.</t>
  </si>
  <si>
    <t>Cuenta de 24. Considero que la Universidad Distrital Francisco José de Caldas y el programa académico al cual pertenezco incentivan la producción de material de enseñanza (libros de texto, objetos de aprendizaje, material didáctico).</t>
  </si>
  <si>
    <t xml:space="preserve">Cuenta de 25. Considero que el contenido de la evaluación docente está acorde con los requerimientos del proyecto educativo del programa académico al cual pertenezco. </t>
  </si>
  <si>
    <t>Cuenta de 26. El programa académico al cual pertenezco me da a conocer los resultados de la evaluación docente de cada periodo académico.</t>
  </si>
  <si>
    <t xml:space="preserve">Cuenta de 27. El programa académico al cual pertenezco utiliza los resultados de la evaluación docente para implementar acciones de mejora. </t>
  </si>
  <si>
    <t>Cuenta de 28. El plan de estudios del programa académico al cual pertenezco es coherente con el perfil profesional y ocupacional que se espera alcanzar.</t>
  </si>
  <si>
    <t xml:space="preserve">Cuenta de 29. El plan de estudios del programa académico al cual pertenezco permite desarrollar en los estudiantes competencias investigativas. </t>
  </si>
  <si>
    <t xml:space="preserve">Cuenta de 30. El plan de estudios del programa académico al cual pertenezco permite desarrollar en los estudiantes competencias para la comprensión del contexto. </t>
  </si>
  <si>
    <t>Cuenta de 31. El programa académico al cual pertenezco incentiva el desarrollo de proyectos de investigación con participación interdisciplinaria.</t>
  </si>
  <si>
    <t>Cuenta de 32. El programa académico al cual pertenezco incentiva el desarrollo de proyectos de grado con participación interdisciplinaria.</t>
  </si>
  <si>
    <t xml:space="preserve">Cuenta de 33. El plan de estudios del programa académico al cual pertenezco ofrece la suficiente variedad de espacios académicos electivos. </t>
  </si>
  <si>
    <t xml:space="preserve">Cuenta de 34. El programa académico al cual pertenezco incentiva las actividades y proyectos extra clase realizados por docentes y estudiantes. </t>
  </si>
  <si>
    <t>Cuenta de 35. Considero que el programa académico al cual pertenezco se preocupa por evolucionar hacia planes de estudios cada vez más flexibles.</t>
  </si>
  <si>
    <t>Cuenta de 36. Considero que el programa académico al cual pertenezco se preocupa permanentemente por la actualización de los contenidos programáticos de los diferentes espacios académicos.</t>
  </si>
  <si>
    <t xml:space="preserve">Cuenta de 37. Considero que el programa académico al cual pertenezco reflexiona permanentemente sobre los métodos de enseñanza- aprendizaje empleados. </t>
  </si>
  <si>
    <t>Cuenta de 38. Conozco las diferencias entre los programas de formación en ingeniería por ciclos y los programas de ingeniería tradicional.</t>
  </si>
  <si>
    <t>Cuenta de 39. Tengo claro qué es y para qué sirve el componente propedéutico en un programa de ingeniería por ciclos.</t>
  </si>
  <si>
    <t>Cuenta de 40. Considero que ser tecnólogo brinda oportunidades para la vinculación en el mercado laboral.</t>
  </si>
  <si>
    <t xml:space="preserve">Cuenta de 41. Considero que ser ingeniero mejora las condiciones laborales del tecnólogo. </t>
  </si>
  <si>
    <t xml:space="preserve">Cuenta de 42. Considero que el paso por el nivel de ingeniería  mejora las competencias que se han desarrollado en el nivel tecnológico. </t>
  </si>
  <si>
    <t xml:space="preserve">Cuenta de 43. Conozco cuales son los criterios, políticas y reglamentación de la evaluación académica de los estudiantes.  </t>
  </si>
  <si>
    <t xml:space="preserve">Cuenta de 44. Considero que los métodos de evaluación empleados en el programa académico al cual pertenezco permiten evaluar la adquisición de competencias profesionales por  los estudiantes. </t>
  </si>
  <si>
    <t>Cuenta de 45. El programa académico al cual pertenezco incentiva el desarrollo de trabajos de aula con contenido investigativo.</t>
  </si>
  <si>
    <t>Cuenta de 46. Conozco los procesos efectuados para la evaluación periódica de la pertinencia y calidad del programa académico al cual pertenezco.</t>
  </si>
  <si>
    <t>Cuenta de 47. He participado en procesos para la evaluación periódica de la pertinencia y calidad del programa académico al cual pertenezco.</t>
  </si>
  <si>
    <t>Cuenta de 48. Puedo identificar mejoras realizadas en el programa académico al cual pertenezco durante el último año.</t>
  </si>
  <si>
    <t>Cuenta de 49. He participado en proyectos dirigidos a la comunidad y liderados por el programa académico al cual pertenezco.</t>
  </si>
  <si>
    <t>Cuenta de 50. Considero que el programa académico al cual pertenezco ejecuta proyectos y ayuda a resolver problemas del entorno inmediato.</t>
  </si>
  <si>
    <t>Cuenta de 51.1. Considero que el material bibliográfico a disposición del programa académico al cual pertenezco es: SUFICIENTE</t>
  </si>
  <si>
    <t>Cuenta de 51.2. Considero que el material bibliográfico a disposición del programa académico al cual pertenezco es: ADECUADO</t>
  </si>
  <si>
    <t>Cuenta de 51.3. Considero que el material bibliográfico a disposición del programa académico al cual pertenezco es: ACTUALIZADO</t>
  </si>
  <si>
    <t>Cuenta de 52.1. Considero que los computadores y software disponibles en el programa académico al cual pertenezco son: SUFICIENTE</t>
  </si>
  <si>
    <t>Cuenta de 52.2. Considero que los computadores y software disponibles en el programa académico al cual pertenezco son: ADECUADO</t>
  </si>
  <si>
    <t>Cuenta de 52.3. Considero que los computadores y software disponibles en el programa académico al cual pertenezco son: ACTUALIZADO</t>
  </si>
  <si>
    <t>Cuenta de 53.1. Considero que los laboratorios y talleres disponibles en el programa académico al cual pertenezco son: SUFICIENTES</t>
  </si>
  <si>
    <t>Cuenta de 53.2. Considero que los laboratorios y talleres disponibles en el programa académico al cual pertenezco son: ADECUADOS</t>
  </si>
  <si>
    <t>Cuenta de 53.3. Considero que los laboratorios y talleres disponibles en el programa académico al cual pertenezco son: ACTUALIZADOS</t>
  </si>
  <si>
    <t>Cuenta de 53.4. Considero que los laboratorios y talleres disponibles en el programa académico al cual pertenezco son: APOYADOS POR PERSONAL DEBIDAMENTE CAPACITADO</t>
  </si>
  <si>
    <t>Cuenta de 53.5. Considero que los laboratorios y talleres disponibles en el programa académico al cual pertenezco son: VENTILADOS</t>
  </si>
  <si>
    <t>Cuenta de 53.6. Considero que los laboratorios y talleres disponibles en el programa académico al cual pertenezco son: ILUMINADOS</t>
  </si>
  <si>
    <t>Cuenta de 53.7. Considero que los laboratorios y talleres disponibles en el programa académico al cual pertenezco son: DISEÑADOS SEGÚN NORMAS DE SEGURIDAD</t>
  </si>
  <si>
    <t>Cuenta de 54.1. Considero que los equipos de apoyo audiovisual a disposición del programa académico al cual pertenezco son: SUFICIENTES</t>
  </si>
  <si>
    <t>Cuenta de 54.2. Considero que los equipos de apoyo audiovisual a disposición del programa académico al cual pertenezco son: ADECUADOS</t>
  </si>
  <si>
    <t>Cuenta de 54.3. Considero que los equipos de apoyo audiovisual a disposición del programa académico al cual pertenezco son: ACTUALIZADOS</t>
  </si>
  <si>
    <t>Cuenta de 54.4. Considero que los equipos de apoyo audiovisual a disposición del programa académico al cual pertenezco son: SOPORTADOS POR PERSONAL DEBIDAMENTE CAPACITADO</t>
  </si>
  <si>
    <t>Cuenta de 55. Considero que la institución apoya suficientemente las iniciativas de movilidad académica de los docentes.</t>
  </si>
  <si>
    <t xml:space="preserve">Cuenta de 56. Considero que el programa académico al cual pertenezco promueve la participación en grupos de investigación. </t>
  </si>
  <si>
    <t xml:space="preserve">Cuenta de 57. El programa académico al cual pertenezco muestra una dinámica de integración a redes académicas externas. </t>
  </si>
  <si>
    <t>Cuenta de 58.1. Considero que los servicios de Bienestar Universitario son: SUFICIENTES</t>
  </si>
  <si>
    <t>Cuenta de 58.2. Considero que los servicios de Bienestar Universitario son: ADECUADOS</t>
  </si>
  <si>
    <t>Cuenta de 58.3. Considero que los servicios de Bienestar Universitario son: ACCESIBLES</t>
  </si>
  <si>
    <t xml:space="preserve">Cuenta de 59. Considero que la atención por parte del personal administrativo del programa académico al cual pertenezco es idónea. </t>
  </si>
  <si>
    <t>Cuenta de 60.1. La organización, administración y gestión del programa académico al cual pertenezco permite cumplir los objetivos de: DESARROLLO REGULAR DE LOS ESPACIOS Y DE LOS SEMESTRES ACADÉMICOS.</t>
  </si>
  <si>
    <t>Cuenta de 60.2. La organización, administración y gestión del programa académico al cual pertenezco permite cumplir los objetivos de: PROMOCIÓN DE LA CULTURA DE LA INVESTIGACIÓN</t>
  </si>
  <si>
    <t>Cuenta de 60.3. La organización, administración y gestión del programa académico al cual pertenezco permite cumplir los objetivos de: INTEGRACIÓN CON LA COMUNIDAD Y CON EL ENTORNO.</t>
  </si>
  <si>
    <t>Cuenta de 61. Considero que la representación docente cumple su papel de comunicación entre los directivos y los docentes.</t>
  </si>
  <si>
    <t xml:space="preserve">Cuenta de 62. Considero que los representantes docentes han liderado propuestas para el mejoramiento del programa académico al cual pertenezco. </t>
  </si>
  <si>
    <t>Cuenta de 63. Considero que los sistemas de información empleados por el programa académico al cual pertenezco son efectivos.</t>
  </si>
  <si>
    <t xml:space="preserve">Cuenta de 64. Considero que las orientaciones de los directivos del programa académico al cual pertenezco son adecuadas. </t>
  </si>
  <si>
    <t>Cuenta de 65. Me entero de las decisiones del Consejo Curricular del programa académico al cual pertenezco.</t>
  </si>
  <si>
    <t>Cuenta de 66. Considero que el liderazgo ejercido por los directivos del programa académico al cual pertenezco es idóneo.</t>
  </si>
  <si>
    <t>Cuenta de 67.1. Considero que la planta física empleada por el programa académico al cual pertenezco es: ADECUADA</t>
  </si>
  <si>
    <t>Cuenta de 67.2. Considero que la planta física empleada por el programa académico al cual pertenezco es: SUFICIENTE</t>
  </si>
  <si>
    <t>Cuenta de 67.3. Considero que la planta física empleada por el programa académico al cual pertenezco es: MANTENIDA APROPIADAMENTE.</t>
  </si>
  <si>
    <t>53.1</t>
  </si>
  <si>
    <t>53.2</t>
  </si>
  <si>
    <t>53.3</t>
  </si>
  <si>
    <t>53.4</t>
  </si>
  <si>
    <t>53.5</t>
  </si>
  <si>
    <t>53.6</t>
  </si>
  <si>
    <t>53.7</t>
  </si>
  <si>
    <t>54.4</t>
  </si>
  <si>
    <t>60.1</t>
  </si>
  <si>
    <t>60.2</t>
  </si>
  <si>
    <t>60.3</t>
  </si>
  <si>
    <t>NOMBRE</t>
  </si>
  <si>
    <t>APELLIDOS</t>
  </si>
  <si>
    <t>NÚMERO DE DOCUMENTO</t>
  </si>
  <si>
    <t>TIPO DE CONTRATO</t>
  </si>
  <si>
    <t>DEPENDENCIA</t>
  </si>
  <si>
    <t>3. Considero que la Universidad Distrital Francisco José de Caldas es una alternativa real para acceder al conocimiento por parte de los mejores egresados de la educación media de Bogotá con menores ingresos.</t>
  </si>
  <si>
    <t>5. Conozco el Proyecto Educativo (PEP) de los programas académicos con los cuales me he relacionado.</t>
  </si>
  <si>
    <t>6. Conozco las diferencias entre los programas de formación en ingeniería por ciclos y los programas de ingeniería tradicional.</t>
  </si>
  <si>
    <t>7. Tengo claro qué es y para qué sirve el componente propedéutico en un programa de ingeniería por ciclos.</t>
  </si>
  <si>
    <t>8. Conozco los procesos efectuados para la evaluación periódica de la pertinencia y calidad de los programas académicos con los cuales me he relacionado.</t>
  </si>
  <si>
    <t>9. He participado en procesos para la evaluación periódica de la pertinencia y calidad de los programas académicos con los cuales me he relacionado.</t>
  </si>
  <si>
    <t>10.1. Considero que los laboratorios y talleres disponibles de los programas académicos con los cuales me he relacionado son: SUFICIENTES.</t>
  </si>
  <si>
    <t>10.2. Considero que los laboratorios y talleres disponibles de los programas académicos con los cuales me he relacionado son: ADECUADOS.</t>
  </si>
  <si>
    <t>10.3. Considero que los laboratorios y talleres disponibles de los programas académicos con los cuales me he relacionado son: ACTUALIZADOS.</t>
  </si>
  <si>
    <t>10.4. Considero que los laboratorios y talleres disponibles de los programas académicos con los cuales me he relacionado son: APOYADOS POR PERSONAL DEBIDAMENTE CAPACITADO.</t>
  </si>
  <si>
    <t>10.5. Considero que los laboratorios y talleres disponibles de los programas académicos con los cuales me he relacionado son: VENTILADOS.</t>
  </si>
  <si>
    <t>10.6. Considero que los laboratorios y talleres disponibles de los programas académicos con los cuales me he relacionado son: ILUMINADOS</t>
  </si>
  <si>
    <t>10.7. Considero que los laboratorios y talleres disponibles de los programas académicos con los cuales me he relacionado son: DISEÑADOS SEGÚN NORMAS DE SEGURIDAD.</t>
  </si>
  <si>
    <t>11.1. Considero que los equipos de apoyo audiovisual a disposición de los programas académicos con los cuales me he relacionado son: SUFICIENTES.</t>
  </si>
  <si>
    <t>11.2. Considero que los equipos de apoyo audiovisual a disposición de los programas académicos con los cuales me he relacionado son: ADECUADOS.</t>
  </si>
  <si>
    <t>11.3. Considero que los equipos de apoyo audiovisual a disposición de los programas académicos con los cuales me he relacionado son: ACTUALIZADOS.</t>
  </si>
  <si>
    <t>11.4. Considero que los equipos de apoyo audiovisual a disposición de los programas académicos con los cuales me he relacionado son: SOPORTADOS POR PERSONAL DEBIDAMENTE CAPACITADO.</t>
  </si>
  <si>
    <t>12.1. Considero que los servicios de Bienestar Universitario son: SUFICIENTES.</t>
  </si>
  <si>
    <t>12.2. Considero que los servicios de Bienestar Universitario son:  ADECUADOS</t>
  </si>
  <si>
    <t>12.3. Considero que los servicios de Bienestar Universitario son: ACCESIBLES.</t>
  </si>
  <si>
    <t>13. Considero que las actividades de Bienestar Universitario contribuyen a mi desarrollo personal.</t>
  </si>
  <si>
    <t>14. Las tareas que me son asignadas corresponden con las necesidades de los programas académicos con los cuales me he relacionado.</t>
  </si>
  <si>
    <t>15. Considero que las funciones a mi cargo fueron debidamente planeadas para el logro de los objetivos de los programas académicos con los cuales me he relacionado.</t>
  </si>
  <si>
    <t>16. Considero que mis funciones me fueron entregadas y notificadas oportunamente.</t>
  </si>
  <si>
    <t>17. Tengo claras las funciones a mi cargo.</t>
  </si>
  <si>
    <t>18. Considero que la representación de los administrativos cumple su papel de comunicación entre los directivos y el personal administrativo.</t>
  </si>
  <si>
    <t>19. Considero que los representantes administrativos han liderado propuestas para el mejoramiento de los programas académicos con los cuales me he relacionado.</t>
  </si>
  <si>
    <t>20. Considero que los sistemas de información empleados por los programas académicos con los cuales me he relacionado son efectivos.</t>
  </si>
  <si>
    <t>21. Considero que los mecanismos de comunicación empleados por los programas académicos con los cuales me he relacionado son efectivos.</t>
  </si>
  <si>
    <t>22. Considero que las orientaciones de los directivos de los programas académicos con los cuales me he relacionado son adecuadas.</t>
  </si>
  <si>
    <t>23. Considero que el liderazgo ejercido por los directivos de los programas académicos con los cuales me he relacionado es idóneo.</t>
  </si>
  <si>
    <t>24.1. Considero que la planta física empleada por los programas académicos con los cuales me he relacionado es: ADECUADA.</t>
  </si>
  <si>
    <t>24.2. Considero que la planta física empleada por los programas académicos con los cuales me he relacionado es: SUFICIENTE.</t>
  </si>
  <si>
    <t>24.3. Considero que la planta física empleada por los programas académicos con los cuales me he relacionado es:. DEBIDAMENTE MANTENIDA.</t>
  </si>
  <si>
    <t>¿Podemos contar con su asistencia al encuentro?</t>
  </si>
  <si>
    <t>¿Cuál es su talla de chaqueta?</t>
  </si>
  <si>
    <t>Norberto</t>
  </si>
  <si>
    <t xml:space="preserve"> Novoa Torres</t>
  </si>
  <si>
    <t>Coordinación Proyectos Curriculares</t>
  </si>
  <si>
    <t>JENNIFER</t>
  </si>
  <si>
    <t>MEDINA WALTEROS</t>
  </si>
  <si>
    <t>CPS</t>
  </si>
  <si>
    <t xml:space="preserve">MARIA ANGELICA </t>
  </si>
  <si>
    <t>RODRIGUEZ TRUJILLO</t>
  </si>
  <si>
    <t>m.angelr72@yahoo.com</t>
  </si>
  <si>
    <t xml:space="preserve">JOSÉ VICENTE </t>
  </si>
  <si>
    <t>REYES MOZO</t>
  </si>
  <si>
    <t>Laboratorios</t>
  </si>
  <si>
    <t>jorge</t>
  </si>
  <si>
    <t>Patiño Perez</t>
  </si>
  <si>
    <t>jorgeptn@gmail.com</t>
  </si>
  <si>
    <t>Diana Carolina</t>
  </si>
  <si>
    <t>Bacca Quiroga</t>
  </si>
  <si>
    <t>dcarobacca@yahoo.es</t>
  </si>
  <si>
    <t xml:space="preserve">HENRY ALBERTO </t>
  </si>
  <si>
    <t>HERNANDEZ MARTINEZ</t>
  </si>
  <si>
    <t>haguit2@hotmail.com</t>
  </si>
  <si>
    <t>KARINA</t>
  </si>
  <si>
    <t>VEGA TOLOSA</t>
  </si>
  <si>
    <t>Decanatura</t>
  </si>
  <si>
    <t>karinavega1106@hotmail.com</t>
  </si>
  <si>
    <t>EDWIN ALEJANDRO</t>
  </si>
  <si>
    <t>AVILA GOMEZ</t>
  </si>
  <si>
    <t>alejandroavila23@yahoo.com</t>
  </si>
  <si>
    <t>DIANA CAROLINA</t>
  </si>
  <si>
    <t>ROJA GARCIA</t>
  </si>
  <si>
    <t>dcrojasg@udistrital.edu.co</t>
  </si>
  <si>
    <t>LILIANA ANDREA</t>
  </si>
  <si>
    <t>RODRÍGUEZ SARMIENTO</t>
  </si>
  <si>
    <t>li_andrea13@hotmail.com</t>
  </si>
  <si>
    <t>MARTHA</t>
  </si>
  <si>
    <t>CABRA  ROJAS</t>
  </si>
  <si>
    <t>martalucic@yahoo.com</t>
  </si>
  <si>
    <t xml:space="preserve">JULY ANDREA </t>
  </si>
  <si>
    <t>ROCHA HERNANDEZ</t>
  </si>
  <si>
    <t>Unidad de Extensión</t>
  </si>
  <si>
    <t>andiiroch@hotmail.com</t>
  </si>
  <si>
    <t>PAOLA BEATRIZ</t>
  </si>
  <si>
    <t>DURAN UHIA</t>
  </si>
  <si>
    <t>duranuhia@hotmail.com</t>
  </si>
  <si>
    <t xml:space="preserve">JUAN CARLOS </t>
  </si>
  <si>
    <t>BENAVIDES</t>
  </si>
  <si>
    <t>jc11093@gmail.com</t>
  </si>
  <si>
    <t>MARIA FERNANDA</t>
  </si>
  <si>
    <t>ECHEVERRY CHABUR</t>
  </si>
  <si>
    <t>Bienestar Institucional</t>
  </si>
  <si>
    <t>mafeche21@yahoo.com</t>
  </si>
  <si>
    <t>CARLOS EDUARDO</t>
  </si>
  <si>
    <t>GUZMAN MUÑOZ</t>
  </si>
  <si>
    <t>guzmancarlos110@gmail.com</t>
  </si>
  <si>
    <t>YACIRA</t>
  </si>
  <si>
    <t>ASPRILLA SALAS</t>
  </si>
  <si>
    <t>melao90@hotmail.com</t>
  </si>
  <si>
    <t>FRANCY LILIANA</t>
  </si>
  <si>
    <t>LÓPEZ ROJAS</t>
  </si>
  <si>
    <t>francylilo@gmail.com</t>
  </si>
  <si>
    <t>DIANA</t>
  </si>
  <si>
    <t>FONTALVO RIVERA</t>
  </si>
  <si>
    <t>ddfontalvor@udistrital.edu.co</t>
  </si>
  <si>
    <t xml:space="preserve">GLORIA </t>
  </si>
  <si>
    <t>RAMIREZ SANCHEZ</t>
  </si>
  <si>
    <t>GLORITABIO@GMAIL.COM</t>
  </si>
  <si>
    <t xml:space="preserve">HÉCTOR MANUEL </t>
  </si>
  <si>
    <t>MARIÑO GÓMEZ</t>
  </si>
  <si>
    <t>hmmarinog@udistrital.edu.co</t>
  </si>
  <si>
    <t>MICHAEL YESID</t>
  </si>
  <si>
    <t>VELANDIA CASTELBLANCO</t>
  </si>
  <si>
    <t>velandiamichael@gmail.com</t>
  </si>
  <si>
    <t>ANDRÉS MAURICIO</t>
  </si>
  <si>
    <t>RODRÍGUEZ FALLA</t>
  </si>
  <si>
    <t>and.rof@hotmail.com</t>
  </si>
  <si>
    <t>HENRY</t>
  </si>
  <si>
    <t>ABELLO VILLARREAL</t>
  </si>
  <si>
    <t>habellov@udistrital.edu.co</t>
  </si>
  <si>
    <t>JOHANNA CAROLINA</t>
  </si>
  <si>
    <t>RODRIGUEZ SUAREZ</t>
  </si>
  <si>
    <t>johannacaro2@yahoo.es</t>
  </si>
  <si>
    <t xml:space="preserve">Ronald </t>
  </si>
  <si>
    <t>González Silva</t>
  </si>
  <si>
    <t>Unidad de Investigación</t>
  </si>
  <si>
    <t>ronaldsilvagonzalez@yahoo.es</t>
  </si>
  <si>
    <t xml:space="preserve">FERNANDA </t>
  </si>
  <si>
    <t xml:space="preserve">ORTIZ ZAMBRANO </t>
  </si>
  <si>
    <t>jullyfer_1001@hotmail.com</t>
  </si>
  <si>
    <t>GLORIA</t>
  </si>
  <si>
    <t>RODRIGUEZ PINZON</t>
  </si>
  <si>
    <t>gloriarodriguez_88@hotmail.com</t>
  </si>
  <si>
    <t>EVELYN ROCIO</t>
  </si>
  <si>
    <t>ESCOBAR MONROY</t>
  </si>
  <si>
    <t>evelynroci669@hotmail.com</t>
  </si>
  <si>
    <t>Claudia</t>
  </si>
  <si>
    <t>Sanchez Orjuela</t>
  </si>
  <si>
    <t>clauditasa@yahoo.com</t>
  </si>
  <si>
    <t>CRISTIAN CAMILO</t>
  </si>
  <si>
    <t>HERRERA VIDAL</t>
  </si>
  <si>
    <t>cristianherr@hotmail.com</t>
  </si>
  <si>
    <t>Juan Carlos</t>
  </si>
  <si>
    <t>Monroy Castro</t>
  </si>
  <si>
    <t>jcmonroycastro@gmail.com</t>
  </si>
  <si>
    <t>DIEGO WILMAR</t>
  </si>
  <si>
    <t>ROMERO VILLALOBOS</t>
  </si>
  <si>
    <t>Dwromerov@gmail.com</t>
  </si>
  <si>
    <t>CARO LOPEZ</t>
  </si>
  <si>
    <t>rhinosjc@hotmail.com</t>
  </si>
  <si>
    <t xml:space="preserve">MAGDA MILENA </t>
  </si>
  <si>
    <t>ACOSTA RODRIGUEZ</t>
  </si>
  <si>
    <t>fetamaher@hotmail.com</t>
  </si>
  <si>
    <t>DORIS</t>
  </si>
  <si>
    <t>SALCEDO GARCIA</t>
  </si>
  <si>
    <t>doris_0227@hot.ail.com</t>
  </si>
  <si>
    <t xml:space="preserve">HELEN JOHANNA </t>
  </si>
  <si>
    <t>PARRA SALGADO</t>
  </si>
  <si>
    <t>Maheny25@hotmail.com</t>
  </si>
  <si>
    <t>OLGA LUCIA</t>
  </si>
  <si>
    <t>MONTILLA RODRIGUEZ</t>
  </si>
  <si>
    <t>Quejas y Reclamos</t>
  </si>
  <si>
    <t>olgalmontillar@hotmail.com</t>
  </si>
  <si>
    <t>FREDY</t>
  </si>
  <si>
    <t>GARZÓN CARREÑO</t>
  </si>
  <si>
    <t>fg_garagoa@yahoo.com</t>
  </si>
  <si>
    <t>DAVID ALEJANDRO</t>
  </si>
  <si>
    <t>AGUILAR ARÉVALO</t>
  </si>
  <si>
    <t>davidalejandroaguilar@outlook.com</t>
  </si>
  <si>
    <t>LUISA FERNANDA</t>
  </si>
  <si>
    <t>VÁSQUEZ OTAVO</t>
  </si>
  <si>
    <t>fernandav_5@hotmail.com</t>
  </si>
  <si>
    <t>MARIAM ELIZABETH</t>
  </si>
  <si>
    <t>VERA MORALES</t>
  </si>
  <si>
    <t>milam24.05@gmail.com</t>
  </si>
  <si>
    <t>Rentería Melo</t>
  </si>
  <si>
    <t>dianarenteria1508@gmail.com</t>
  </si>
  <si>
    <t>DIANA ROCIO</t>
  </si>
  <si>
    <t>RAMIREZ LEGUIZAMON</t>
  </si>
  <si>
    <t>dianarramirezl15@gmail.com</t>
  </si>
  <si>
    <t>Mónica Patricia</t>
  </si>
  <si>
    <t>Vargas Guarnizo</t>
  </si>
  <si>
    <t>vargasmonica87@gmail.com</t>
  </si>
  <si>
    <t xml:space="preserve">PATRICIA </t>
  </si>
  <si>
    <t>ORTIZ FOGLIA</t>
  </si>
  <si>
    <t>Biblioteca</t>
  </si>
  <si>
    <t>patofoglia2@hotmail.com</t>
  </si>
  <si>
    <t>lina</t>
  </si>
  <si>
    <t>vargas</t>
  </si>
  <si>
    <t>lmvargasm@udistrital.edu.co</t>
  </si>
  <si>
    <t>ELIZABETH</t>
  </si>
  <si>
    <t>BERMUDEZ RODRIGUEZ</t>
  </si>
  <si>
    <t>bermudez41@hotmail.com</t>
  </si>
  <si>
    <t>RAFAEL ENRIQUE</t>
  </si>
  <si>
    <t>FERNÁNDEZ CASTILLO</t>
  </si>
  <si>
    <t>RAFEC28@GMAIL.COM</t>
  </si>
  <si>
    <t>CLAUDIA MILENA</t>
  </si>
  <si>
    <t>PINZON GOMEZ</t>
  </si>
  <si>
    <t>claumilena02@gmail.com</t>
  </si>
  <si>
    <t>LUIS ANTONIO</t>
  </si>
  <si>
    <t>CASTRO RODRÍGUEZ</t>
  </si>
  <si>
    <t>INDIOLUI@GMAIL.COM</t>
  </si>
  <si>
    <t>CAMILO</t>
  </si>
  <si>
    <t>RODRIGUEZ GOMEZ</t>
  </si>
  <si>
    <t>KOKOL_UD@HOTMAIL.COM</t>
  </si>
  <si>
    <t xml:space="preserve">Milton </t>
  </si>
  <si>
    <t>Mena</t>
  </si>
  <si>
    <t>miltonmenas@yahoo.es</t>
  </si>
  <si>
    <t xml:space="preserve">JUAN PABLO </t>
  </si>
  <si>
    <t>CASTRO BONILLA</t>
  </si>
  <si>
    <t>jotacastro1973@gmail.com</t>
  </si>
  <si>
    <t xml:space="preserve">Judy Marcela </t>
  </si>
  <si>
    <t>Moreno Ospina</t>
  </si>
  <si>
    <t>maye156@gmail.com</t>
  </si>
  <si>
    <t>Ingrid Julieth</t>
  </si>
  <si>
    <t>Velásquez Artunduaga</t>
  </si>
  <si>
    <t>ingridjulieth20@gmail.com</t>
  </si>
  <si>
    <t>WILSON EDUARDO</t>
  </si>
  <si>
    <t>GUEVARA MEJÍA</t>
  </si>
  <si>
    <t>wegm.udistrital@gmail.com</t>
  </si>
  <si>
    <t>Jorge Enrique</t>
  </si>
  <si>
    <t>Muñoz Barragán</t>
  </si>
  <si>
    <t>jemunozb@gmail.com</t>
  </si>
  <si>
    <t>WILSON</t>
  </si>
  <si>
    <t>VASQUEZ</t>
  </si>
  <si>
    <t>Recursos Físicos</t>
  </si>
  <si>
    <t>willand_v@hotmail.com</t>
  </si>
  <si>
    <t xml:space="preserve">CRISTIAN CAMILO </t>
  </si>
  <si>
    <t>CUELLAR TEJADA</t>
  </si>
  <si>
    <t>cristianccuellar@gmail.com</t>
  </si>
  <si>
    <t xml:space="preserve">CARLOS FERNANDO </t>
  </si>
  <si>
    <t>WILCHES CAÑON</t>
  </si>
  <si>
    <t>wilches2355@gmail.com</t>
  </si>
  <si>
    <t>PATRICIA</t>
  </si>
  <si>
    <t>portizf@udistrital.edu.co</t>
  </si>
  <si>
    <t>HECTOR IVAN</t>
  </si>
  <si>
    <t>TANGARIFE</t>
  </si>
  <si>
    <t>hte343@gmail.com</t>
  </si>
  <si>
    <t>Maria Alejandra</t>
  </si>
  <si>
    <t>Bonilla Díaz</t>
  </si>
  <si>
    <t>malejabonillad@gmail.com</t>
  </si>
  <si>
    <t xml:space="preserve">GLORIA M. </t>
  </si>
  <si>
    <t>ARANGUREN YAZO</t>
  </si>
  <si>
    <t>garangureny@udistrital.edu.co</t>
  </si>
  <si>
    <t xml:space="preserve">WILLIAM </t>
  </si>
  <si>
    <t>RIOS RODRIGUEZ</t>
  </si>
  <si>
    <t>wrios10@yahoo.es</t>
  </si>
  <si>
    <t xml:space="preserve">john jairo </t>
  </si>
  <si>
    <t>sanchez</t>
  </si>
  <si>
    <t>johnsons302000@gmail.con</t>
  </si>
  <si>
    <t>Raúl Ernesto</t>
  </si>
  <si>
    <t>Montaña Parra</t>
  </si>
  <si>
    <t>raermonpa@hotmail.com</t>
  </si>
  <si>
    <t xml:space="preserve">HECTOR P. </t>
  </si>
  <si>
    <t>SANCHEZ SANCHEZ</t>
  </si>
  <si>
    <t>labtecmecanica@udistrital.edu.co</t>
  </si>
  <si>
    <t xml:space="preserve">ROSA ISABEL </t>
  </si>
  <si>
    <t>CORTES P.</t>
  </si>
  <si>
    <t>biblioteca-tecnologica@udistrital.edu.co</t>
  </si>
  <si>
    <t>RAFAEL FERNANDO</t>
  </si>
  <si>
    <t>POLO GARCÍA</t>
  </si>
  <si>
    <t>rfpolog@udistrital.edu.co</t>
  </si>
  <si>
    <t>CARLOS ANDRES</t>
  </si>
  <si>
    <t>ROMERO ARIZA</t>
  </si>
  <si>
    <t>CA-ROMERO-A@HOTMAIL.COM</t>
  </si>
  <si>
    <t>EDGAR</t>
  </si>
  <si>
    <t xml:space="preserve">RONCANCIO </t>
  </si>
  <si>
    <t>tafur79@gmail.com</t>
  </si>
  <si>
    <t>NICOLAS GABRIEL</t>
  </si>
  <si>
    <t>MUÑOZ BELLO</t>
  </si>
  <si>
    <t>labresistenciaud@gmail.com</t>
  </si>
  <si>
    <t>CHRISTIAN CAMILO</t>
  </si>
  <si>
    <t>RODRIGUEZ LOMBANA</t>
  </si>
  <si>
    <t>christianwaffengh@gmail.com</t>
  </si>
  <si>
    <t xml:space="preserve">LUIS EDGAR </t>
  </si>
  <si>
    <t xml:space="preserve">JIMÉNEZ </t>
  </si>
  <si>
    <t>rfisicos@udistrital.edu.co</t>
  </si>
  <si>
    <t xml:space="preserve">JORGE ADELMO </t>
  </si>
  <si>
    <t xml:space="preserve">CHAVARRO BELTRAN </t>
  </si>
  <si>
    <t>jchavarro@gmail.com</t>
  </si>
  <si>
    <t xml:space="preserve">LUIS ALBERTO </t>
  </si>
  <si>
    <t>SANCHEZ R.</t>
  </si>
  <si>
    <t>alberto_lucho_sanrro@hotmail.com</t>
  </si>
  <si>
    <t xml:space="preserve">WILSON </t>
  </si>
  <si>
    <t>BENAVIDEZ VILLAMARIN</t>
  </si>
  <si>
    <t>wilbena@hotmail.com</t>
  </si>
  <si>
    <t>ALFONSO</t>
  </si>
  <si>
    <t>GIRALDO TORO</t>
  </si>
  <si>
    <t>giraldotoro1@hotmail.com</t>
  </si>
  <si>
    <t>JHON NELSON</t>
  </si>
  <si>
    <t>SUAN MARTINEZ</t>
  </si>
  <si>
    <t>JHONSUAN@HOTMAIL.ES</t>
  </si>
  <si>
    <t>MARIA CRISTINA</t>
  </si>
  <si>
    <t>GÁMEZ BOHÓRQUEZ</t>
  </si>
  <si>
    <t>cgamezb@udistrital.edu.co</t>
  </si>
  <si>
    <t xml:space="preserve">LUISA FERNANDA </t>
  </si>
  <si>
    <t>MELO CORTES</t>
  </si>
  <si>
    <t>LUFERMC@GMAIL.COM</t>
  </si>
  <si>
    <t>Manuel Gilberto</t>
  </si>
  <si>
    <t>Barrero Solano</t>
  </si>
  <si>
    <t>m.barrero@yahoo.com</t>
  </si>
  <si>
    <t>Fernely</t>
  </si>
  <si>
    <t>Barranco</t>
  </si>
  <si>
    <t>fernely_b@yahoo.es</t>
  </si>
  <si>
    <t>GERSON AUGUSTO</t>
  </si>
  <si>
    <t>GOMEZ GIL</t>
  </si>
  <si>
    <t>gagomezg@udistrital.edu.co</t>
  </si>
  <si>
    <t>MICHAEL JAIR</t>
  </si>
  <si>
    <t>VELASQUEZ GARZON</t>
  </si>
  <si>
    <t>michaeljairvg@gmail.com</t>
  </si>
  <si>
    <t>BEATRIZ MARLENY</t>
  </si>
  <si>
    <t>UNDAGMA BIRRI</t>
  </si>
  <si>
    <t>marleny_beatriz1217@hotmail.com</t>
  </si>
  <si>
    <t>ROMERO SUÁREZ</t>
  </si>
  <si>
    <t>Secretaría Académica</t>
  </si>
  <si>
    <t>wilroms@gmail.com</t>
  </si>
  <si>
    <t>YENNY MARGOT</t>
  </si>
  <si>
    <t>TOVAR CUELLAR</t>
  </si>
  <si>
    <t>ymtovarc@udistrital.edu.co</t>
  </si>
  <si>
    <t>ROQUE</t>
  </si>
  <si>
    <t>REINA FAJARDO</t>
  </si>
  <si>
    <t>RREINAF@UDISTRITAL.EDU.CO</t>
  </si>
  <si>
    <t>MARY STELLA</t>
  </si>
  <si>
    <t>DAZA ARDILA</t>
  </si>
  <si>
    <t>msdazaa@udistrital.edu.co</t>
  </si>
  <si>
    <t xml:space="preserve">LUIS GUILLERMO </t>
  </si>
  <si>
    <t>LARROTA PULIDO</t>
  </si>
  <si>
    <t>guille_larrota@yahoo.es</t>
  </si>
  <si>
    <t>Genys</t>
  </si>
  <si>
    <t>Guzman</t>
  </si>
  <si>
    <t>genys03@hotmail.com</t>
  </si>
  <si>
    <t xml:space="preserve">SANDRA MARILUZ </t>
  </si>
  <si>
    <t>HERNANDEZ BRAVO</t>
  </si>
  <si>
    <t>smhernandezb@udistrital.edu.co</t>
  </si>
  <si>
    <t xml:space="preserve">JOSÉ DE JESÚS </t>
  </si>
  <si>
    <t xml:space="preserve">GIL MOLINA </t>
  </si>
  <si>
    <t>jjgilmolina@hotmail.com</t>
  </si>
  <si>
    <t>LIGIA</t>
  </si>
  <si>
    <t>ROJAS MORALES</t>
  </si>
  <si>
    <t>lrojasm@udistrital.edu.co</t>
  </si>
  <si>
    <t xml:space="preserve">GILDARDO MARIN </t>
  </si>
  <si>
    <t xml:space="preserve">OSPINA </t>
  </si>
  <si>
    <t xml:space="preserve">YUDY MARCELA </t>
  </si>
  <si>
    <t>RODRIGUEZ TEQUI</t>
  </si>
  <si>
    <t>yudyrodriguezt@gmail.com</t>
  </si>
  <si>
    <t>jcospinav@udistrital.edu.co</t>
  </si>
  <si>
    <t>ALEXANDER</t>
  </si>
  <si>
    <t>BEDOYA MONTALVO</t>
  </si>
  <si>
    <t>abedoyam@gmail.com</t>
  </si>
  <si>
    <t>Jesús Enrique</t>
  </si>
  <si>
    <t>Rojas Niño</t>
  </si>
  <si>
    <t>jerojasn@hotmail.com</t>
  </si>
  <si>
    <t>Maximiliano</t>
  </si>
  <si>
    <t>Meléndez Suárez</t>
  </si>
  <si>
    <t>chinomax@gmail.com</t>
  </si>
  <si>
    <t>JAIME ALBERTO</t>
  </si>
  <si>
    <t>GARCIA RONCANCIO</t>
  </si>
  <si>
    <t>jaimeagr7@gmail.com</t>
  </si>
  <si>
    <t xml:space="preserve">DIANA CAROLINA </t>
  </si>
  <si>
    <t>CASTRO GARCÍA</t>
  </si>
  <si>
    <t>Autoevalución y Acreditación</t>
  </si>
  <si>
    <t>dicas37@gmail.com</t>
  </si>
  <si>
    <t xml:space="preserve">MAX </t>
  </si>
  <si>
    <t>DUARTE</t>
  </si>
  <si>
    <t>xamdo27@gmail.com</t>
  </si>
  <si>
    <t>ADRIANA</t>
  </si>
  <si>
    <t>VALIENTE CRISTANCHO</t>
  </si>
  <si>
    <t>avcristancho@gmail.com</t>
  </si>
  <si>
    <t xml:space="preserve">ELIZABETH </t>
  </si>
  <si>
    <t>MANOSALVA QUINTERO</t>
  </si>
  <si>
    <t>elyza96@hotmail.es</t>
  </si>
  <si>
    <t>DORIS GUISELA</t>
  </si>
  <si>
    <t>CAVANZO NISSO</t>
  </si>
  <si>
    <t>dogris@hotmial.com</t>
  </si>
  <si>
    <t>PEDRO ELISEO</t>
  </si>
  <si>
    <t>DUARTE BUITRAGO</t>
  </si>
  <si>
    <t>piterdb@hotmail.com</t>
  </si>
  <si>
    <t xml:space="preserve">Guillermo Eduardo </t>
  </si>
  <si>
    <t>Alfonso Gutierrez</t>
  </si>
  <si>
    <t>udfjc_guillermo@yahoo.com</t>
  </si>
  <si>
    <t>Cuenta de 3. Considero que la Universidad Distrital Francisco José de Caldas es una alternativa real para acceder al conocimiento por parte de los mejores egresados de la educación media de Bogotá con menores ingresos.</t>
  </si>
  <si>
    <t>Cuenta de 5. Conozco el Proyecto Educativo (PEP) de los programas académicos con los cuales me he relacionado.</t>
  </si>
  <si>
    <t>Cuenta de 6. Conozco las diferencias entre los programas de formación en ingeniería por ciclos y los programas de ingeniería tradicional.</t>
  </si>
  <si>
    <t>Cuenta de 7. Tengo claro qué es y para qué sirve el componente propedéutico en un programa de ingeniería por ciclos.</t>
  </si>
  <si>
    <t>Cuenta de 8. Conozco los procesos efectuados para la evaluación periódica de la pertinencia y calidad de los programas académicos con los cuales me he relacionado.</t>
  </si>
  <si>
    <t>Cuenta de 9. He participado en procesos para la evaluación periódica de la pertinencia y calidad de los programas académicos con los cuales me he relacionado.</t>
  </si>
  <si>
    <t>Cuenta de 10.1. Considero que los laboratorios y talleres disponibles de los programas académicos con los cuales me he relacionado son: SUFICIENTES.</t>
  </si>
  <si>
    <t>Cuenta de 10.2. Considero que los laboratorios y talleres disponibles de los programas académicos con los cuales me he relacionado son: ADECUADOS.</t>
  </si>
  <si>
    <t>Cuenta de 10.3. Considero que los laboratorios y talleres disponibles de los programas académicos con los cuales me he relacionado son: ACTUALIZADOS.</t>
  </si>
  <si>
    <t>Cuenta de 10.4. Considero que los laboratorios y talleres disponibles de los programas académicos con los cuales me he relacionado son: APOYADOS POR PERSONAL DEBIDAMENTE CAPACITADO.</t>
  </si>
  <si>
    <t>Cuenta de 10.5. Considero que los laboratorios y talleres disponibles de los programas académicos con los cuales me he relacionado son: VENTILADOS.</t>
  </si>
  <si>
    <t>Cuenta de 10.6. Considero que los laboratorios y talleres disponibles de los programas académicos con los cuales me he relacionado son: ILUMINADOS</t>
  </si>
  <si>
    <t>Cuenta de 10.7. Considero que los laboratorios y talleres disponibles de los programas académicos con los cuales me he relacionado son: DISEÑADOS SEGÚN NORMAS DE SEGURIDAD.</t>
  </si>
  <si>
    <t>Cuenta de 11.1. Considero que los equipos de apoyo audiovisual a disposición de los programas académicos con los cuales me he relacionado son: SUFICIENTES.</t>
  </si>
  <si>
    <t>Cuenta de 11.2. Considero que los equipos de apoyo audiovisual a disposición de los programas académicos con los cuales me he relacionado son: ADECUADOS.</t>
  </si>
  <si>
    <t>Cuenta de 11.3. Considero que los equipos de apoyo audiovisual a disposición de los programas académicos con los cuales me he relacionado son: ACTUALIZADOS.</t>
  </si>
  <si>
    <t>Cuenta de 11.4. Considero que los equipos de apoyo audiovisual a disposición de los programas académicos con los cuales me he relacionado son: SOPORTADOS POR PERSONAL DEBIDAMENTE CAPACITADO.</t>
  </si>
  <si>
    <t>Cuenta de 12.1. Considero que los servicios de Bienestar Universitario son: SUFICIENTES.</t>
  </si>
  <si>
    <t>Cuenta de 12.2. Considero que los servicios de Bienestar Universitario son:  ADECUADOS</t>
  </si>
  <si>
    <t>Cuenta de 12.3. Considero que los servicios de Bienestar Universitario son: ACCESIBLES.</t>
  </si>
  <si>
    <t>Cuenta de 13. Considero que las actividades de Bienestar Universitario contribuyen a mi desarrollo personal.</t>
  </si>
  <si>
    <t>Cuenta de 14. Las tareas que me son asignadas corresponden con las necesidades de los programas académicos con los cuales me he relacionado.</t>
  </si>
  <si>
    <t>Cuenta de 15. Considero que las funciones a mi cargo fueron debidamente planeadas para el logro de los objetivos de los programas académicos con los cuales me he relacionado.</t>
  </si>
  <si>
    <t>Cuenta de 16. Considero que mis funciones me fueron entregadas y notificadas oportunamente.</t>
  </si>
  <si>
    <t>Cuenta de 17. Tengo claras las funciones a mi cargo.</t>
  </si>
  <si>
    <t>Cuenta de 18. Considero que la representación de los administrativos cumple su papel de comunicación entre los directivos y el personal administrativo.</t>
  </si>
  <si>
    <t>Cuenta de 19. Considero que los representantes administrativos han liderado propuestas para el mejoramiento de los programas académicos con los cuales me he relacionado.</t>
  </si>
  <si>
    <t>Cuenta de 20. Considero que los sistemas de información empleados por los programas académicos con los cuales me he relacionado son efectivos.</t>
  </si>
  <si>
    <t>Cuenta de 21. Considero que los mecanismos de comunicación empleados por los programas académicos con los cuales me he relacionado son efectivos.</t>
  </si>
  <si>
    <t>Cuenta de 22. Considero que las orientaciones de los directivos de los programas académicos con los cuales me he relacionado son adecuadas.</t>
  </si>
  <si>
    <t>Cuenta de 23. Considero que el liderazgo ejercido por los directivos de los programas académicos con los cuales me he relacionado es idóneo.</t>
  </si>
  <si>
    <t>Cuenta de 24.1. Considero que la planta física empleada por los programas académicos con los cuales me he relacionado es: ADECUADA.</t>
  </si>
  <si>
    <t>Cuenta de 24.2. Considero que la planta física empleada por los programas académicos con los cuales me he relacionado es: SUFICIENTE.</t>
  </si>
  <si>
    <t>Cuenta de 24.3. Considero que la planta física empleada por los programas académicos con los cuales me he relacionado es:. DEBIDAMENTE MANTENIDA.</t>
  </si>
  <si>
    <t>10.6</t>
  </si>
  <si>
    <t>10.7</t>
  </si>
  <si>
    <t>24.1</t>
  </si>
  <si>
    <t>24.2</t>
  </si>
  <si>
    <t>24.3</t>
  </si>
  <si>
    <t>8.4</t>
  </si>
  <si>
    <t>8.5</t>
  </si>
  <si>
    <t>TITULO DE PREGRADO RECIBIDO MÁS RECIENTE</t>
  </si>
  <si>
    <t>AÑO DE GRADUACIÓN</t>
  </si>
  <si>
    <t>NÚMERO CELULAR</t>
  </si>
  <si>
    <t>TITULO(S) DE POSGRADO</t>
  </si>
  <si>
    <t>CAMPO DE DESEMPEÑO</t>
  </si>
  <si>
    <t>CARGO ACTUAL</t>
  </si>
  <si>
    <t>EMPRESA DONDE TRABAJA</t>
  </si>
  <si>
    <t>NOMBRE JEFE INMEDIATO</t>
  </si>
  <si>
    <t>CORREO TRABAJO</t>
  </si>
  <si>
    <t>TELÉFONO TRABAJO</t>
  </si>
  <si>
    <t>RECONOCIMIENTOS OBTENIDOS EN SU CARRERA PROFESIONAL</t>
  </si>
  <si>
    <t>5. Considero que el proceso de admisión a la Universidad Distrital Francisco José de Caldas es transparente y equitativo.</t>
  </si>
  <si>
    <t>6. Considero que el proceso de admisión a cada uno de los niveles de formación de los programas por ciclos ofrecidos en la Facultad Tecnológica es apropiado.</t>
  </si>
  <si>
    <t>7. Cuando fui estudiante, mi programa académico participaba activamente en proyectos dirigidos a la comunidad.</t>
  </si>
  <si>
    <t>8.1. El programa académico al cual pertenecí me brindó las herramientas necesarias para DESARROLLAR PROCESOS DE INVESTIGACIÓN</t>
  </si>
  <si>
    <t>8.2. El programa académico al cual pertenecí me brindó las herramientas necesarias para FORTALECER MI ESPÍRITU CRÍTICO Y ÉTICO.</t>
  </si>
  <si>
    <t>8.3. El programa académico al cual pertenecí me brindó las herramientas necesarias para OFRECER SOLUCIONES A LOS PROBLEMAS DE LA SOCIEDAD.</t>
  </si>
  <si>
    <t>8.4. El programa académico al cual pertenecí me brindó las herramientas necesarias para SER PARTE ACTIVA Y PARTICIPATIVA EN LA CULTURA CIUDADANA</t>
  </si>
  <si>
    <t>8.5. El programa académico al cual pertenecí me brindó las herramientas necesarias para PRODUCIR TEXTOS ARGUMENTANDO OPINIONES Y/O CONCEPTOS.</t>
  </si>
  <si>
    <t>9. En la época de culminación de mis estudios, mi programa académico me ofreció modalidades de trabajo de grado suficientemente variadas.</t>
  </si>
  <si>
    <t>10. Las estrategias didácticas empleadas en mi programa académico me permitieron adquirir los conocimientos suficientes y requeridos en la profesión que escogí.</t>
  </si>
  <si>
    <t>11.1. Mi paso por la Facultad Tecnológica de la Universidad Distrital me ayudó a: APROPIARME DE MÉTODOS PARA EL APRENDIZAJE AUTÓNOMO.</t>
  </si>
  <si>
    <t>11.2. Mi paso por la Facultad Tecnológica de la Universidad Distrital me ayudó a: DESARROLLAR CAPACIDADES PARA LA SOLUCIÓN DE PROBLEMAS</t>
  </si>
  <si>
    <t>11.3. Mi paso por la Facultad Tecnológica de la Universidad Distrital me ayudó a: HACER CONSULTAS BIBLIOGRÁFICAS EFECTIVAS</t>
  </si>
  <si>
    <t>11.4. Mi paso por la Facultad Tecnológica de la Universidad Distrital me ayudó a: UTILIZAR HERRAMIENTAS INFORMÁTICAS ACTUALIZADAS AL SERVICIO DE MI PROFESIÓN.</t>
  </si>
  <si>
    <t>12. Considero que estudiar un programa de ingeniería por ciclos, nivel tecnológico y nivel de Ingeniería, me brindó mejores oportunidades que estudiar una carrera de Ingeniería tradicional.</t>
  </si>
  <si>
    <t>13. Considero que la denominación de mi titulo de tecnólogo me ha abierto posibilidades en el mercado laboral.</t>
  </si>
  <si>
    <t>14. Considero que la denominación de mi título de ingeniero me abre o me abrirá mayores posibilidades en el mercado laboral.</t>
  </si>
  <si>
    <t>15. Considero que ser ingeniero mejora o mejorará las condiciones laborales del tecnólogo.</t>
  </si>
  <si>
    <t>16. Considero que mi paso por el nivel de ingeniería mejoró o mejorará las competencias que he desarrollado en el nivel tecnológico.</t>
  </si>
  <si>
    <t>17. Considero que la representación de los egresados en la Universidad Distrital cumple su papel de comunicación entre los directivos y los egresados.</t>
  </si>
  <si>
    <t>18. Considero que los representantes de los egresados que participan en los órganos de dirección de la Universidad Distrital Francisco José de Caldas han liderado propuestas para el mejoramiento del vinculo entre los egresados y la Universidad.</t>
  </si>
  <si>
    <t>19. Considero que mi programa académico me brindó las herramientas necesarias para ejercer mi profesión.</t>
  </si>
  <si>
    <t>20. Considero que mi programa académico me brindó las habilidades para desempeñarme con suficiencia en proyectos de investigación, asesorías y/o consultorías.</t>
  </si>
  <si>
    <t>21. Considero que la apreciación de mi programa académico en el medio laboral en el que me desempeño es positiva.</t>
  </si>
  <si>
    <t>22. El programa académico que cursé satisfizo mis expectativas personales.</t>
  </si>
  <si>
    <t>23. Considero que la formación profesional recibida ha contribuido en el desarrollo de mi proyecto de vida.</t>
  </si>
  <si>
    <t>¿Estas interesado en adquirir tu carnet de egresado?</t>
  </si>
  <si>
    <t>OSCAR E.</t>
  </si>
  <si>
    <t>AVELLA M.</t>
  </si>
  <si>
    <t>INGENIERO(A) EN DISTRIBUCIÓN Y REDES ELÉCTRICAS</t>
  </si>
  <si>
    <t>o.avella@hotmail.com</t>
  </si>
  <si>
    <t>SERVICIOS</t>
  </si>
  <si>
    <t>GERENTE</t>
  </si>
  <si>
    <t>APROIND LTDA</t>
  </si>
  <si>
    <t>proyectos@aproind.com</t>
  </si>
  <si>
    <t>Sí</t>
  </si>
  <si>
    <t xml:space="preserve">Oscar Mauricio </t>
  </si>
  <si>
    <t xml:space="preserve">Rincón Céspedes </t>
  </si>
  <si>
    <t>omrinconc@gmail.com</t>
  </si>
  <si>
    <t>Privado</t>
  </si>
  <si>
    <t>Profesional Senior</t>
  </si>
  <si>
    <t>ENEL</t>
  </si>
  <si>
    <t>Marco Fidel Suarez</t>
  </si>
  <si>
    <t>oscar.rincon@enel.com</t>
  </si>
  <si>
    <t>WALTER</t>
  </si>
  <si>
    <t>BOLAÑOS</t>
  </si>
  <si>
    <t>wbolanos3@gmail.com</t>
  </si>
  <si>
    <t>Mantenimiento y construcción</t>
  </si>
  <si>
    <t>SODINLEC</t>
  </si>
  <si>
    <t>JUNTA DIRECTIVA</t>
  </si>
  <si>
    <t>walter.bolanos@sodinlec.com</t>
  </si>
  <si>
    <t>DIEGO FERNANDO</t>
  </si>
  <si>
    <t>GOMEZ MOLANO</t>
  </si>
  <si>
    <t>diegomezx@gmail.com</t>
  </si>
  <si>
    <t>Master en Administración de Negocios</t>
  </si>
  <si>
    <t>Generación de Energia</t>
  </si>
  <si>
    <t>Gerente de Proyectos</t>
  </si>
  <si>
    <t>Toshiba</t>
  </si>
  <si>
    <t>EDGAR AUGUSTO</t>
  </si>
  <si>
    <t>LEIVA CASTIBLANCO</t>
  </si>
  <si>
    <t>eleiva@koncetsas.com</t>
  </si>
  <si>
    <t>GESTIÓN DE PROYECTOS DE INGENIERÍA</t>
  </si>
  <si>
    <t>INGENIERÍA Y CONSULTORÍA</t>
  </si>
  <si>
    <t>KONCET SAS</t>
  </si>
  <si>
    <t>BECA Y MONITOR</t>
  </si>
  <si>
    <t>PEDRO</t>
  </si>
  <si>
    <t xml:space="preserve">ALARCÓN </t>
  </si>
  <si>
    <t>pealarcon01@gmail.com</t>
  </si>
  <si>
    <t xml:space="preserve">Ingenieria eléctrica </t>
  </si>
  <si>
    <t>Ingeniero de de motajes equipos AT</t>
  </si>
  <si>
    <t>SERINGEL S.A.S</t>
  </si>
  <si>
    <t>Arturo</t>
  </si>
  <si>
    <t>Chavarro</t>
  </si>
  <si>
    <t>arturochavarro@gmail.com</t>
  </si>
  <si>
    <t>ingeniero</t>
  </si>
  <si>
    <t>Ana Doris</t>
  </si>
  <si>
    <t>Guerrero Sastre</t>
  </si>
  <si>
    <t>anadoris2005@yahoo.es</t>
  </si>
  <si>
    <t>Desempleada</t>
  </si>
  <si>
    <t>Marco Alexander</t>
  </si>
  <si>
    <t>Merchan Espitia</t>
  </si>
  <si>
    <t>alexmer2004@yahoo.com</t>
  </si>
  <si>
    <t>Electrico</t>
  </si>
  <si>
    <t>Profesional</t>
  </si>
  <si>
    <t xml:space="preserve">Codensa </t>
  </si>
  <si>
    <t>Dino Cortes</t>
  </si>
  <si>
    <t>No</t>
  </si>
  <si>
    <t>Angélica  Maria</t>
  </si>
  <si>
    <t>Puentes Poloche</t>
  </si>
  <si>
    <t>angmapupo@hotmail.com</t>
  </si>
  <si>
    <t xml:space="preserve">Especializacion en Gerencia  en riesgos laborales , seguridad y salud en el trabajo </t>
  </si>
  <si>
    <t>Ing electrico</t>
  </si>
  <si>
    <t>Sin empleo</t>
  </si>
  <si>
    <t xml:space="preserve">Sin empleo </t>
  </si>
  <si>
    <t>RODRIGO</t>
  </si>
  <si>
    <t>GARCIA VALBUENA</t>
  </si>
  <si>
    <t>rogarcia96@yahoo.es</t>
  </si>
  <si>
    <t>ESPECIALISTA EN GERENCIA DE PROYECTOS</t>
  </si>
  <si>
    <t>ELÉCTRICO</t>
  </si>
  <si>
    <t>PROFESIONAL EN DISTRIBUCIÓN</t>
  </si>
  <si>
    <t>CDENSA S.A.E.S.P.</t>
  </si>
  <si>
    <t>RUBEN MURILLO</t>
  </si>
  <si>
    <t>rodrigo.garcia@enel.com</t>
  </si>
  <si>
    <t xml:space="preserve">Fabio </t>
  </si>
  <si>
    <t>claros</t>
  </si>
  <si>
    <t>fabioandresclaros@yahoo.com</t>
  </si>
  <si>
    <t>Especialista en gestion de proyectos</t>
  </si>
  <si>
    <t>Mantenimiento y Proyectos</t>
  </si>
  <si>
    <t>Director tecnico</t>
  </si>
  <si>
    <t>Independiente</t>
  </si>
  <si>
    <t xml:space="preserve">Edwin Rodrigo </t>
  </si>
  <si>
    <t>Lemus Rivera</t>
  </si>
  <si>
    <t>Lemusedwin@hotmail.com</t>
  </si>
  <si>
    <t>Data Center</t>
  </si>
  <si>
    <t>Ingeniero Atd</t>
  </si>
  <si>
    <t>Ler ingebieria sas</t>
  </si>
  <si>
    <t>Edwin Lemus</t>
  </si>
  <si>
    <t>leringenieriasas@outlook.com</t>
  </si>
  <si>
    <t>Claudia Milena</t>
  </si>
  <si>
    <t>Bermudez Rodriguez</t>
  </si>
  <si>
    <t>clamiber2006@yahoo.es</t>
  </si>
  <si>
    <t>Magister en gerencia de mercadeo y direccion comercial</t>
  </si>
  <si>
    <t>Asesor comercial</t>
  </si>
  <si>
    <t>Interflex latinoamerica SAS</t>
  </si>
  <si>
    <t>Ferney yovany</t>
  </si>
  <si>
    <t>Leon meza</t>
  </si>
  <si>
    <t>ferneyyovany@gmail.com</t>
  </si>
  <si>
    <t xml:space="preserve">Esp. En gestion en proyectos de ingenieria </t>
  </si>
  <si>
    <t xml:space="preserve">Diseños electricos y obras </t>
  </si>
  <si>
    <t xml:space="preserve">Director de proyectos </t>
  </si>
  <si>
    <t xml:space="preserve">Lenergy sas </t>
  </si>
  <si>
    <t xml:space="preserve">Ferney yovany leon meza </t>
  </si>
  <si>
    <t>proyectos@lenergy.com.co</t>
  </si>
  <si>
    <t>JUAN CARLOS</t>
  </si>
  <si>
    <t>CARREÑO PEREZ</t>
  </si>
  <si>
    <t>juan_carlos_carreno@hotmail.com</t>
  </si>
  <si>
    <t>MAESTRIA EN INGENIERIA</t>
  </si>
  <si>
    <t>ENERGETICO</t>
  </si>
  <si>
    <t>ASESOR</t>
  </si>
  <si>
    <t>EMPRESA DE ENERGIA DE BOGOTA</t>
  </si>
  <si>
    <t>IVAN DIAZ</t>
  </si>
  <si>
    <t>jcarreno@eeb.com.co</t>
  </si>
  <si>
    <t xml:space="preserve">ALEJANDRO </t>
  </si>
  <si>
    <t xml:space="preserve">LÓPEZ </t>
  </si>
  <si>
    <t>aloars@gmail.com</t>
  </si>
  <si>
    <t xml:space="preserve">SERVICIOS </t>
  </si>
  <si>
    <t>DIRECTOR DE SERVICIOS</t>
  </si>
  <si>
    <t>KTS SOLUCIONES ENERGÉTICAS LTDA</t>
  </si>
  <si>
    <t>alopez@kts.com.co</t>
  </si>
  <si>
    <t>GERMAN OSWALDO</t>
  </si>
  <si>
    <t>RUBIANO RUIZ</t>
  </si>
  <si>
    <t>germanrubianoruiz@gmail.com</t>
  </si>
  <si>
    <t>asesor</t>
  </si>
  <si>
    <t>independiente</t>
  </si>
  <si>
    <t>Yair Alberto</t>
  </si>
  <si>
    <t>Franco Florez</t>
  </si>
  <si>
    <t>yair_franco@yahoo.com.mx</t>
  </si>
  <si>
    <t>Telecomunicaciones</t>
  </si>
  <si>
    <t>Ing. Control Cambios y Configiraciones</t>
  </si>
  <si>
    <t>Claro Colombia</t>
  </si>
  <si>
    <t>Fabian Gonzalez</t>
  </si>
  <si>
    <t>yair.franco@claro.com.co</t>
  </si>
  <si>
    <t>LUIS ALBERTO</t>
  </si>
  <si>
    <t>LOPEZ LOPEZ</t>
  </si>
  <si>
    <t>LUISLOPEZL79@HOTMAIL.COM</t>
  </si>
  <si>
    <t>CONSTRUCCIÓN</t>
  </si>
  <si>
    <t>INGENIERO RESIDENTE ELECTRICO</t>
  </si>
  <si>
    <t>CONSTRUCTORA CONCONCRETO</t>
  </si>
  <si>
    <t>JORGE QUINTERO</t>
  </si>
  <si>
    <t>LALOPEZ@CONCONCRETO.COM</t>
  </si>
  <si>
    <t>Ingenieria</t>
  </si>
  <si>
    <t>UNIVERSIDAD DISTRITAL</t>
  </si>
  <si>
    <t>CODENSA</t>
  </si>
  <si>
    <t>YON ALEXANDER</t>
  </si>
  <si>
    <t>MANCHEGO OROZCO</t>
  </si>
  <si>
    <t>manchego001@gmail.com</t>
  </si>
  <si>
    <t>Confiabilidad y CBM</t>
  </si>
  <si>
    <t>Desempleado</t>
  </si>
  <si>
    <t xml:space="preserve">YADIRA </t>
  </si>
  <si>
    <t>MUÑOZ ORTIZ</t>
  </si>
  <si>
    <t>yadiramuoz@hotmail.com</t>
  </si>
  <si>
    <t xml:space="preserve">Energía </t>
  </si>
  <si>
    <t>Profesional senior</t>
  </si>
  <si>
    <t>Codensa</t>
  </si>
  <si>
    <t>Manuel</t>
  </si>
  <si>
    <t>Avila Gacha</t>
  </si>
  <si>
    <t>mhavilaing15@gmail.com</t>
  </si>
  <si>
    <t>Especialista en salud ocupacional y riesgos laborales</t>
  </si>
  <si>
    <t>Proyectos</t>
  </si>
  <si>
    <t>Ing Coordinador de Proyectos</t>
  </si>
  <si>
    <t xml:space="preserve">CAM multiservicios </t>
  </si>
  <si>
    <t>Lilian Henao</t>
  </si>
  <si>
    <t>mhavila@cam.com.co</t>
  </si>
  <si>
    <t>Yesid alexander</t>
  </si>
  <si>
    <t>Roldan beltran</t>
  </si>
  <si>
    <t>yesidroldan@hotmail.com</t>
  </si>
  <si>
    <t>Especialización gerencia de proyectos</t>
  </si>
  <si>
    <t>Eléctrico y telecomunicaciones</t>
  </si>
  <si>
    <t>Ingeniero preventa y asesor comercial</t>
  </si>
  <si>
    <t>Aqserv sas</t>
  </si>
  <si>
    <t>Miguel Ángel Muñoz guerrero</t>
  </si>
  <si>
    <t>yroldan@aqserv.com.co</t>
  </si>
  <si>
    <t>Mejor asesor técnico comercial empresarial</t>
  </si>
  <si>
    <t>LUZ ADRIANA</t>
  </si>
  <si>
    <t>GARZON ZABALA</t>
  </si>
  <si>
    <t>adriana.garzonz@gmail.com</t>
  </si>
  <si>
    <t>MAGISTER EN INGENIERÍA ELÉCTRICA</t>
  </si>
  <si>
    <t>Profesional II</t>
  </si>
  <si>
    <t>luz.garzon@ecopetrol.com.co</t>
  </si>
  <si>
    <t>Jaime Enrique</t>
  </si>
  <si>
    <t>Betancourt Munevar</t>
  </si>
  <si>
    <t>jebm81@gmail.com</t>
  </si>
  <si>
    <t>Especialista en Gerencia de Proyectos</t>
  </si>
  <si>
    <t xml:space="preserve">Ingeniería </t>
  </si>
  <si>
    <t>Ingeniero de diseño. Especialista de aplicaciones</t>
  </si>
  <si>
    <t>Siemens</t>
  </si>
  <si>
    <t xml:space="preserve">Jairo </t>
  </si>
  <si>
    <t>Morales Pinilla</t>
  </si>
  <si>
    <t>jhairo79@gmail.com</t>
  </si>
  <si>
    <t>coordinador de proyectos y soporte tecnico</t>
  </si>
  <si>
    <t>Paola</t>
  </si>
  <si>
    <t>Casasbuenas</t>
  </si>
  <si>
    <t>paocasasb@gmail.com</t>
  </si>
  <si>
    <t>Marketing y ventas</t>
  </si>
  <si>
    <t>Ventas</t>
  </si>
  <si>
    <t xml:space="preserve">JOSÉ ROBERTO </t>
  </si>
  <si>
    <t>BEDOYA SALAMANCA</t>
  </si>
  <si>
    <t>robertobedoyasalamanca@gmail.com</t>
  </si>
  <si>
    <t xml:space="preserve">ESPECIALISTA EN GESTIÓN DE PROYECTOS DE INGENIERÍA </t>
  </si>
  <si>
    <t>Oil and Gas</t>
  </si>
  <si>
    <t>Gerente Regional</t>
  </si>
  <si>
    <t xml:space="preserve">Valiant ALS </t>
  </si>
  <si>
    <t xml:space="preserve">Manuel Pérez </t>
  </si>
  <si>
    <t>roberto.bedoya@valiant-als.com</t>
  </si>
  <si>
    <t xml:space="preserve">GE, cumplimiento de objetivos en épocas difíciles </t>
  </si>
  <si>
    <t>JESUS ALEXANDER</t>
  </si>
  <si>
    <t>MUÑOZ SOLARTE</t>
  </si>
  <si>
    <t>alexmunsol@yahoo.com.ar</t>
  </si>
  <si>
    <t>Energia</t>
  </si>
  <si>
    <t>Profesional Distribucion</t>
  </si>
  <si>
    <t>ALVARO ORLANDO</t>
  </si>
  <si>
    <t>GÓMEZ MENESES</t>
  </si>
  <si>
    <t>aogm10082@gmail.com</t>
  </si>
  <si>
    <t xml:space="preserve">Especialización en Evaluación y Gerencia de Proyectos </t>
  </si>
  <si>
    <t xml:space="preserve">Industria eléctrica </t>
  </si>
  <si>
    <t>Ingeniero de Mantenimiento</t>
  </si>
  <si>
    <t>Emgesa S.A</t>
  </si>
  <si>
    <t>Alfredo Sotelo</t>
  </si>
  <si>
    <t xml:space="preserve">RAMÍREZ RAMÍREZ </t>
  </si>
  <si>
    <t>wilyova@gmail.com</t>
  </si>
  <si>
    <t>Gerente tecnico</t>
  </si>
  <si>
    <t>Proser IEC</t>
  </si>
  <si>
    <t xml:space="preserve">Sistemas de sincronismos </t>
  </si>
  <si>
    <t xml:space="preserve">Luis Antonio </t>
  </si>
  <si>
    <t xml:space="preserve">Noguera Vega </t>
  </si>
  <si>
    <t>luis.noguerav@gmail.com</t>
  </si>
  <si>
    <t>Esp. En informática y automática industrial</t>
  </si>
  <si>
    <t xml:space="preserve">Educación </t>
  </si>
  <si>
    <t>Coordinador laboratorios</t>
  </si>
  <si>
    <t xml:space="preserve">Excelencia académica </t>
  </si>
  <si>
    <t>Mario Alexander</t>
  </si>
  <si>
    <t>Salamanca Torres</t>
  </si>
  <si>
    <t>masalamancatorres@gmail.com</t>
  </si>
  <si>
    <t xml:space="preserve">Esp en gestión de proyectos de ingeniería </t>
  </si>
  <si>
    <t>Distribución y uso final</t>
  </si>
  <si>
    <t>Contratista supervisor de convenios</t>
  </si>
  <si>
    <t>Coldeportes</t>
  </si>
  <si>
    <t xml:space="preserve">Juan Carlos Rueda </t>
  </si>
  <si>
    <t>msalamancat@coldeportes.gov.co</t>
  </si>
  <si>
    <t>César Augusto</t>
  </si>
  <si>
    <t>Cifuentes Páez</t>
  </si>
  <si>
    <t>zesarpaez@hotmail.com</t>
  </si>
  <si>
    <t>Proyectos  - Diseño Eléctrico de infraestructura</t>
  </si>
  <si>
    <t>Asesor de Mantenimiento Eléctrico</t>
  </si>
  <si>
    <t>Ejército Nacional</t>
  </si>
  <si>
    <t>TC Carlos Alberto Alarcón Patiño</t>
  </si>
  <si>
    <t>cesara.cifuentes@ejercito.mil.co</t>
  </si>
  <si>
    <t xml:space="preserve">Amplia experiencia en montaje y mantenimiento de instalaciones eléctricas en media y baja tensión </t>
  </si>
  <si>
    <t>WILLIAM ENRIQUE</t>
  </si>
  <si>
    <t>RUIZ ROJAS</t>
  </si>
  <si>
    <t>RUIZWE@GMAIL.COM</t>
  </si>
  <si>
    <t>COMERCIALIZACIÓN DE ENERGIA</t>
  </si>
  <si>
    <t>PROFESIONAL SENIOR</t>
  </si>
  <si>
    <t>CARLOS ARDILA</t>
  </si>
  <si>
    <t>WILLIAM.RUIZ@ENEL.COM</t>
  </si>
  <si>
    <t>Javier Adolfo</t>
  </si>
  <si>
    <t xml:space="preserve">Botero García </t>
  </si>
  <si>
    <t>javierbotero13@gmail.com</t>
  </si>
  <si>
    <t xml:space="preserve">Gerencia de proyectos en ingeniería </t>
  </si>
  <si>
    <t xml:space="preserve">Proyectos, diseño, consultoría </t>
  </si>
  <si>
    <t>Ing de proyectos</t>
  </si>
  <si>
    <t>Pryce SAS</t>
  </si>
  <si>
    <t>Javier Botero G</t>
  </si>
  <si>
    <t>proyectos@prycesas.com</t>
  </si>
  <si>
    <t>EDNA RUTH</t>
  </si>
  <si>
    <t>RODRIGUEZ ZULETA</t>
  </si>
  <si>
    <t>edniarz@gmail.com</t>
  </si>
  <si>
    <t>proyectos</t>
  </si>
  <si>
    <t>sin empleo</t>
  </si>
  <si>
    <t>NELSON ALFREDO</t>
  </si>
  <si>
    <t>GUTIERREZ RIVERA</t>
  </si>
  <si>
    <t>neelsin@hotmail.com</t>
  </si>
  <si>
    <t>CONSTRUCTORAS</t>
  </si>
  <si>
    <t>ING OBRAS</t>
  </si>
  <si>
    <t>MIROAL INGENIERIA SAS</t>
  </si>
  <si>
    <t>proyelec@miroal.com</t>
  </si>
  <si>
    <t>LUIS ANTONIO NOGUERA VEGA</t>
  </si>
  <si>
    <t>SERGIO</t>
  </si>
  <si>
    <t>VALBUENA MARULANDA</t>
  </si>
  <si>
    <t>servalmar@yahoo.es</t>
  </si>
  <si>
    <t>ESPECIALISTA EN SISTEMAS DE TRANSMISION</t>
  </si>
  <si>
    <t>PROTECCIONES Y CONTROL DE SISTEMAS DE POTENCIA</t>
  </si>
  <si>
    <t>ESPECIALISTA EN CONTROL Y PROTECCIONES</t>
  </si>
  <si>
    <t>SIEMENS</t>
  </si>
  <si>
    <t>YATE</t>
  </si>
  <si>
    <t>sergio.valbuenamarulanda@siemens.com</t>
  </si>
  <si>
    <t>NINGUNO</t>
  </si>
  <si>
    <t>SANDRA MARIA</t>
  </si>
  <si>
    <t>RAMIREZ RINCON</t>
  </si>
  <si>
    <t>liusandraramirez@gmail.com</t>
  </si>
  <si>
    <t>DISEÑO MT</t>
  </si>
  <si>
    <t>INDEPENDIENTE</t>
  </si>
  <si>
    <t xml:space="preserve">INDEPENDIENTE </t>
  </si>
  <si>
    <t>SANDRA</t>
  </si>
  <si>
    <t>JULIO CESAR</t>
  </si>
  <si>
    <t>AVELLANEDA TORRES</t>
  </si>
  <si>
    <t>jcresidente@gmail.com</t>
  </si>
  <si>
    <t>ESPECIALIZACION EN GERENCIA DE PROYECTOS</t>
  </si>
  <si>
    <t>DIRECCION DR PROYECTOS</t>
  </si>
  <si>
    <t>COORDINADOR DE INGENIERIA</t>
  </si>
  <si>
    <t>JE JAIMES INGENIEROS SA</t>
  </si>
  <si>
    <t>OSCAR GONZALEZ</t>
  </si>
  <si>
    <t>j.avellaneda@jejaimes.com.co</t>
  </si>
  <si>
    <t>YAQUELINE</t>
  </si>
  <si>
    <t>GARZON</t>
  </si>
  <si>
    <t>yaqueline.garzon@gmail.com</t>
  </si>
  <si>
    <t>MAESTRIA EN CIENCIAS DE INFORMACION Y COMUNICACIONES</t>
  </si>
  <si>
    <t>EDUCACION-DOCENCIA</t>
  </si>
  <si>
    <t>DOCENTE UNIVERSITARIO</t>
  </si>
  <si>
    <t xml:space="preserve">HERY IBÁÑEZ </t>
  </si>
  <si>
    <t>ygarzonr@udistrital.edu.co</t>
  </si>
  <si>
    <t>BECA DE POSGRADO</t>
  </si>
  <si>
    <t>Cuenta de 11.3. Mi paso por la Facultad Tecnológica de la Universidad Distrital me ayudó a: HACER CONSULTAS BIBLIOGRÁFICAS EFECTIVAS</t>
  </si>
  <si>
    <t>Cuenta de 22. El programa académico que cursé satisfizo mis expectativas personales.</t>
  </si>
  <si>
    <t>Cuenta de 21. Considero que la apreciación de mi programa académico en el medio laboral en el que me desempeño es positiva.</t>
  </si>
  <si>
    <t>Cuenta de 20. Considero que mi programa académico me brindó las habilidades para desempeñarme con suficiencia en proyectos de investigación, asesorías y/o consultorías.</t>
  </si>
  <si>
    <t>Cuenta de 19. Considero que mi programa académico me brindó las herramientas necesarias para ejercer mi profesión.</t>
  </si>
  <si>
    <t>Cuenta de 18. Considero que los representantes de los egresados que participan en los órganos de dirección de la Universidad Distrital Francisco José de Caldas han liderado propuestas para el mejoramiento del vinculo entre los egresados y la Universidad.</t>
  </si>
  <si>
    <t>Cuenta de 17. Considero que la representación de los egresados en la Universidad Distrital cumple su papel de comunicación entre los directivos y los egresados.</t>
  </si>
  <si>
    <t>Cuenta de 16. Considero que mi paso por el nivel de ingeniería mejoró o mejorará las competencias que he desarrollado en el nivel tecnológico.</t>
  </si>
  <si>
    <t>Cuenta de 15. Considero que ser ingeniero mejora o mejorará las condiciones laborales del tecnólogo.</t>
  </si>
  <si>
    <t>Cuenta de 14. Considero que la denominación de mi título de ingeniero me abre o me abrirá mayores posibilidades en el mercado laboral.</t>
  </si>
  <si>
    <t>Cuenta de 13. Considero que la denominación de mi titulo de tecnólogo me ha abierto posibilidades en el mercado laboral.</t>
  </si>
  <si>
    <t>Cuenta de 12. Considero que estudiar un programa de ingeniería por ciclos, nivel tecnológico y nivel de Ingeniería, me brindó mejores oportunidades que estudiar una carrera de Ingeniería tradicional.</t>
  </si>
  <si>
    <t>Cuenta de 11.4. Mi paso por la Facultad Tecnológica de la Universidad Distrital me ayudó a: UTILIZAR HERRAMIENTAS INFORMÁTICAS ACTUALIZADAS AL SERVICIO DE MI PROFESIÓN.</t>
  </si>
  <si>
    <t>Cuenta de 11.2. Mi paso por la Facultad Tecnológica de la Universidad Distrital me ayudó a: DESARROLLAR CAPACIDADES PARA LA SOLUCIÓN DE PROBLEMAS</t>
  </si>
  <si>
    <t>Cuenta de 11.1. Mi paso por la Facultad Tecnológica de la Universidad Distrital me ayudó a: APROPIARME DE MÉTODOS PARA EL APRENDIZAJE AUTÓNOMO.</t>
  </si>
  <si>
    <t>Cuenta de 10. Las estrategias didácticas empleadas en mi programa académico me permitieron adquirir los conocimientos suficientes y requeridos en la profesión que escogí.</t>
  </si>
  <si>
    <t>Cuenta de 9. En la época de culminación de mis estudios, mi programa académico me ofreció modalidades de trabajo de grado suficientemente variadas.</t>
  </si>
  <si>
    <t>Cuenta de 8.5. El programa académico al cual pertenecí me brindó las herramientas necesarias para PRODUCIR TEXTOS ARGUMENTANDO OPINIONES Y/O CONCEPTOS.</t>
  </si>
  <si>
    <t>Cuenta de 8.4. El programa académico al cual pertenecí me brindó las herramientas necesarias para SER PARTE ACTIVA Y PARTICIPATIVA EN LA CULTURA CIUDADANA</t>
  </si>
  <si>
    <t>Cuenta de 8.3. El programa académico al cual pertenecí me brindó las herramientas necesarias para OFRECER SOLUCIONES A LOS PROBLEMAS DE LA SOCIEDAD.</t>
  </si>
  <si>
    <t>Cuenta de 8.2. El programa académico al cual pertenecí me brindó las herramientas necesarias para FORTALECER MI ESPÍRITU CRÍTICO Y ÉTICO.</t>
  </si>
  <si>
    <t>Cuenta de 8.1. El programa académico al cual pertenecí me brindó las herramientas necesarias para DESARROLLAR PROCESOS DE INVESTIGACIÓN</t>
  </si>
  <si>
    <t>Cuenta de 7. Cuando fui estudiante, mi programa académico participaba activamente en proyectos dirigidos a la comunidad.</t>
  </si>
  <si>
    <t>Cuenta de 6. Considero que el proceso de admisión a cada uno de los niveles de formación de los programas por ciclos ofrecidos en la Facultad Tecnológica es apropiado.</t>
  </si>
  <si>
    <t>Cuenta de 5. Considero que el proceso de admisión a la Universidad Distrital Francisco José de Caldas es transparente y equitativo.</t>
  </si>
  <si>
    <t>spartan.sura@gmail.com</t>
  </si>
  <si>
    <t>TECNOLOGÍA EN ELECTRICIDAD</t>
  </si>
  <si>
    <t>danielklderondaniel@gmail.com</t>
  </si>
  <si>
    <t>TECNOLOGÍA EN SISTEMAS ELÉCTRICOS DE MEDIA Y BAJA TENSIÓN POR CICLOS PROPEDÉUTICOS</t>
  </si>
  <si>
    <t>fercho934418@hotmail.com</t>
  </si>
  <si>
    <t>lngonzalezh@correo.udistrital.edu.co</t>
  </si>
  <si>
    <t>brayanverdeoz@hotmail.com</t>
  </si>
  <si>
    <t>fracreyes123@gmail.com</t>
  </si>
  <si>
    <t>cmavendanoj@correo.udistrital.edu.co</t>
  </si>
  <si>
    <t>diegocast26@live.com</t>
  </si>
  <si>
    <t>luisafernanda12hernandez@gmail.com</t>
  </si>
  <si>
    <t>jhonfajardo@gmail.com</t>
  </si>
  <si>
    <t>cristianalfredo_09@hotmail.com</t>
  </si>
  <si>
    <t>nicolas08131@outlook.es</t>
  </si>
  <si>
    <t>berodriguezr@correo.udistrital.edu.co</t>
  </si>
  <si>
    <t>yerismora99@gmail.com</t>
  </si>
  <si>
    <t>corderolaura9.2@gmail.com</t>
  </si>
  <si>
    <t>reyden0000@gmail.com</t>
  </si>
  <si>
    <t>stefannyvasquezmontana@hotmail.com</t>
  </si>
  <si>
    <t>altupack@gmail.com</t>
  </si>
  <si>
    <t>solocolombia22@gmail.com</t>
  </si>
  <si>
    <t>freizerrozo@gmail.com</t>
  </si>
  <si>
    <t>mariajosecucanchon@gmail.com</t>
  </si>
  <si>
    <t>kalicruzr@yahoo.es</t>
  </si>
  <si>
    <t>yoya10@hotmail.es</t>
  </si>
  <si>
    <t>yuliana-2000-2011@hotmail.com</t>
  </si>
  <si>
    <t>jimenez.aleja03@gmail.com</t>
  </si>
  <si>
    <t>bastidas.ledesma@gmail.com</t>
  </si>
  <si>
    <t>arlex-cdlm@hotmail.es</t>
  </si>
  <si>
    <t>santiago05-96@hotmail.com</t>
  </si>
  <si>
    <t>camilodc99@gmail.com</t>
  </si>
  <si>
    <t>olayavictor772@gmail.com</t>
  </si>
  <si>
    <t>fardmauricio@hotmail.com</t>
  </si>
  <si>
    <t>mateogavidia@hotmail.com</t>
  </si>
  <si>
    <t>Yo estudio en esta universidad por la oportunidad no es por que esta sea la q quisiera aun asi agradesco la oportunidad y el buen desarrolo de las competencias</t>
  </si>
  <si>
    <t>benqsergio@hotmail.com</t>
  </si>
  <si>
    <t>cristianleo1057@gmail.com</t>
  </si>
  <si>
    <t>INGENIERÍA ELÉCTRICA POR CICLOS PROPEDÉUTICOS</t>
  </si>
  <si>
    <t>ajimenezaldana83@gmail.com</t>
  </si>
  <si>
    <t>harolyo@gmail.com</t>
  </si>
  <si>
    <t>vlado1884@yahoo.com</t>
  </si>
  <si>
    <t>efermedico@gmail.com</t>
  </si>
  <si>
    <t>j.fer28@hotmail.com</t>
  </si>
  <si>
    <t>lmpereirab@correo.udistrital.edu.co</t>
  </si>
  <si>
    <t>- Evaluar  las  quejas  presentadas a Profesores de mi carrera ( son muchas) donde se tomen acciones verdaderas que solucionen la causa raiz del problema.</t>
  </si>
  <si>
    <t>cristhian_1088@hotmail.com</t>
  </si>
  <si>
    <t>jhonattangordillo@gmail.com</t>
  </si>
  <si>
    <t>lelanpab@hotmail.com</t>
  </si>
  <si>
    <t>La organizacion y administracion no permiten integracion estudiantil con distintos proyectos para el bien del entorno ,comunidad,localidad ,sociedad falta mas inversion</t>
  </si>
  <si>
    <t>car234los@hotmail.com</t>
  </si>
  <si>
    <t>german.alfonsor@yahoo.com</t>
  </si>
  <si>
    <t>decastanedag@correo.udistrital.edu.co</t>
  </si>
  <si>
    <t xml:space="preserve">Personalmente pienso que existen muchas cosas por mejor, una de ellas es la sala de software; ya que muchas veces toca hacer la clase con alto nivel de hacinamiento. Otro aspecto por mejorar es el tema de la bibliográfica, específicamente libros aveces son muy pocos los que hay. </t>
  </si>
  <si>
    <t>jborda1224@gmail.com</t>
  </si>
  <si>
    <t>ingfad@hotmail.com</t>
  </si>
  <si>
    <t>ojllanosm@correo.udistrital.edu.co</t>
  </si>
  <si>
    <t>Pienso que no les importa la deserción o el problema que tenemos nosotros los estudiantes para continuar haciendo que se pierda el interés, se termine la carrera "por terminar" o simplemente cambiar de carrera, universidad, área (ingeniería), pienso muchas veces que le otorgan el poder a un profesor en un área específica (espacio académico que desbloquea espacios académicos fundamentales del siguiente semestre) para que los estudiantes deserten y se gradúen pocos, pienso que no hay un seguimiento para ese problema que sucede desde hace mucho tiempo, ¿Por qué un profesor que es un mal ser humano enseña con su táctica de infundir miedo a los estudiantes humillando sigue en un aula de clases "instruyendo"? Y no sólo es uno, muchas veces se "agrandan" se "crecen" y hacen sentir mal, es cierto que uno está aprendiendo, pero si a la hora de entrar a clase, se tiene miedo, no hay inspiración y motivación para entrar, es porque no sólo nosotros estamos haciendo algo mal, además, uno no dice algo, porque todos los profesores se hablan con todos, y da temor encontrarse de nuevo con ellos en semestres posteriores. Tengo miedo de verdad, y a pesar de mi situación de prueba académica, nunca he recibido apoyo de mi proyecto curricular para y aseguro que ninguno de mis compañeros. Muchas gracias por la atención y sé que no va a pasar algo diferente, como siempre con las evaluaciones docentes y todos esos cuentos baratos. Discúlpen si me excedí. Gracias.</t>
  </si>
  <si>
    <t>lacardenasr@correo.udistrital.edu.co</t>
  </si>
  <si>
    <t xml:space="preserve">Buenas noches:
A pesar de la sinceridad de los estudiantes en la evaluación docente positiva o negativa, por la metodología de enseñanza docente y su mortalidad académica no pasa a ser más allá de un formalismo.
Amo y respeto mi Universidad Distrital pero decadencia infraestructural y presupuestal no permite que se termine a tiempo una tecnología, esto acompañado con el poder de los docentes de planta que carecen de pedagogía y aún así hay continúan.
Agradezco la atención prestada. </t>
  </si>
  <si>
    <t>nellylara14@hotmail.com</t>
  </si>
  <si>
    <t>Es bueno tener docentes que de verdad lo sean no los estudiantes que pasan de laboratoristas a profesores es una falta de respeto con nosotros los estudiantes. Baja la calidad de nuestra carrera la cual es excelente para nuestras vidas personales como laborales.
Deberían brindar garantías y acompañamiento para podernos graduar sin tantos obstaculos y dar paso a nuevas generaciones</t>
  </si>
  <si>
    <t>tavo458@hotmail.com</t>
  </si>
  <si>
    <t>El programa esubo de los peores de la universidad en atención de funcionarios y en profesores, los cuales no deberían llamarse así puesto que son personas muy prepotentes groseros y muy poco profesionales en la calificación , ( Germán Guevara, mario Rodríguez, adas están poniendo a pelados que apneas salen del pregrado a enseñar cuando no tienen ni una gota de pedagogía (Diego Giral, Víctor Gómez, Alexander Rodríguez), no se preocupan por qué el estudiante aprendi si no presumir de Susi *conocimientos en clase.una de las niñas que atiende en la coordinación Johana es muy grosera con los estudiantes,  elizabeth es la única que trata a los estudiantes con respeto</t>
  </si>
  <si>
    <t>laine8727@hotmail.com</t>
  </si>
  <si>
    <t xml:space="preserve">De unos años para aca los docentes no son lo suficientemente idoneo para poder dictar una asignatura,  son recien egresados, laboratoristas, etc. que lo unico que piensan es que entre mas alumnos dejen mejores docentes son. la calidad de la educacion sigue disminuyendo abrumadoramente. </t>
  </si>
  <si>
    <t>juandavidgunturizamaya@gmail.com</t>
  </si>
  <si>
    <t>giovannygalindo78@gmail.com</t>
  </si>
  <si>
    <t>escobarjohann@gmail.com</t>
  </si>
  <si>
    <t xml:space="preserve">Sacan pecho con la acreditación en alta calidad y los docentes que contratan son personas que ni siquiera tienen calidad. Caso particular Ing eléctrica X ciclos, donde al parecer el único requisito para impartir clase, es haber sido parte de los laboratorios y tener conocimientos avanzados en el software Matlab.
No se tiene en cuenta la evaluación docente.
Semestre a semestre no hay "electivas". 
Los docentes semestre a semestre plantean las mismas practicas de laboratorios, las cuales fueron plagiadas de internet. </t>
  </si>
  <si>
    <t>juancsaavedra@hotmail.com</t>
  </si>
  <si>
    <t>Invito a mejorar las atenciones por parte de la administración y el bienestar universitario, también a fomentar más a los estudiantes a la investigación con conciencia y  un sentido critíco a sociedad actual.</t>
  </si>
  <si>
    <t>nico.moli.ds@gmail.com</t>
  </si>
  <si>
    <t xml:space="preserve">las respuestas son poco coherentes </t>
  </si>
  <si>
    <t>bryan-0706@hotmail.com</t>
  </si>
  <si>
    <t>michaelpradam@gmail.com</t>
  </si>
  <si>
    <t>aalmanzar@correo.udistrital.edu.co</t>
  </si>
  <si>
    <t>angietovar8@gmail.com</t>
  </si>
  <si>
    <t>jgramosr@correo.udistrital.edu.co</t>
  </si>
  <si>
    <t xml:space="preserve">la encuesta debería ser mas corta, para dar un mejor análisis </t>
  </si>
  <si>
    <t>lfimbachig@correo.udistrital.edu.co</t>
  </si>
  <si>
    <t>rosas.costantin@gmail.com</t>
  </si>
  <si>
    <t>jhoalgonzalezm@correo.udistrital.edu.co</t>
  </si>
  <si>
    <t>macarvajal20@hotmail.com</t>
  </si>
  <si>
    <t>dschitivae@correo.udistrital.edu.co</t>
  </si>
  <si>
    <t>sebastian_olaya10@hotmail.com</t>
  </si>
  <si>
    <t>dfelipers98@gmail.com</t>
  </si>
  <si>
    <t>davidleyesrozo@gmail.com</t>
  </si>
  <si>
    <t>jhonatan20_17@hotmail.com</t>
  </si>
  <si>
    <t>amegonzalezg@correo.udistrital.edu.co</t>
  </si>
  <si>
    <t>camottam@correo.udistrital.com</t>
  </si>
  <si>
    <t xml:space="preserve">El documento es excesivamente extenso </t>
  </si>
  <si>
    <t>lauristefan.22@gmail.com</t>
  </si>
  <si>
    <t>jcguzmanz@correo.udistrital.edu.co</t>
  </si>
  <si>
    <t>dyohanna-1342@hotmail.com</t>
  </si>
  <si>
    <t>johanasan_@hotmail.com</t>
  </si>
  <si>
    <t>duvanska77@hotmail.com</t>
  </si>
  <si>
    <t>loadlpz@gmail.com</t>
  </si>
  <si>
    <t>edlassol@correo.udistrital.edu.co</t>
  </si>
  <si>
    <t>michaeljaralopez@gmail.com</t>
  </si>
  <si>
    <t>lugoz1008@gmail.com</t>
  </si>
  <si>
    <t>winieputo@hotmail.com</t>
  </si>
  <si>
    <t>jgsaae@correo.udistrital.edu.co</t>
  </si>
  <si>
    <t>maikoll.9213@hotmail.com</t>
  </si>
  <si>
    <t>andres890508@hotmail.com</t>
  </si>
  <si>
    <t>nataly.fajardoo@gmail.com</t>
  </si>
  <si>
    <t>edwinsepulvedad87@gmail.com</t>
  </si>
  <si>
    <t>serujioshin90@gmail.com</t>
  </si>
  <si>
    <t>angelaj15@hotmail.com</t>
  </si>
  <si>
    <t>ca.du_arte@hotmail.com</t>
  </si>
  <si>
    <t>carlitosverdolaga2014@hotmail.com</t>
  </si>
  <si>
    <t>jdsiabatog@correo.udistrital.edu.co</t>
  </si>
  <si>
    <t>jaironss098@gmail.com</t>
  </si>
  <si>
    <t>ajsalinasp@correo.udistrital.edu.co</t>
  </si>
  <si>
    <t>jhonebh@outlook.com</t>
  </si>
  <si>
    <t>davidhar1312@gmail.com</t>
  </si>
  <si>
    <t>alexodion77@hotmail.com</t>
  </si>
  <si>
    <t>fabiovasquez.col@gmail.com</t>
  </si>
  <si>
    <t>m_quintero16@hotmail.com</t>
  </si>
  <si>
    <t>La coordinación no debería permitir ambigüedad en los contenidos programáticos de las asignaturas</t>
  </si>
  <si>
    <t>rayow16@gmail.com</t>
  </si>
  <si>
    <t>pedrolopezot@gmail.com</t>
  </si>
  <si>
    <t>bernallunabl@gmail.com</t>
  </si>
  <si>
    <t>electrizate@gmail.com</t>
  </si>
  <si>
    <t xml:space="preserve">falta accion en cualto a la utilizacion del lote </t>
  </si>
  <si>
    <t>ashenry.76@gmail.com</t>
  </si>
  <si>
    <t>andresprada1030@gmail.com</t>
  </si>
  <si>
    <t>jmsan88@gmail.com</t>
  </si>
  <si>
    <t>sanmileg@gmail.com</t>
  </si>
  <si>
    <t>ahurtadob@correo.udistrital.edu.co</t>
  </si>
  <si>
    <t>jnntorres@gmail.com</t>
  </si>
  <si>
    <t>hen_ry26@yahoo.es</t>
  </si>
  <si>
    <t>ing.apv@hotmail.com</t>
  </si>
  <si>
    <t>marcerod222@hotmail.com</t>
  </si>
  <si>
    <t>Nuestra sede y los programas que ofrece son una gran oportunidad para las personas que necesitan una opción para acceder a la educación, es un aporte inmenso a la sociedad y la población vulnerable. Es el camino para desarrollar el potencial de las personas y sus núcleos sociales. Una semilla en la sociedad.</t>
  </si>
  <si>
    <t>jejimenezr@correo.udistrital.edu.co</t>
  </si>
  <si>
    <t>jtolosav@correo.udistrital.edu.co</t>
  </si>
  <si>
    <t>efmontenegroa@correo.udistrital.edu.co</t>
  </si>
  <si>
    <t>wfsanchezd@correo.udistrital.edu.co</t>
  </si>
  <si>
    <t>carareyesg@correo.udistrital.edu.co</t>
  </si>
  <si>
    <t>nfernando_vera@hotmail.com</t>
  </si>
  <si>
    <t>je_bj21@hotmail.com</t>
  </si>
  <si>
    <t>gsgerenat@correo.udistrital.edu.co</t>
  </si>
  <si>
    <t xml:space="preserve">Podemos mejorar y fortalecer los vínculos entre la academia y la comunidad. Es preciso poner nuestras capacidades al servicio de la gente. Solucionar problemas de nuestro entorno cercano  en temas como aprovechamiento del agua, la energía y para aumentar la calidad de vida de la población. Debemos cuidarnos de llegar a ser sólo una máquina que suministra mano de obra a multinacionales que no retornan los beneficios suficientes al país.      </t>
  </si>
  <si>
    <t>nikobiker0357@gmail.com</t>
  </si>
  <si>
    <t>cristiangh3196@gmail.com</t>
  </si>
  <si>
    <t>cristianmoralesm41@gmail.com</t>
  </si>
  <si>
    <t>camisant10@hotmail.com</t>
  </si>
  <si>
    <t>eduar.gr@gmail.com</t>
  </si>
  <si>
    <t>cesar.m.19@hotmail.com</t>
  </si>
  <si>
    <t>crisal007@hotmail.com</t>
  </si>
  <si>
    <t>migarodrigueza@correo.udistrital.edu.co</t>
  </si>
  <si>
    <t>anderson.017@hotmail.es</t>
  </si>
  <si>
    <t>juanestebanhe@gmail.com</t>
  </si>
  <si>
    <t>butjoel@yahoo.es</t>
  </si>
  <si>
    <t>harol886@gmail.com</t>
  </si>
  <si>
    <t>electricoadomicilio26@gmail.com</t>
  </si>
  <si>
    <t>asprilla_123@hotmail.com</t>
  </si>
  <si>
    <t>En  muchas preguntas no puedo responder ya que me encuentro en la sede del INEM y es muy difícil opinar en cuanto a lo q pasa y conocer muchas cosas de la universidad . Como los directivos y de más cosas gracias</t>
  </si>
  <si>
    <t>leon.farith16@gmail.com</t>
  </si>
  <si>
    <t>jorgealonso_96@hotmail.com</t>
  </si>
  <si>
    <t>ojsolanog@correo.udistrital.edu.co</t>
  </si>
  <si>
    <t>eanavass@gmail.com</t>
  </si>
  <si>
    <t>alexarpillo@yahoo.es</t>
  </si>
  <si>
    <t>jguana.r@hotmail.com</t>
  </si>
  <si>
    <t>waltyss@hotmail.com</t>
  </si>
  <si>
    <t>sherill-12@hotmail.com</t>
  </si>
  <si>
    <t>degutierrez.28@gmail.com</t>
  </si>
  <si>
    <t>bhrojasd@correo.udistrital.edu.co</t>
  </si>
  <si>
    <t>No hay control sobre los administrativos, almuerzan 2 o mas horas, llegan tarde, se van temprano, atienden de mala gana.</t>
  </si>
  <si>
    <t>rockput@hotmail.com</t>
  </si>
  <si>
    <t>siempre he creído que se necesita mas dedicación hacia los estudiantes, para que nosotros podamos aprender y entender mas claramente los temas a los estamos involucrados.
gracias</t>
  </si>
  <si>
    <t>mvescobarg@correo.udistrital.edu.co</t>
  </si>
  <si>
    <t>aleja1ps@hotmail.com</t>
  </si>
  <si>
    <t>ximena_kr@hotmail.com</t>
  </si>
  <si>
    <t>spvaleroc@gmail.com</t>
  </si>
  <si>
    <t>La metodología de los "docentes" que fueron laboratoristas y egresados de la Universidad no es correcta , no conocen de pedagogia  exigen resultados más allá de lo que como docentes ofrecen, no retroalimentan en caso de no ser correcto el resultado , incluso se dirigen al alumno con frases como no me haga perder el tiempo , ademas algunos docentes que hasta poseen doctorados se basan en copias de capítulos de libros esto no es malo , pero que sólo nos lean lo que podemos leer por nosotros mismos y traspasar los ejemplos del libro al tablero sin tener claro el porque de de esos resultados ,contestar de forma irrespetuosa cuando se le hace una pregunta y sólo remitirnos nuevamente al libro , no es la forma , la Universidad necesita reforma en todos esos aspectos y en otros más .</t>
  </si>
  <si>
    <t>brodri.24@gmail.com</t>
  </si>
  <si>
    <t>jac.99@hotmail.com</t>
  </si>
  <si>
    <t>vtola57@gmail.com</t>
  </si>
  <si>
    <t>victorcruz_inf@hotmail.com</t>
  </si>
  <si>
    <t>ehmerchan93@gmail.com</t>
  </si>
  <si>
    <t>sbeltrang@correo.udistrital.edu.co</t>
  </si>
  <si>
    <t>juank-sc@hotmail.com</t>
  </si>
  <si>
    <t>dscr1996@gmail.com</t>
  </si>
  <si>
    <t>aguirreedicr7@gmail.com</t>
  </si>
  <si>
    <t>damian57.p@hotmail.com</t>
  </si>
  <si>
    <t>paolitagonita1997@gmail.com</t>
  </si>
  <si>
    <t>Me gustaría que en el plan de estudios se implementaran las electivas en ciencias básicas de nuevo y algunas electivas de electro-química y química básica que complementarían mucho la carrera</t>
  </si>
  <si>
    <t>azulon9714@gmail.com</t>
  </si>
  <si>
    <t>marcelaflorez-@hotmail.com</t>
  </si>
  <si>
    <t>Henry Felipe Ibáñez Olaya</t>
  </si>
  <si>
    <t xml:space="preserve">Magister en Ingeniería Eléctrica </t>
  </si>
  <si>
    <t>hfibanezo@gmail.com</t>
  </si>
  <si>
    <t>Wilmar Alberto Díaz Ossa</t>
  </si>
  <si>
    <t>Magister en Matemáticas Aplicadas</t>
  </si>
  <si>
    <t>EAFIT</t>
  </si>
  <si>
    <t>wadiazo@gmail.com</t>
  </si>
  <si>
    <t>José Danilo Rairán Antolines</t>
  </si>
  <si>
    <t>drairan@udistrital.edu.co</t>
  </si>
  <si>
    <t xml:space="preserve">Hay un problema que está saliendose de proporciones en la Facultad, se trata del consumo de alcohol y de sustancias alucinogenas por parte de los estudiantes. Esto está generando situacioes peligrosas, y las condiciones laborales, por tanto, se han deteriorado. De otra parte, algunos procedimientos administrativos le permiten a los estudiantes cancelar materias incluso de manera extemporanea, por lo cual el tiempo de permanencia de los estudiantes se ha incrementado, lo cual es otro problema grave. </t>
  </si>
  <si>
    <t>Fred Geovanny Murillo Rondon</t>
  </si>
  <si>
    <t>Universidad Santo Tomas</t>
  </si>
  <si>
    <t>fgmurillor@udistrital.edu.co</t>
  </si>
  <si>
    <t>Sonia Constanza Calderón Santos</t>
  </si>
  <si>
    <t>Magister en educación matemática</t>
  </si>
  <si>
    <t>sc.calderon@yahoo.com</t>
  </si>
  <si>
    <t>OMAR ALFONSO  BOHÓRQUEZ PACHECO</t>
  </si>
  <si>
    <t>ESPECIALIZACIÓN EN MATEMÁTICAS APLICADAS</t>
  </si>
  <si>
    <t>UNIVERSIDAD SERGIO ARBOLEDA</t>
  </si>
  <si>
    <t>majinbu8@hotmail.com</t>
  </si>
  <si>
    <t>MUY LARGA LA ENCUESTA ......... :)</t>
  </si>
  <si>
    <t>Gloria Ramirez Sanchez</t>
  </si>
  <si>
    <t>Maestría en Desarrollo Sostenible y Medio Ambiente</t>
  </si>
  <si>
    <t>Universidad de Manizales</t>
  </si>
  <si>
    <t>gloritabio@gmail.com</t>
  </si>
  <si>
    <t>Clara Inés Buriticá Arboleda</t>
  </si>
  <si>
    <t>Doctora (PhD) en Gestión Eficiente de la Energía Eléctrica</t>
  </si>
  <si>
    <t>Universidad Politécnica de Valencia (España)</t>
  </si>
  <si>
    <t>ciburiticaa@udistrital.edu.co</t>
  </si>
  <si>
    <t>Primero que todo agradezco este espacio para hacer comentarios y observaciones.
En segundo lugar, me permito manifestar como opinión personal, que:
En el cuestionario presentado, existen preguntas ambiguas por los términos empleados, que considero pueden distorsionar la interpretación de las respuestas. Por ejemplo: 
1) el programa académico al cual pertenezco "permite" desarrollar muchas actividades académicas (de docencia, de investigación y de extensión); sin embargo, no las lidera , ni las apoya, ni las incentiva. Esto último está bajo la iniciativa, responsabilidad y riesgo del docente que se "atreve y osa" en proponerlas y hacerlas.
2) El cuerpo docente del programa académico al cual pertenezco no trabaja como un colectivo bajo intereses y objetivos comunes (los del proyecto curricular); por lo tanto, muchas de las respuestas relacionadas con lo que si hace el programa académico son muy generales para expresar la actividad propia de unos cuantos profesores (en especial en actividades académicas de investigación y de extensión).
3) Existen dos vacíos importantes para la institución y para el profesorado, en especial el de planta. Para la institución, falta una política real y clara sobre las donaciones (personas naturales y jurídicas están interesadas en donar libros, equipos y diferentes materiales a diferentes proyectos curriculares y no ha sido posible). Recordemos que el apoyo de actividades académicas de investigación y extensión exonera a empresas privadas del pago de algunos impuestos. Y, para el profesorado, en lo relacionado con salud ocupacional y seguridad en el trabajo. Si un profesor se enferma y le dan incapacidad médica por más de 3 días, esta debe autorizarla la EPS para ser presentada a la institución; sin embargo, el descuento al docente se hace efectivo pero el respaldo institucional nombrando al reemplazo, nunca se realiza. Por el contrario, por el tiempo que dura la incapacidad se acumula el trabajo y se le tiene pendiente al profesor para cuando se reintegra. Esto es grave para el caso de enfermedades relacionadas con el estrés y la fatiga crónica: enfermedades comunes en nuestro tiempo.</t>
  </si>
  <si>
    <t>yaqueline garzon rodriguez</t>
  </si>
  <si>
    <t>mestria en ciencias de información y comunicaciones</t>
  </si>
  <si>
    <t>Universidad Distrital  Francisco José de Caldas</t>
  </si>
  <si>
    <t>Dora Marcela Martínez Camargo</t>
  </si>
  <si>
    <t>Maestría en Educación</t>
  </si>
  <si>
    <t>dmmartinezc@udistrital.edu.co</t>
  </si>
  <si>
    <t>Esta encuesta es aplicada a la Tecnología y a la ingeniería. Yo presto servicio a todas las tecnologías en Cátedra Francisco José de Caldas, considero importante preguntar sobre el proyecto curricular al cual está adscrito, no en el cual presta servicio.</t>
  </si>
  <si>
    <t>Mary Sol Avendaño Avendaño</t>
  </si>
  <si>
    <t>Magister en educación</t>
  </si>
  <si>
    <t>Universidad Pedagogica Nacional</t>
  </si>
  <si>
    <t>marwill666@hotmail.com</t>
  </si>
  <si>
    <t>INGENIERÍA ELÉCTRICA ARTICULADO POR CICLOS PROPEDÉUTICOS CON TECNOLOGÍA EN SISTEMAS ELÉCTRICOS DE MEDIA Y BAJA TENSIÓN</t>
  </si>
  <si>
    <t>Helmuth Edgardo Ortiz Suárez</t>
  </si>
  <si>
    <t>Ingeniero Electricista</t>
  </si>
  <si>
    <t>heortizs@udistrital.edu.co</t>
  </si>
  <si>
    <t>Punto 44. Es prioridad del proyecto curricular la formación de competencias profesionales? Creo que no, por lo cual debería reformularse esta pregunta.</t>
  </si>
  <si>
    <t>Mariela Castiblanco Ortiz</t>
  </si>
  <si>
    <t>En proceso</t>
  </si>
  <si>
    <t>Universidad distrital</t>
  </si>
  <si>
    <t>mcastiblancoo@gmail.com</t>
  </si>
  <si>
    <t>Alexandra Sashenka Pérez Santos</t>
  </si>
  <si>
    <t>Maestría en Ingeniería Eléctrica</t>
  </si>
  <si>
    <t xml:space="preserve">Universidad Nacional de Colombia </t>
  </si>
  <si>
    <t>asperezs@udistrital.edu.co</t>
  </si>
  <si>
    <t xml:space="preserve">El proyecto curricular actúa de forma respetuosa con respecto a los intereses de los docentes con respecto al énfasis que realizan en las actividades de Docencia , de  Extensión o de Investigación. Todas estas áreas presentan debilidades y fortalezas, y en todas se requiere el desempeño de docentes apasionados de cada actividad. </t>
  </si>
  <si>
    <t>Carlos Alberto Avendaño Avendaño</t>
  </si>
  <si>
    <t>Especialista en Alta Tensión</t>
  </si>
  <si>
    <t>calitoave@gmail.com</t>
  </si>
  <si>
    <t>Maestría en matemáticas aplicadas</t>
  </si>
  <si>
    <t>Diego Armando Giral Ramírez</t>
  </si>
  <si>
    <t>Magister en Ingenieria Eléctrica</t>
  </si>
  <si>
    <t>dagiralr@correo.udistrital.edu.co</t>
  </si>
  <si>
    <t>MARIO ALBERTO RODRIGUEZ BARRERA</t>
  </si>
  <si>
    <t>DOCTORADO</t>
  </si>
  <si>
    <t>Universidad Federal de Santa Catarina-Brasil</t>
  </si>
  <si>
    <t>marodriguezba4@gmail.com</t>
  </si>
  <si>
    <t>Algunas preguntas son ambiguas o no son claras: 10,22,30</t>
  </si>
  <si>
    <t>ALEXANDER RODRIGUEZ GARCIA</t>
  </si>
  <si>
    <t xml:space="preserve">UNIVERSIDAD DISTRITAL FRANCISCO JOSÉ DE CALDAS </t>
  </si>
  <si>
    <t>alexanderrorgar@gmail.com</t>
  </si>
  <si>
    <t>Angélica Mercedes Nivia Vargas</t>
  </si>
  <si>
    <t>amniviav@udistrital.edu.co</t>
  </si>
  <si>
    <t>Francy Liliana López Rojas</t>
  </si>
  <si>
    <t>Especialización en Gestión de Proyectos</t>
  </si>
  <si>
    <t>Universidad Nacional Abierta y a Distancia</t>
  </si>
  <si>
    <t>Doctor en Gestión Eficiente de la Energía Eléctrica</t>
  </si>
  <si>
    <t>Universidad Politécnica de Valencia - España</t>
  </si>
  <si>
    <t>En esta autoevaluación no es evidente el cambio institucional hacia una UNIVERSIDAD con acreditación de alta calidad; se continua preguntando básicamente en los mismos términos de una universidad dedicada a la  docencia, que no reconoce la cualificación de su cuerpo profesoral como investigadores autónomos (PhD=Doctores) ni como consultores y asesores nacionales e internacionales.</t>
  </si>
  <si>
    <t>ESPECIALISTA EN INFORMÁTICA Y AUTOMÁTICA INDUSTRIAL</t>
  </si>
  <si>
    <t>César Alexander Chacón Cardona</t>
  </si>
  <si>
    <t>Doctorado en Ciencias, Física</t>
  </si>
  <si>
    <t>Universidad de Colombia</t>
  </si>
  <si>
    <t>cachaconc@udistrital.edu.co</t>
  </si>
  <si>
    <t xml:space="preserve">Patricia Abdel Rahim Garzón </t>
  </si>
  <si>
    <t xml:space="preserve">Doctor en Ingeniería </t>
  </si>
  <si>
    <t>ggabdelr@unal.edu.co</t>
  </si>
  <si>
    <t>Ricardo Gordo Muskus</t>
  </si>
  <si>
    <t>magister en comunicación desarrollo y cambio social</t>
  </si>
  <si>
    <t>Univ Santo tomas</t>
  </si>
  <si>
    <t>quien_gordom@hotmail.com</t>
  </si>
  <si>
    <t>si es una encuesta de percepción, no debería exigir el nombre del encuestado, ya que éstas, además de ser sólo una cifra, se sustentan en la subjetividad momentánea....</t>
  </si>
  <si>
    <t>Hugo Armando Cárdenas Franco</t>
  </si>
  <si>
    <t>Especialización en Cartografía</t>
  </si>
  <si>
    <t>ITC de Holanda</t>
  </si>
  <si>
    <t>hacardenasf@udistrital.edu.co</t>
  </si>
  <si>
    <t>BETANCOURT MARTINEZ</t>
  </si>
  <si>
    <t>INGENIERO(A) ELÉCTRICO(A)</t>
  </si>
  <si>
    <t>RBET91@GMAIL.COM</t>
  </si>
  <si>
    <t>PROFESIONAL JUNIOR</t>
  </si>
  <si>
    <t>GERARDO ANTONIO</t>
  </si>
  <si>
    <t>CARDOZO MENDEZ</t>
  </si>
  <si>
    <t>gcardozo88@yahoo.com</t>
  </si>
  <si>
    <t>ILUMINACIÓN</t>
  </si>
  <si>
    <t>ING. DE PROYECTOS</t>
  </si>
  <si>
    <t>ROY ALPHA S.A.</t>
  </si>
  <si>
    <t>ESPECIALIZACIÓN</t>
  </si>
  <si>
    <t>JHON WILSON</t>
  </si>
  <si>
    <t>HUERTAS</t>
  </si>
  <si>
    <t>wilhtec@hotmail.com</t>
  </si>
  <si>
    <t xml:space="preserve">Ejecución de proyectos de construcción </t>
  </si>
  <si>
    <t>Gerente de proyectos</t>
  </si>
  <si>
    <t>JE JAIMES INGENIEROS</t>
  </si>
  <si>
    <t>Enrique Jaimes</t>
  </si>
  <si>
    <t>wilson.huertas@jejaimes.com.co</t>
  </si>
  <si>
    <t>Validación por los excelentes resultados obtenidos y asignación de proyectos especiales</t>
  </si>
  <si>
    <t>Especialista  en planeamiento energético</t>
  </si>
  <si>
    <t xml:space="preserve">JEIMY </t>
  </si>
  <si>
    <t>GUTIERREZ MORENO</t>
  </si>
  <si>
    <t>jeimygutierrezm@yahoo.es</t>
  </si>
  <si>
    <t xml:space="preserve">Ingeniería  </t>
  </si>
  <si>
    <t>Ingeniera de soporte</t>
  </si>
  <si>
    <t>Teseract SAS</t>
  </si>
  <si>
    <t>BLADIMIRO ESCORCIA</t>
  </si>
  <si>
    <t>planeacion1@teseract.com.co</t>
  </si>
  <si>
    <t>DIANA LISETH</t>
  </si>
  <si>
    <t>BECERRA CABIELES</t>
  </si>
  <si>
    <t>dianacabieles0427@gmail.com</t>
  </si>
  <si>
    <t>MULTINACIONAL ELECTRICO</t>
  </si>
  <si>
    <t>ESPECIALISTA DE VENTAS</t>
  </si>
  <si>
    <t>ABB</t>
  </si>
  <si>
    <t>ALFONSO SALGADO</t>
  </si>
  <si>
    <t>diana.becerra@co.abb.com</t>
  </si>
  <si>
    <t>ESPECIALISTA EN MERCADEO ESTRATÉGICO</t>
  </si>
  <si>
    <t>JHON FREDY</t>
  </si>
  <si>
    <t>ESQUIVEL GIRALDO</t>
  </si>
  <si>
    <t>jhon170285@gmail.com</t>
  </si>
  <si>
    <t>Distribución MT/BT</t>
  </si>
  <si>
    <t>Ingeniero electricista</t>
  </si>
  <si>
    <t>Codensa S.A Esp</t>
  </si>
  <si>
    <t>Marco Fidel Suarez Sanchez</t>
  </si>
  <si>
    <t>jhon.esquivel@enel.com</t>
  </si>
  <si>
    <t>Mejoras de procesos</t>
  </si>
  <si>
    <t>Especialista en Gestión de Proyectos de Ingeniería</t>
  </si>
  <si>
    <t xml:space="preserve">FREDY </t>
  </si>
  <si>
    <t>LOZADA GONZALEZ</t>
  </si>
  <si>
    <t>FRELOGON@HOTMAIL.COM</t>
  </si>
  <si>
    <t xml:space="preserve">ASESOR DE INGENIERÍA </t>
  </si>
  <si>
    <t xml:space="preserve">INGENIERO ASESOR ELÉCTRICO </t>
  </si>
  <si>
    <t>MAESTRIA EN INGENIERIA ELÉCTRICA</t>
  </si>
  <si>
    <t>RAMIREZ GUTIERREZ</t>
  </si>
  <si>
    <t>CANRAGU@GMAIL.COM</t>
  </si>
  <si>
    <t>ASESOR INGENIERÍA ELECTRICA</t>
  </si>
  <si>
    <t>iNGENIERO ELECTRICISTA INFRAESTRUCTURA</t>
  </si>
  <si>
    <t>CHARLES</t>
  </si>
  <si>
    <t>AGUIRRE BUITRAGO</t>
  </si>
  <si>
    <t>narval_162@hotmail.com</t>
  </si>
  <si>
    <t>Redes de distribución con operador de red</t>
  </si>
  <si>
    <t>codensa</t>
  </si>
  <si>
    <t>Hugo Velasco</t>
  </si>
  <si>
    <t>charles.aguirre@enel.com</t>
  </si>
  <si>
    <t>ascenso y viajes.</t>
  </si>
  <si>
    <t>Especialización sistema de distribución y transmisión</t>
  </si>
  <si>
    <t>JOHN JAIRO</t>
  </si>
  <si>
    <t>MURCIA HURTADO</t>
  </si>
  <si>
    <t>jjmurcia55@gmail.com</t>
  </si>
  <si>
    <t>ACADEMICO</t>
  </si>
  <si>
    <t>INSTRUCTOR</t>
  </si>
  <si>
    <t>SENA</t>
  </si>
  <si>
    <t>ANGÉLICA CARVAJAL</t>
  </si>
  <si>
    <t>jjmurcia82@misena.edu.co</t>
  </si>
  <si>
    <t>WILSON RICARDO</t>
  </si>
  <si>
    <t>TORRES MARTINEZ</t>
  </si>
  <si>
    <t>towerss0@yahoo.es</t>
  </si>
  <si>
    <t>Sector electrico</t>
  </si>
  <si>
    <t>Ingeniero de Calidad</t>
  </si>
  <si>
    <t>Almaviva SA</t>
  </si>
  <si>
    <t>José Ricardo Muñoz</t>
  </si>
  <si>
    <t>wtorresm@almaviva.com.co</t>
  </si>
  <si>
    <t xml:space="preserve">LUIS WILLINGTON </t>
  </si>
  <si>
    <t xml:space="preserve">ORTIZ SACRISTÁN </t>
  </si>
  <si>
    <t>germaniawilli007@hotmail.com</t>
  </si>
  <si>
    <t xml:space="preserve">Redes eléctricas de distribución </t>
  </si>
  <si>
    <t xml:space="preserve">Supervisor </t>
  </si>
  <si>
    <t xml:space="preserve">Deltec </t>
  </si>
  <si>
    <t>Jennifer Castaño</t>
  </si>
  <si>
    <t>supervisordrs@deltec.com.co</t>
  </si>
  <si>
    <t>Diana Paola</t>
  </si>
  <si>
    <t>Guerrero Higuera</t>
  </si>
  <si>
    <t>guerrerohigue@gmail.com</t>
  </si>
  <si>
    <t>Ingeniera de proyectos</t>
  </si>
  <si>
    <t>DyP Ingeniería SAS</t>
  </si>
  <si>
    <t>WBEYMAR</t>
  </si>
  <si>
    <t>TORRES GARCIA</t>
  </si>
  <si>
    <t>wbeymar7@gmail.com</t>
  </si>
  <si>
    <t>CONSTRUCCION</t>
  </si>
  <si>
    <t>INGENIERO DE PROYECTOS</t>
  </si>
  <si>
    <t>A&amp;G INGENIERIA ELECTRICA S.A.S</t>
  </si>
  <si>
    <t>ING. MAURICIO GUALTERO</t>
  </si>
  <si>
    <t>w.torres@aygingenieriaelectrica.com.co</t>
  </si>
  <si>
    <t xml:space="preserve">Nelson Andres </t>
  </si>
  <si>
    <t>Sosa Largo</t>
  </si>
  <si>
    <t>TECNÓLOGO(A) EN ELECTRICIDAD</t>
  </si>
  <si>
    <t>nelsonasosa@yahoo.com</t>
  </si>
  <si>
    <t>Estudiante</t>
  </si>
  <si>
    <t>Estudiante Ingeniería Eléctrica Por Ciclos Propedeuticos</t>
  </si>
  <si>
    <t>JOHANN</t>
  </si>
  <si>
    <t>ESCOBAR GUZMÁN</t>
  </si>
  <si>
    <t>aaaa</t>
  </si>
  <si>
    <t>CRISTYAN CAMILO</t>
  </si>
  <si>
    <t>MADRIGAL CASTILLO</t>
  </si>
  <si>
    <t>ccamilomc3@hotmail.com</t>
  </si>
  <si>
    <t xml:space="preserve">Redes de distribución de energía </t>
  </si>
  <si>
    <t xml:space="preserve">Ingeniero de Operación </t>
  </si>
  <si>
    <t>Héctor Albeiro</t>
  </si>
  <si>
    <t>Mora Cifuentes</t>
  </si>
  <si>
    <t>albeiro.ingeniero@gmail.com</t>
  </si>
  <si>
    <t>Empresario / Inspector RETIE y RETILAP</t>
  </si>
  <si>
    <t>Gerente</t>
  </si>
  <si>
    <t>Green electrical Power SAS / SGS Colombia SA</t>
  </si>
  <si>
    <t>Carlos Rondon SGS Colombia</t>
  </si>
  <si>
    <t>hector.mora.sgs@gmail.com</t>
  </si>
  <si>
    <t xml:space="preserve">Cuatro Matriculas de Honor </t>
  </si>
  <si>
    <t>Especialista en Redes de Distribución en Media Tensión</t>
  </si>
  <si>
    <t>JORDAN STEVEN</t>
  </si>
  <si>
    <t>CASTAÑEDA BERMUDEZ</t>
  </si>
  <si>
    <t>jscastanedab@correo.udistrital.edu.co</t>
  </si>
  <si>
    <t>RUGE</t>
  </si>
  <si>
    <t>rugearango@gmail.com</t>
  </si>
  <si>
    <t>MANTENIMIENTO</t>
  </si>
  <si>
    <t>karina.ruge@enel.com</t>
  </si>
  <si>
    <t>Especialista proyectos</t>
  </si>
  <si>
    <t>ASTRID YOJANA</t>
  </si>
  <si>
    <t>ESPINOSA CARVAJAL</t>
  </si>
  <si>
    <t>stacarvajal@yahoo.com</t>
  </si>
  <si>
    <t>Ofertas -licitaciones</t>
  </si>
  <si>
    <t>INGENIERA TECNICO COMERCIAL</t>
  </si>
  <si>
    <t>Schneider Electric</t>
  </si>
  <si>
    <t>Mauricio Jimenez</t>
  </si>
  <si>
    <t>astrid.espinosa@schneider-electric.com</t>
  </si>
  <si>
    <t>MAESTRIA GERENCIA EN INNOVACION EMPRESARIAL</t>
  </si>
  <si>
    <t>MILLER</t>
  </si>
  <si>
    <t>ARIZA</t>
  </si>
  <si>
    <t>milney25@gmail.com</t>
  </si>
  <si>
    <t>Coordinador de ingenieria</t>
  </si>
  <si>
    <t>Cotel</t>
  </si>
  <si>
    <t>Juan Fernando Gomez</t>
  </si>
  <si>
    <t>CINDY ESTEFANY</t>
  </si>
  <si>
    <t>GUERRERO CIFUENTES</t>
  </si>
  <si>
    <t>cindy510g@gmail.com</t>
  </si>
  <si>
    <t xml:space="preserve">SECTOR ELÉCTRICO </t>
  </si>
  <si>
    <t xml:space="preserve">ING TÉCNICO COMERCIAL OFERTAS </t>
  </si>
  <si>
    <t xml:space="preserve">SCHNEIDER ELECTRIC DE COLOMBIA S.A. </t>
  </si>
  <si>
    <t xml:space="preserve">CESAR GUTIÉRREZ </t>
  </si>
  <si>
    <t>cindy.guerrero@schneider.electric.com</t>
  </si>
  <si>
    <t>DANIEL ANDRES</t>
  </si>
  <si>
    <t>VASQUEZ GOMEZ</t>
  </si>
  <si>
    <t>adanielvasquez@hotmail.com</t>
  </si>
  <si>
    <t>Gestión de la información</t>
  </si>
  <si>
    <t>Tecnólogo en Gestión de la Información</t>
  </si>
  <si>
    <t>CAM</t>
  </si>
  <si>
    <t>Oscar Diaz</t>
  </si>
  <si>
    <t>daniel.vasquez@enel.com</t>
  </si>
  <si>
    <t xml:space="preserve">Jhon alexander </t>
  </si>
  <si>
    <t>Urrego</t>
  </si>
  <si>
    <t>energiaverde.sas@outlook.com</t>
  </si>
  <si>
    <t>independioente</t>
  </si>
  <si>
    <t xml:space="preserve">Energia verde Redes Electricas </t>
  </si>
  <si>
    <t>no hay</t>
  </si>
  <si>
    <t xml:space="preserve">creación de micro empresa </t>
  </si>
  <si>
    <t>Carlos Alfonso</t>
  </si>
  <si>
    <t>Ortiz Torres</t>
  </si>
  <si>
    <t>aortizt@gmail.com</t>
  </si>
  <si>
    <t>Tecnologo</t>
  </si>
  <si>
    <t>Lida Sabogal</t>
  </si>
  <si>
    <t>Estabilidad</t>
  </si>
  <si>
    <t>Educación</t>
  </si>
  <si>
    <t>Laboratorista</t>
  </si>
  <si>
    <t>Universidad Distrital FJC</t>
  </si>
  <si>
    <t>Luis Antonio Noguera Vega</t>
  </si>
  <si>
    <t>lab-tecelectrica@udistrital.edu.co</t>
  </si>
  <si>
    <t>pedro arnulfo</t>
  </si>
  <si>
    <t>lopez Santana</t>
  </si>
  <si>
    <t>ing.electrico.pedro.lopez@gmail.com</t>
  </si>
  <si>
    <t>ingeniero obras</t>
  </si>
  <si>
    <t>aenco</t>
  </si>
  <si>
    <t>danni</t>
  </si>
  <si>
    <t>prestigio</t>
  </si>
  <si>
    <t>JAIRO HUMBERTO</t>
  </si>
  <si>
    <t>PORRAS HERNANDEZ</t>
  </si>
  <si>
    <t>jairo.porras@hotmail.com</t>
  </si>
  <si>
    <t>Puesta en servicio  de Subestacionas de Media, Alta y Extra alta Tensión</t>
  </si>
  <si>
    <t>Especialista de Field Service</t>
  </si>
  <si>
    <t>JOHN BEDOYA</t>
  </si>
  <si>
    <t>jairo.porras_hernandez@siemens.com</t>
  </si>
  <si>
    <t>Puesta en servicio de Subestaciones de Media, Alta y Extra Alta Tensión</t>
  </si>
  <si>
    <t xml:space="preserve">SIEMENS </t>
  </si>
  <si>
    <t xml:space="preserve">Redes eléctricas </t>
  </si>
  <si>
    <t>Supervisor DRS</t>
  </si>
  <si>
    <t>Deltec</t>
  </si>
  <si>
    <t xml:space="preserve">Jennifer Castaño </t>
  </si>
  <si>
    <t>supervisordrs@gmail.com</t>
  </si>
  <si>
    <t>Alexis</t>
  </si>
  <si>
    <t>Losada</t>
  </si>
  <si>
    <t>alexis_losada@hotmail.com</t>
  </si>
  <si>
    <t>Educacion</t>
  </si>
  <si>
    <t>Docente De Planta De La Secretaria De Educacion SED</t>
  </si>
  <si>
    <t>SED</t>
  </si>
  <si>
    <t>Tillman Herrera Lopez</t>
  </si>
  <si>
    <t>coldigrancolombian7@redp.edu.co</t>
  </si>
  <si>
    <t>Magíster en didáctica de las Ciencias</t>
  </si>
  <si>
    <t>Docente de planta de la secretaria de Educación SED</t>
  </si>
  <si>
    <t>Magíster En Didáctica De Las Ciencias</t>
  </si>
  <si>
    <t>ViCTOR</t>
  </si>
  <si>
    <t>ALVAREZ</t>
  </si>
  <si>
    <t>vicalber@yahoo.com.ar</t>
  </si>
  <si>
    <t>Operación Subestaciones</t>
  </si>
  <si>
    <t xml:space="preserve">Gerente de Operaciones </t>
  </si>
  <si>
    <t>J. E. Jaimes Ingenieros</t>
  </si>
  <si>
    <t>Cuenta de 23. Considero que la formación profesional recibida ha contribuido en el desarrollo de mi proyecto de vida.</t>
  </si>
  <si>
    <t>Estamento</t>
  </si>
  <si>
    <t>Porcentaje de participación</t>
  </si>
  <si>
    <t>Personal administrativo</t>
  </si>
  <si>
    <t>Cargo</t>
  </si>
  <si>
    <t>3. Conoce los planes trazados para los próximos años en el interior de la Facultad</t>
  </si>
  <si>
    <t xml:space="preserve">4.2. Conoce los planes trazados para los próximos años en el interior del proyecto curricular en materia de: Docencia </t>
  </si>
  <si>
    <t>4.1. Conoce los planes trazados para los próximos años en el interior del proyecto curricular en materia de: Investigación</t>
  </si>
  <si>
    <t>4.3. Conoce los planes trazados para los próximos años en el interior del proyecto curricular en materia de: Extensión y proyección social</t>
  </si>
  <si>
    <t>5. Conoce las líneas y proyectos de investigación que se desarrollan actualmente</t>
  </si>
  <si>
    <t>6. Conoce la prospectiva de presentación de proyectos de investigación en el proyecto curricular y a qué línea le apuntan</t>
  </si>
  <si>
    <t>7. Menciona las líneas a las que apuntan los proyectos de investigación en el proyecto curricular</t>
  </si>
  <si>
    <t>8.1. Conoce las fuentes de financiación con las que se cuenta para el desarrollo de: Investigación</t>
  </si>
  <si>
    <t>8.2. Conoce las fuentes de financiación con las que se cuenta para el desarrollo de: Docencia</t>
  </si>
  <si>
    <t>8.3. Conoce las fuentes de financiación con las que se cuenta para el desarrollo de: Extensión y proyección social</t>
  </si>
  <si>
    <t xml:space="preserve">1. Cumplimiento de las funciones sustantivas de docencia investigación y, extensión y proyección social </t>
  </si>
  <si>
    <t>2. Menciona las políticas y programas educativos de la Universidad Distrital Francisco José de Caldas que deben conocer estamentos: Plan Estratégico de Desarrollo, Proyecto Universitario Institucional (PUI), Proyecto Educativo de Programa (PEP)</t>
  </si>
  <si>
    <t>9.1. Considera que los recursos económicos son suficientes para el desarrollo de: Investigación</t>
  </si>
  <si>
    <t>9.2. Considera que los recursos económicos son suficientes para el desarrollo de: Docencia</t>
  </si>
  <si>
    <t>9.3. Considera que los recursos económicos son suficientes para el desarrollo de: - Extensión y proyección social</t>
  </si>
  <si>
    <t>10.1. Menciona convenios y fuentes de financiación externa (local o extrajera), para el desarrollo de: Investigación</t>
  </si>
  <si>
    <t xml:space="preserve">10.3. Menciona convenios y fuentes de financiación externa (local o extrajera), para el desarrollo de: Extensión y proyección social </t>
  </si>
  <si>
    <t xml:space="preserve">10.2. Menciona convenios y fuentes de financiación externa (local o extrajera), para el desarrollo de: Formación docente </t>
  </si>
  <si>
    <t>11. Tiene conocimiento del impacto que genera el modelo de formación por ciclos</t>
  </si>
  <si>
    <t>12.1. Menciona las acciones que brindan posibilidades a los estudiantes para: Desarrollar procesos de investigación</t>
  </si>
  <si>
    <t>12.2. Menciona las acciones que brindan posibilidades a los estudiantes para: Desarrollar proyectos de extensión y proyección social a la comunidad</t>
  </si>
  <si>
    <t>13. Menciona los planes de ejecución presupuestal para el mejoramiento de la infraestructura y equipos de apoyo</t>
  </si>
  <si>
    <t>14. Menciona los medios que se utilizan para garantizar que la ejecución presupuestal sea eficaz y eficiente.</t>
  </si>
  <si>
    <t>15. Menciona aspectos que se deben fortalecerse en la formación de los estudiantes.</t>
  </si>
  <si>
    <t>Decano</t>
  </si>
  <si>
    <t>Secretario Académico</t>
  </si>
  <si>
    <t>Director Unidad de Investigación</t>
  </si>
  <si>
    <t>Director Unidad de Extensión</t>
  </si>
  <si>
    <t>Coordinador Autoevaluación y Acreditación</t>
  </si>
  <si>
    <t>Coordinador Proyecto Curricular Producción</t>
  </si>
  <si>
    <t>Coordinador Proyecto Curricular Electricidad</t>
  </si>
  <si>
    <t>Coordinador Proyecto Curricular Electrónica</t>
  </si>
  <si>
    <t>Coordinador Proyecto Curricular Construcciones Civiles</t>
  </si>
  <si>
    <t>Coordinador Proyecto Curricular Mecánica</t>
  </si>
  <si>
    <t>Coordinador Proyecto Curricular Telemática</t>
  </si>
  <si>
    <t>Coordinador Laboratorios Construcciones Civiles</t>
  </si>
  <si>
    <t>Coordinador Laboratorios Electricidad</t>
  </si>
  <si>
    <t>Coordinador Laboratorios Electrónica</t>
  </si>
  <si>
    <t>Coordinador Laboratorios Informática</t>
  </si>
  <si>
    <t>Coordinador Laboratorios Mecánica</t>
  </si>
  <si>
    <t>Coordinador Proyecto Curricular Maestría Ing. Civil</t>
  </si>
  <si>
    <t>Coordinador Comité de currículo</t>
  </si>
  <si>
    <t>Coordinador Laboratorios Ciencias Básicas</t>
  </si>
  <si>
    <t>Coordinador Laboratorios Industrial</t>
  </si>
  <si>
    <t xml:space="preserve">Medianamente de acuerdo </t>
  </si>
  <si>
    <t xml:space="preserve">Cuenta de 1. Cumplimiento de las funciones sustantivas de docencia investigación y, extensión y proyección social </t>
  </si>
  <si>
    <t>Cuenta de 2. Menciona las políticas y programas educativos de la Universidad Distrital Francisco José de Caldas que deben conocer estamentos: Plan Estratégico de Desarrollo, Proyecto Universitario Institucional (PUI), Proyecto Educativo de Programa (PEP)</t>
  </si>
  <si>
    <t>Cuenta de 3. Conoce los planes trazados para los próximos años en el interior de la Facultad</t>
  </si>
  <si>
    <t>Cuenta de 4.1. Conoce los planes trazados para los próximos años en el interior del proyecto curricular en materia de: Investigación</t>
  </si>
  <si>
    <t xml:space="preserve">Cuenta de 4.2. Conoce los planes trazados para los próximos años en el interior del proyecto curricular en materia de: Docencia </t>
  </si>
  <si>
    <t>Cuenta de 4.3. Conoce los planes trazados para los próximos años en el interior del proyecto curricular en materia de: Extensión y proyección social</t>
  </si>
  <si>
    <t>Cuenta de 5. Conoce las líneas y proyectos de investigación que se desarrollan actualmente</t>
  </si>
  <si>
    <t>Cuenta de 6. Conoce la prospectiva de presentación de proyectos de investigación en el proyecto curricular y a qué línea le apuntan</t>
  </si>
  <si>
    <t>Cuenta de 7. Menciona las líneas a las que apuntan los proyectos de investigación en el proyecto curricular</t>
  </si>
  <si>
    <t>Cuenta de 8.1. Conoce las fuentes de financiación con las que se cuenta para el desarrollo de: Investigación</t>
  </si>
  <si>
    <t>Cuenta de 8.2. Conoce las fuentes de financiación con las que se cuenta para el desarrollo de: Docencia</t>
  </si>
  <si>
    <t>Cuenta de 8.3. Conoce las fuentes de financiación con las que se cuenta para el desarrollo de: Extensión y proyección social</t>
  </si>
  <si>
    <t>Cuenta de 9.1. Considera que los recursos económicos son suficientes para el desarrollo de: Investigación</t>
  </si>
  <si>
    <t>Cuenta de 9.2. Considera que los recursos económicos son suficientes para el desarrollo de: Docencia</t>
  </si>
  <si>
    <t>Cuenta de 9.3. Considera que los recursos económicos son suficientes para el desarrollo de: - Extensión y proyección social</t>
  </si>
  <si>
    <t>Cuenta de 10.1. Menciona convenios y fuentes de financiación externa (local o extrajera), para el desarrollo de: Investigación</t>
  </si>
  <si>
    <t xml:space="preserve">Cuenta de 10.2. Menciona convenios y fuentes de financiación externa (local o extrajera), para el desarrollo de: Formación docente </t>
  </si>
  <si>
    <t xml:space="preserve">Cuenta de 10.3. Menciona convenios y fuentes de financiación externa (local o extrajera), para el desarrollo de: Extensión y proyección social </t>
  </si>
  <si>
    <t>Cuenta de 11. Tiene conocimiento del impacto que genera el modelo de formación por ciclos</t>
  </si>
  <si>
    <t>Cuenta de 12.1. Menciona las acciones que brindan posibilidades a los estudiantes para: Desarrollar procesos de investigación</t>
  </si>
  <si>
    <t>Cuenta de 12.2. Menciona las acciones que brindan posibilidades a los estudiantes para: Desarrollar proyectos de extensión y proyección social a la comunidad</t>
  </si>
  <si>
    <t>Cuenta de 13. Menciona los planes de ejecución presupuestal para el mejoramiento de la infraestructura y equipos de apoyo</t>
  </si>
  <si>
    <t>Cuenta de 14. Menciona los medios que se utilizan para garantizar que la ejecución presupuestal sea eficaz y eficiente.</t>
  </si>
  <si>
    <t>Cuenta de 15. Menciona aspectos que se deben fortalecerse en la formación de los estudiantes.</t>
  </si>
  <si>
    <t>Etiquetas de columna</t>
  </si>
  <si>
    <t>APELLIDO</t>
  </si>
  <si>
    <t>Documento elaborado por Coordiancion del Proyecto curricular basado en reportes generados por el Sistema de Gestion Academcia.</t>
  </si>
  <si>
    <t>Normatividad del proceso de Admision, regulares y convenio 2955</t>
  </si>
  <si>
    <t>Actas de cf</t>
  </si>
  <si>
    <t>pasantias - Diana Rojas</t>
  </si>
  <si>
    <t>Acuerdo 038 del 2015</t>
  </si>
  <si>
    <t>convenios abb - suscritos profe helmut, (Nacilonal)</t>
  </si>
  <si>
    <t>concursos?</t>
  </si>
  <si>
    <t xml:space="preserve">pull de electivas </t>
  </si>
  <si>
    <t>pasantias</t>
  </si>
  <si>
    <t>bienestar</t>
  </si>
  <si>
    <t xml:space="preserve">Informe estadístico con los nombres de los jóvenes investigadores, nombre de la investigación realizada o en proceso, tutor, nombre del artículo presentado para publicación, resultado de la investigación o incidencia de la misma en el área de estudio o a </t>
  </si>
  <si>
    <r>
      <t>Documento elaborado por Coordiancion del Proyecto curricular basado en reportes generados por el Sistema de Gestion Academcia.</t>
    </r>
    <r>
      <rPr>
        <sz val="11"/>
        <color rgb="FFFF0000"/>
        <rFont val="Garamond"/>
        <family val="1"/>
      </rPr>
      <t xml:space="preserve"> El link de Los cvlac</t>
    </r>
  </si>
  <si>
    <t>Inventario de materiales de apoyo
Recnocimiento a los docentes</t>
  </si>
  <si>
    <t>verificar el material, como libros utilizados en clases,</t>
  </si>
  <si>
    <t>admitidos al cp, cuantos graduados de tecnologia se presentan al nivel de ingenieira?</t>
  </si>
  <si>
    <t>Congreso CITIE, semanas tecnologicas, encuentro de gruupos de semilleros y charlas de patentes,  informes de gestion de investigacion, semana de la patente</t>
  </si>
  <si>
    <r>
      <t>informes de extension,</t>
    </r>
    <r>
      <rPr>
        <sz val="11"/>
        <color rgb="FFFF0000"/>
        <rFont val="Garamond"/>
        <family val="1"/>
      </rPr>
      <t xml:space="preserve"> cuadro maestro de acreditacion</t>
    </r>
  </si>
  <si>
    <t>informe gestion biblioteca, cuadro maestro 1. y solicitar a biblioteca la utilizacion de las bases de datos</t>
  </si>
  <si>
    <t>itap, cuadro de convenio y alianzas,</t>
  </si>
  <si>
    <t>proyecto de investigacion cuales son con cooperacion de otras instituciones, quienes utilizaron labo en otro lado, preguntar por ronal y a secretaria academica,</t>
  </si>
  <si>
    <t>anexar los convenios.</t>
  </si>
  <si>
    <t>ponencias, conferencias, seminarios (IEEE)</t>
  </si>
  <si>
    <t>TAREA MONITORA (socializaciones de las pasantias), hacer cuadro,</t>
  </si>
  <si>
    <t>12.1 Apoyar contrapartidas para convocatorias de Jóvenes investigadores, pedirle a ronald, desagrgado,</t>
  </si>
  <si>
    <t>estudiantes que realizaron trabajo de grado bajo la modalida de emprendimiento</t>
  </si>
  <si>
    <t>cuadro maestro, indicando el numero de horas dedicada a la investigacion,</t>
  </si>
  <si>
    <t>Cuanta plata de dan a los grupos de investigadores, cuantos monitores le pagan a revista y a grupos de investigacion, ronal la plata, secretaria el reporte de los monitores,</t>
  </si>
  <si>
    <t>profes que lideran lo grupos de investigacion,</t>
  </si>
  <si>
    <t>cuadro maestro de investigacion</t>
  </si>
  <si>
    <t>archivo excel de publicaciones</t>
  </si>
  <si>
    <t>no aplica</t>
  </si>
  <si>
    <t>informe de gestion unidad de emprendimiento profe Doris Olea,</t>
  </si>
  <si>
    <t>bienestar utilizacion de servicios en cuanto profesores y estudiantes, enviar corro a bienestar</t>
  </si>
  <si>
    <t>bienestar programa de gente vulnerable y preguntar a la profe sandra ver la noticvias pagina general institucioal</t>
  </si>
  <si>
    <t>Bienestar temas de retencion, graduacion el acurdo de proyecto de grado,</t>
  </si>
  <si>
    <t>El observatorio laboral  del ministerio, secretaria academica, encuesta de acreditacion</t>
  </si>
  <si>
    <t>observatorio laboral del ministerio</t>
  </si>
  <si>
    <t>esta berraco, general una encuesta.</t>
  </si>
  <si>
    <t xml:space="preserve">base de datos y encuesta </t>
  </si>
  <si>
    <t>cuadro maestro numero 1, espacios fisicos, clasificarlo de acuerdo a nuestro criterio</t>
  </si>
  <si>
    <t>preguntar profe wilmar como sacar la estadistica</t>
  </si>
  <si>
    <t>meritorias y laureadas, concurso y premios, secretaria no me ha pasado nada,</t>
  </si>
  <si>
    <t xml:space="preserve">convenios con las universidades, CERI ver la pagina estan publicados,
</t>
  </si>
  <si>
    <t>http://ceri.udistrital.edu.co/convenios/directorio</t>
  </si>
  <si>
    <t>Plan Estrategico de Desarrollo 2018-2030</t>
  </si>
  <si>
    <t>http://planeacion.udistrital.edu.co:8080/plan-estrategico-de-desarrollo</t>
  </si>
  <si>
    <t>http://planeacion.udistrital.edu.co:8080/pui</t>
  </si>
  <si>
    <t>http://www1.udistrital.edu.co:8080/es/web/tecnologia-en-electricidad/pep</t>
  </si>
  <si>
    <t>PEP del proyecto curricular publicado en 2017</t>
  </si>
  <si>
    <t>http://autoevaluacion.udistrital.edu.co/version3/varios/plan_mejoramiento_institucional.pdf</t>
  </si>
  <si>
    <t>Plan de mejoramiento Institucional</t>
  </si>
  <si>
    <t>Plan de mejoramiento del programa como anexo al informe de autoevalución</t>
  </si>
  <si>
    <t>Documento Maestro</t>
  </si>
  <si>
    <t>Informe de Resultados de Instrumentos de Apreciación 2017</t>
  </si>
  <si>
    <t>http://www1.udistrital.edu.co:8080/es/web/tecnologia-en-electricidad/actas</t>
  </si>
  <si>
    <t>Actas del Consejo de Facultad</t>
  </si>
  <si>
    <t>http://www1.udistrital.edu.co:8080/web/secretaria-academica-de-la-facultad-tecnologica/actas1</t>
  </si>
  <si>
    <t>http://planeacion.udistrital.edu.co:8080/documents/280760/e85c9fe0-ba57-456e-b7cc-31fffdb12665</t>
  </si>
  <si>
    <t>Informe de Gestión Institucional 2017 (pag. 35-47)</t>
  </si>
  <si>
    <t>http://chronos.udistrital.edu.co:8095/Icaro/</t>
  </si>
  <si>
    <t>Informe de Gestión 2017 Bienestar Institucional</t>
  </si>
  <si>
    <t>http://www1.udistrital.edu.co:8080/c/document_library/get_file?uuid=911154e3-78a2-4fa4-a096-5e673ffdeddb&amp;groupId=606315</t>
  </si>
  <si>
    <t>Anexo del documento Maestro</t>
  </si>
  <si>
    <t>Anexo 44. Autoevaluación 2013</t>
  </si>
  <si>
    <t>Anexo 44. Autoevaluación 2009</t>
  </si>
  <si>
    <t>Caracterización por cohorte de los estudiantes</t>
  </si>
  <si>
    <t>Caracterización por cohorte de los estudiantes (Hoja 1)</t>
  </si>
  <si>
    <t>Instructivo de admisiones</t>
  </si>
  <si>
    <t>https://www.udistrital.edu.co/instructivo-admisiones</t>
  </si>
  <si>
    <t>Acuerdo 01 de 2015</t>
  </si>
  <si>
    <t>Acuerdo 01 de 2003</t>
  </si>
  <si>
    <t>Plan Estratégico de desarrollo 2018-2030</t>
  </si>
  <si>
    <t>Eficacia en la aplicación de las políticas institucionales sobre flexibilidad curricular, a la luz de las apreciaciones de directivos, profesores y estudiantes del proyecto curricular.</t>
  </si>
  <si>
    <t>Documento Maestro Registro Calificado</t>
  </si>
  <si>
    <t>http://www1.udistrital.edu.co:8080/web/comite-de-autoevaluacion-y-acreditacion-facultad-tecnologica/documento-maestro-2015</t>
  </si>
  <si>
    <t>https://www1.udistrital.edu.co/oldpwi/autenticatedPortal/ConcursoDocente/bin/ListadoPerfil_Inscritos.php?p=11#81_anchor</t>
  </si>
  <si>
    <t>https://www1.udistrital.edu.co/oldpwi/autenticatedPortal/ConcursoDocente/bin/ListadoPerfil_Inscritos.php?p=12#81_anchor</t>
  </si>
  <si>
    <t>Concurso Docente 2012</t>
  </si>
  <si>
    <t>http://sgral.udistrital.edu.co/xdata/csu/acu_2002-011.pdf</t>
  </si>
  <si>
    <t xml:space="preserve">Estatuto docente </t>
  </si>
  <si>
    <t>Cuadro Maestro Profesores Formacción Vs Dedicación</t>
  </si>
  <si>
    <t>https://www.udistrital.edu.co/en-busca-calidad-universitaria-se-realizara-jornada-induccion-nuevos-contratistas-profesores</t>
  </si>
  <si>
    <t>Jornada de induccióna docentes nuevos</t>
  </si>
  <si>
    <t>http://www1.udistrital.edu.co:8080/en/web/docencia/actas-comite-de-puntaje</t>
  </si>
  <si>
    <t>Estado de cuenta Docentes</t>
  </si>
  <si>
    <t>http://planeacion.udistrital.edu.co:8080/documents/280760/2d37fee6-f22f-441e-a216-6c27e3b261cd</t>
  </si>
  <si>
    <t>Plan Maestro de Espacios Educativos 2018-2048</t>
  </si>
  <si>
    <t>http://planeacion.udistrital.edu.co:8080/plan-maestro-de-desarrollo-fisico</t>
  </si>
  <si>
    <t>Cuadro Maestro Espacios Físicos</t>
  </si>
  <si>
    <t>http://www1.udistrital.edu.co:8080/es/web/facultad-tecnologica/280</t>
  </si>
  <si>
    <t>http://chronos.udistrital.edu.co:8095/Icaro/planeacion/AdminiSeguimientoPlanAccion/Admin.x?accion=9&amp;idsperiodos=12;&amp;idDependencia=10&amp;value=15</t>
  </si>
  <si>
    <t>Infomes de Gestión Proyecto Curricular</t>
  </si>
  <si>
    <t xml:space="preserve">Actas Consejo de Facultad </t>
  </si>
  <si>
    <t>http://www1.udistrital.edu.co:8080/web/secretaria-academica-de-la-facultad-tecnologica/actas1/-/document_library_display/C5Zt/view/9646197</t>
  </si>
  <si>
    <t>http://www1.udistrital.edu.co:8080/web/oficina-asesora-de-control-interno/informes1#http://www1.udistrital.edu.co:8080/documents/27581/0/informe+estados+contables</t>
  </si>
  <si>
    <t>Informes final factores gestión presupuestal y estados contables de auditoria de regularidad</t>
  </si>
  <si>
    <t>Plan de mejoramiento 2013</t>
  </si>
  <si>
    <t>http://sgral.udistrital.edu.co/xdata/ca/res_2015-205.pdf</t>
  </si>
  <si>
    <t>Resolución 205-2015 CA</t>
  </si>
  <si>
    <t>Autoevaluación 2009 anexo del documento maestro</t>
  </si>
  <si>
    <t>Autoevaluación 2013 anexo del documento maestro</t>
  </si>
  <si>
    <t>PEP, páginas 31 a la 35</t>
  </si>
  <si>
    <t>PEP</t>
  </si>
  <si>
    <t>Documento de registro calificado: condición contenidos curriculares y actividades académicas</t>
  </si>
  <si>
    <t>Resolución N° 008 Septiembre 02 de 2010, Por el cual se dictan políticas para incorporar en los planes de estudios de los proyectos curriculares de pregrado de la Universidad créditos académicos conducentes a la formación de competencias básicas comunicativas en una segunda lengua.</t>
  </si>
  <si>
    <t>http://sgral.udistrital.edu.co/xdata/csu/acu_2010-008.pdf</t>
  </si>
  <si>
    <t>Documentos de autoevaluación 2009</t>
  </si>
  <si>
    <t>Documentos de autoevaluación 2013</t>
  </si>
  <si>
    <t>Documento donde se evidencie los estudiantes que cursan materias de posgrado como opción de grado para tecnología y de ingeniería como opción de grado para la tecnología</t>
  </si>
  <si>
    <t>http://tecelectrica.udistrital.edu.co:8080/actas</t>
  </si>
  <si>
    <t>Acuerdo N° 009 Septiembre 12 de 2006, "Por el cual se implementa el sistema de créditos académicos en la Universidad Distrital Francisco José de Caldas".</t>
  </si>
  <si>
    <t>http://sgral.udistrital.edu.co/xdata/ca/acu_2006-009.pdf</t>
  </si>
  <si>
    <t>Syllabus Ingeniería</t>
  </si>
  <si>
    <t>Syllabus Tecnología</t>
  </si>
  <si>
    <t>http://tecelectrica.udistrital.edu.co:8080/plan-de-estudios1</t>
  </si>
  <si>
    <t>Contenidos completos en el link de cada espacio académico en el plan de estudios de Tecnología</t>
  </si>
  <si>
    <t>Contenidos completos en el link de cada espacio académico en el plan de estudios de Ingeniería</t>
  </si>
  <si>
    <t>http://www1.udistrital.edu.co:8080/en/web/ingenieria-electrica-por-ciclos-propedeuticos/plan-de-estudios</t>
  </si>
  <si>
    <t>Documentos que evidencien el reconocimiento de estudiantes</t>
  </si>
  <si>
    <t>Otros documentos producidos que reflexionen sobre los objetivos, procesos, logros, pertinencia y relevancia social
del proyecto curricular.</t>
  </si>
  <si>
    <t>Otros documentos producidos, que reflexione sobre la incidencia de los sistemas de evaluación y autorregulación en el enriquecimiento de la calidad.</t>
  </si>
  <si>
    <t>Otros documentos de evaluación del proyecto curricular</t>
  </si>
  <si>
    <t>Informes de los proyectos de extensión.</t>
  </si>
  <si>
    <t>Documentos o actas de reunión</t>
  </si>
  <si>
    <t>Plan Estrategico de Desarrollo 2018-2039</t>
  </si>
  <si>
    <t>PUI, misión visión y objetivos institucionales</t>
  </si>
  <si>
    <t>Documento de Registro Calificado, condición: Investigación y relación con el etorno.</t>
  </si>
  <si>
    <t>Documento de Registro Calificado, condición: Bienestar.</t>
  </si>
  <si>
    <t>Documento de Registro calificado, condiciones: Investigación</t>
  </si>
  <si>
    <t>http://www1.udistrital.edu.co:8080/web/unidad-de-investigaciones-de-la-facultad-tecnologica</t>
  </si>
  <si>
    <t>PEP del proyecto curricular publicado en 2017, Pág 43-45</t>
  </si>
  <si>
    <t>Acuerdo 038 de 2015.</t>
  </si>
  <si>
    <t>http://sgral.udistrital.edu.co/xdata/ca/acu_2015-038.pdf</t>
  </si>
  <si>
    <t xml:space="preserve">Producción grupos de investigación </t>
  </si>
  <si>
    <t>http://ceri.udistrital.edu.co/plataforma/documentos/indicadores/informes-de-gestion</t>
  </si>
  <si>
    <t>Base de datos con información de los egresados.</t>
  </si>
  <si>
    <t>PEP del proyecto curricular publicado en 2017, páginas 9 a la 12.</t>
  </si>
  <si>
    <t>PEP del proyecto curricular publicado en 2017, páginas 10 a la 12.</t>
  </si>
  <si>
    <t xml:space="preserve">http://www1.udistrital.edu.co:8080/web/comite-de-autoevaluacion-y-acreditacion-facultad-tecnologica/empresarios </t>
  </si>
  <si>
    <t>Grupos de discusión empresarios</t>
  </si>
  <si>
    <t>Grupos de discusión egresados</t>
  </si>
  <si>
    <t>Informe primer encuentro de empresarios</t>
  </si>
  <si>
    <t>Nivel socioeconómico de los estudiantes admitidos al proyecto curricular de Ingeniería Eléctrica por ciclos propedéuticos</t>
  </si>
  <si>
    <r>
      <t>La Catedra Francisco Jose de Caldas como espacio académico transversal, compartido institucionalmente por todas las Facultades, se justifica por principios que orientan el Proyecto Universitario Institucional por todas las Facultades, se justifica por principios que orientan el Proyecto Universitario Institucional, en los cuales la universidad se asume como "</t>
    </r>
    <r>
      <rPr>
        <i/>
        <sz val="11"/>
        <color theme="1"/>
        <rFont val="Garamond"/>
        <family val="1"/>
      </rPr>
      <t xml:space="preserve">proyecto cultural </t>
    </r>
    <r>
      <rPr>
        <sz val="11"/>
        <color theme="1"/>
        <rFont val="Garamond"/>
        <family val="1"/>
      </rPr>
      <t>que através del ejercicio de sus funciones sustantivas, aporta a la comprensión y transformación de sí misma y de las realidades sociales...</t>
    </r>
  </si>
  <si>
    <t xml:space="preserve">http://tecelectrica.udistrital.edu.co:8080/c/document_library/get_file?uuid=c003847b-cb13-4572-a861-2187cb044b2c&amp;groupId=42567 </t>
  </si>
  <si>
    <t xml:space="preserve">http://sgral.udistrital.edu.co/xdata/csu/acu_1993-027.pdf </t>
  </si>
  <si>
    <t>http://planeacion.udistrital.edu.co:8080/proyecto-sede-ensueno</t>
  </si>
  <si>
    <t>Proyecto ampliación Facultad Tecnológica, sede el Ensueño</t>
  </si>
  <si>
    <t xml:space="preserve">Proyecto Educativo de la Facultad </t>
  </si>
  <si>
    <t xml:space="preserve">NA </t>
  </si>
  <si>
    <t>Datos cualitativos o cuantitativos que relacionen las estructuras de organización, administración y gestión con la docencia, investigación, extensión, innovación o creación y cooperación.</t>
  </si>
  <si>
    <t>Organigrama del Proyecto curricular (pag.49)</t>
  </si>
  <si>
    <t>http://www1.udistrital.edu.co:8080/web/comite-de-autoevaluacion-y-acreditacion-facultad-tecnologica/pep-electricidad</t>
  </si>
  <si>
    <t>Organigramas de la Universidad</t>
  </si>
  <si>
    <t>http://planeacion.udistrital.edu.co:8080/sigud/organizacion</t>
  </si>
  <si>
    <t>Actas digitalizadas del Consejo de Facultad</t>
  </si>
  <si>
    <t xml:space="preserve">http://www1.udistrital.edu.co:8080/web/secretaria-academica-de-la-facultad-tecnologica/actas1 </t>
  </si>
  <si>
    <t>Informes de gestión Facultad Tecnológica</t>
  </si>
  <si>
    <t>Organigramas donde se evidencia la estructura general, académica y administrativa de la Universidad</t>
  </si>
  <si>
    <t>http://planeacion.udistrital.edu.co:8080/sigud</t>
  </si>
  <si>
    <t>En las funciones de los diferentes órganos de decisión se evidencia el proceso de toma de decisiones</t>
  </si>
  <si>
    <t xml:space="preserve">http://sgral.udistrital.edu.co/xdata/csu/acu_1997-003.pdf </t>
  </si>
  <si>
    <t>http://www1.udistrital.edu.co:8080/web/vicerrectoria-academica/funciones</t>
  </si>
  <si>
    <t>Actividades de los docentes del proyecto curricular, carpeta docentes primer archivo</t>
  </si>
  <si>
    <t xml:space="preserve">3. Profesores Electrica.xlsx </t>
  </si>
  <si>
    <t xml:space="preserve">https://sgral.udistrital.edu.co/xdata/csu/acu_1996-004.pdf </t>
  </si>
  <si>
    <t>Informes planes de mejoramiento</t>
  </si>
  <si>
    <t>Plan de mejoramientodel proyecto curricular</t>
  </si>
  <si>
    <t>Documentos que determinen las necesidades del proyecto curricular en cuanto a la cantidad y la dedicación del talento humano.</t>
  </si>
  <si>
    <t>En el Estatuto Académico el artículo 23 en el capítulo 5 se establecen las funciones del Coordinador</t>
  </si>
  <si>
    <t>Informes que permitan verificar la actualización permanente de la página web.</t>
  </si>
  <si>
    <t>Existencia de medidores de número de personas que consultan la web.</t>
  </si>
  <si>
    <t>Documentos que describan los procedimientos usados en la gestión documental, organización, actualización de los registros y archivos académicos de estudiantes, profesores, personal directivo y administrativo.</t>
  </si>
  <si>
    <t xml:space="preserve">http://planeacion.udistrital.edu.co:8080/sigud/s/siga </t>
  </si>
  <si>
    <t>Subsistema de gestión documental y archivo</t>
  </si>
  <si>
    <t>https://www.udistrital.edu.co/servicios-comunicaciones</t>
  </si>
  <si>
    <t>https://www.udistrital.edu.co/</t>
  </si>
  <si>
    <t>http://www1.udistrital.edu.co:8080/en/web/ingenieria-electrica-por-ciclos-propedeuticos/inicio</t>
  </si>
  <si>
    <t>http://www1.udistrital.edu.co:8080/en/web/ingenieria-electrica-por-ciclos-propedeuticos/docentes</t>
  </si>
  <si>
    <t>http://udnet.udistrital.edu.co:8080/</t>
  </si>
  <si>
    <t>Estadísticas estudiantes clasificados por diferentes aspectos</t>
  </si>
  <si>
    <t>Comunicaciones en la UD</t>
  </si>
  <si>
    <t>Página web de la UD</t>
  </si>
  <si>
    <t>Página WEB del programa</t>
  </si>
  <si>
    <t>Página WEB de la UDNET</t>
  </si>
  <si>
    <t>https://estudiantes.portaloas.udistrital.edu.co/appserv/</t>
  </si>
  <si>
    <t>Sistema de información académica</t>
  </si>
  <si>
    <t>Resolución N° 205 octubre 27 de 2015 y Resolución 206 de octubre 27 de 2015, Por medio de las cuales se ratifican los planes de estudio de Tecnología en Sistemas Eléctricos de Media y Baja Tensión e Ingeniería Eléctrica por ciclos.</t>
  </si>
  <si>
    <t xml:space="preserve"> http://sgral.udistrital.edu.co/xdata/ca/res_2015-205.pdf
http://sgral.udistrital.edu.co/xdata/ca/res_2015-205.pdf   
</t>
  </si>
  <si>
    <t xml:space="preserve">Plantillas de homologación </t>
  </si>
  <si>
    <t xml:space="preserve">https://www.udistrital.edu.co/admisiones-pregrado </t>
  </si>
  <si>
    <t xml:space="preserve">Proceso de Admisión para los programas de tecnología analizan icfes y estrato socioeconómico, para ineniería afinidad, icfes, experiencia como tecnólogo, entre otros.  </t>
  </si>
  <si>
    <t xml:space="preserve">Instructivo para reingresos y transferencias de estudiantes
</t>
  </si>
  <si>
    <t>https://www.udistrital.edu.co/reintegro</t>
  </si>
  <si>
    <t>Informes de gestión de los profesores participantes en los convenios</t>
  </si>
  <si>
    <t>Informes de gestión Centro de Investigaciones y Desarrollo Científico</t>
  </si>
  <si>
    <t>http://sgral.udistrital.edu.co/xdata/ca/res_2015-206.pdf</t>
  </si>
  <si>
    <t>Resoluciones 205 y 206 por las cuales se ratifica el plan de estudios de tecnología e ingeniería</t>
  </si>
  <si>
    <t>http://cidc.udistrital.edu.co/web/index.php/documentacion/informes-de-gestion</t>
  </si>
  <si>
    <t>Documentos elaborados por el proyecto curricular para sustentar las modificaciones al
currículo.</t>
  </si>
  <si>
    <t>Informes de los estudios de impacto realizados por el proyecto curricular.</t>
  </si>
  <si>
    <t>Informes de los profesores y estudiantes del proyecto curricular que han realizado proyectos o actividades de inserción del proyecto curricular en los contextos nacionales e internacionales.</t>
  </si>
  <si>
    <t>Prácticas y pasantias</t>
  </si>
  <si>
    <t>http://www1.udistrital.edu.co:8080/c/document_library/get_file?uuid=dbcc104f-6606-4f87-9281-f85b69114aac&amp;groupId=42573</t>
  </si>
  <si>
    <t>Informes de los profesores y estudiantes que han participado en actividades de internacionalización.</t>
  </si>
  <si>
    <t>Informe pendiente por entregar estudiantes: Velazco Cabanzo Gilberto y Rincon Andres Cesar</t>
  </si>
  <si>
    <t>Informes de profesores y estudiantes que han participados en las actividades de dichos convenios.</t>
  </si>
  <si>
    <t>Documentos elaborados por el proyecto curricular para sustentar las modificaciones al currículo</t>
  </si>
  <si>
    <t>FTSA-192-2018 Aval Movilidad Académica OLAYA MARÍN SEBASTIÁ
NFTSA-193-2018 Aval Movilidad Académica PEÑA MEDINA HAROLD</t>
  </si>
  <si>
    <t>Informes de gestión Centro de Investigación y Desarrollo Cientìfico</t>
  </si>
  <si>
    <t>Proyectos de grado: Cesar Chacón, Jonathan Rubiano y Horacio Torres
Curso de protecciones electricas: Facultad tecnologica, Facultad de Ingeniería, Universidad Nacional de Colombia</t>
  </si>
  <si>
    <t>Acuerdo 5091 de 1987 firmado entre la Universidad Nacional de Colombia y la Universidad Distrital Francisco José de Caldas</t>
  </si>
  <si>
    <t>http://sgral.udistrital.edu.co/xdata/rec/res_2013-328.pdf</t>
  </si>
  <si>
    <t>Participación en la camara de la energía profesor Luis Noguera 
Participación Red RITMUS (Red iberoamerica de transporte y movilidad urbana sostenible) profesora Clara Ines Buritica</t>
  </si>
  <si>
    <t>Propuesta de formación en la que se evidencien los propósitos de desarrollo de capacidades y habilidades investigativas, creativas e innovadoras en los estudiantes.</t>
  </si>
  <si>
    <t>Propuesta de formación en la que se evidencien la existencia de procedimientos para la formación en investigación, creación e innovación.</t>
  </si>
  <si>
    <t>Estudio sobre la utilización de mecanismos que incentivan la formación en investigación,  creación e innovación.</t>
  </si>
  <si>
    <t>http://planmaestroinv.udistrital.edu.co/</t>
  </si>
  <si>
    <t>Plan maestro de investigaciòn, creación e innovación</t>
  </si>
  <si>
    <t>Plan Estratégico de Investigación.</t>
  </si>
  <si>
    <t>Reportes sobre reconocimientos en libros de arte y revistas especializadas; reconocimientos externos de calidad de muestrasexposiciones- representaciones conciertos.</t>
  </si>
  <si>
    <t>Reportes sobre participación en eventos organizados por comunidades artísticas y académicas.</t>
  </si>
  <si>
    <t>Evaluaciones de impacto de muestras-exposicionesrepresentaciones- conciertos, y de la calidad de la socialización, difusiónpresentación-muestra de los trabajos.</t>
  </si>
  <si>
    <t>Evaluaciones de impacto de las actividades en este campo.</t>
  </si>
  <si>
    <t>Informe de Bienestar Universitario.</t>
  </si>
  <si>
    <t>Boletín informativo, Bienestar Institucional</t>
  </si>
  <si>
    <t>http://bienestar.udistrital.edu.co:8080/documents/76275/047ca77f-71a1-4667-9b6f-e09878ac97d4</t>
  </si>
  <si>
    <t>Estudios o evaluaciones sobre la aplicación de las políticas sobre bienestar institucional.</t>
  </si>
  <si>
    <t>Estudios sobre aplicación de estrategias para generar un clima institucional apropiado.</t>
  </si>
  <si>
    <t xml:space="preserve">http://bienestar.udistrital.edu.co:8080/convenios-ud </t>
  </si>
  <si>
    <t>Misión y visión de la Universidad Distrital y de bienestar.</t>
  </si>
  <si>
    <t>Página web de Bienestar quienes somos</t>
  </si>
  <si>
    <t>Página web de Bienestar socioeconómico</t>
  </si>
  <si>
    <t>http://bienestar.udistrital.edu.co:8080/socioeconomico</t>
  </si>
  <si>
    <t>Investigaciones sobre la problemática social del entorno.</t>
  </si>
  <si>
    <t>Estudios sobre los seguimientos hechos a las investigaciones que abordan la problemática social.</t>
  </si>
  <si>
    <t>Bienestar\estadisticas de la permanencia y ....2009-2017.pdf</t>
  </si>
  <si>
    <t>Pagina web institucional</t>
  </si>
  <si>
    <t>Encuesta de egresados aplicada en el 2017 donde se evidencia ubicación de los egresados del programa</t>
  </si>
  <si>
    <t>Informe encuentro de empresarios septiembre 2018</t>
  </si>
  <si>
    <t>http://www1.udistrital.edu.co:8080/web/comite-de-autoevaluacion-y-acreditacion-facultad-tecnologica/empresarios</t>
  </si>
  <si>
    <t xml:space="preserve">Informe Egresados 2017.pdf, donde se evidencian dos respuestas respecto al proyecto de vida. </t>
  </si>
  <si>
    <t>Informe encuentro de empresarios septiembre 2018.                                                                                                                                                    Documento Maestro</t>
  </si>
  <si>
    <t>http://www1.udistrital.edu.co:8080/web/comite-de-autoevaluacion-y-acreditacion-facultad-tecnologica/empresarios. http://www1.udistrital.edu.co:8080/web/comite-de-autoevaluacion-y-acreditacion-facultad-tecnologica/documento-maestro-2015</t>
  </si>
  <si>
    <t>Resultados apreciación egresados.</t>
  </si>
  <si>
    <t>http://www1.udistrital.edu.co:8080/web/comite-de-autoevaluacion-y-acreditacion-facultad-tecnologica/resultados-apreciacion</t>
  </si>
  <si>
    <t>Plan de acción 2018 comité de autoevaluación y acreditación facultad tecnologíca.   Encuentro de egresados.</t>
  </si>
  <si>
    <t>http://www1.udistrital.edu.co:8080/web/comite-de-autoevaluacion-y-acreditacion-facultad-tecnologica/planes-de-accion,     http://www1.udistrital.edu.co:8080/web/comite-de-autoevaluacion-y-acreditacion-facultad-tecnologica/resultados-apreciacion</t>
  </si>
  <si>
    <t>"Resultados apreciación egresados y  PEP del proyecto curricular publicado en 2017, pag 45-46"</t>
  </si>
  <si>
    <t>http://www1.udistrital.edu.co:8080/web/comite-de-autoevaluacion-y-acreditacion-facultad-tecnologica/resultados-apreciacion, http://www1.udistrital.edu.co:8080/es/web/tecnologia-en-electricidad/pep</t>
  </si>
  <si>
    <t>PEP del proyecto curricular publicado en 2017, pag 45-46</t>
  </si>
  <si>
    <t>PEP del proyecto curricular publicado en 2017, pag 41-44</t>
  </si>
  <si>
    <t>Resultados apreciación estudiantes.</t>
  </si>
  <si>
    <t>http://www1.udistrital.edu.co:8080/web/comite-de-autoevaluacion-y-acreditacion-facultad-tecnologica/resultados-apreciacion, http://scienti.colciencias.gov.co:8081/cvlac/visualizador/generarCurriculoCv.do?cod_rh=0001437908</t>
  </si>
  <si>
    <t xml:space="preserve">Encuentro de empresarios de la Facultad Tecnológica </t>
  </si>
  <si>
    <t>Convocatorias públicas, consursos docentes, contratación
Falta documento de ejecuión presupuestal del proyecto curricular</t>
  </si>
  <si>
    <t>https://www.udistrital.edu.co/procesos-contractuales</t>
  </si>
  <si>
    <r>
      <t>Porcentaje de inversión efectiva en el proyecto curricular</t>
    </r>
    <r>
      <rPr>
        <sz val="11"/>
        <color rgb="FFFF0000"/>
        <rFont val="Garamond"/>
        <family val="1"/>
      </rPr>
      <t xml:space="preserve"> </t>
    </r>
  </si>
  <si>
    <r>
      <t>Propuestas para inversión en el proyecto curricular.</t>
    </r>
    <r>
      <rPr>
        <sz val="11"/>
        <color rgb="FFFF0000"/>
        <rFont val="Garamond"/>
        <family val="1"/>
      </rPr>
      <t xml:space="preserve"> </t>
    </r>
  </si>
  <si>
    <t>Documento que correlacione la distribución del presupuesto en las distintas funciones sustantivas y los resultados de las mismas.</t>
  </si>
  <si>
    <t>Proyección de inversión anual del proyecto curricular</t>
  </si>
  <si>
    <t>Infomes de Gestión Institucional 2017</t>
  </si>
  <si>
    <t xml:space="preserve">https://www.udistrital.edu.co/conozca-el-informe-gestion-institucional-vigencia-2017 </t>
  </si>
  <si>
    <t xml:space="preserve">http://www1.udistrital.edu.co:8080/web/laboratorio-de-electricidad-facultad-tecnologica/gestion-de-laboratorios </t>
  </si>
  <si>
    <t>Informe final proyectos de extensión</t>
  </si>
  <si>
    <t>Informe dinal proyecto extensión</t>
  </si>
  <si>
    <t xml:space="preserve">Relación de los recursos internos y externos para apoyar al proyecto curricular. </t>
  </si>
  <si>
    <t xml:space="preserve">Listado de las actividades, propuestas, proyectos o programas, previstos desde el proyecto curricular, para generar recursos externos. </t>
  </si>
  <si>
    <t>Gestión de laboratorio y proyecto curricular</t>
  </si>
  <si>
    <t>Actas Consejo Curricular</t>
  </si>
  <si>
    <t>Actas Consejo Académico</t>
  </si>
  <si>
    <t xml:space="preserve">http://sgral.udistrital.edu.co/sgral/index.php?option=com_content&amp;task=view&amp;id=21&amp;Itemid=55 </t>
  </si>
  <si>
    <t>http://bienestar.udistrital.edu.co:8080/</t>
  </si>
  <si>
    <t xml:space="preserve">Boletines de Bienestar
</t>
  </si>
  <si>
    <t xml:space="preserve">http://bienestar.udistrital.edu.co:8080/convenios-ud#http://bienestar.udistrital.edu.co:8080/documents/76275/8173191/BOLETIN++INFOBIENESTAR+07 </t>
  </si>
  <si>
    <t>Informes propios del bienestar</t>
  </si>
  <si>
    <t xml:space="preserve">Boletines y estadísticas de Bienestar
</t>
  </si>
  <si>
    <t>El sistema académico de los estudiantes cuenta con el reglamento estudiantil</t>
  </si>
  <si>
    <t xml:space="preserve">https://www.udistrital.edu.co/normatividad/estatuto-estudiantil </t>
  </si>
  <si>
    <t>Aplicación del reglamento estudiantil</t>
  </si>
  <si>
    <t>Informes sobre la vinculación de profesores de vinculación especial al proyecto curricular, realizados en los últimos 5 años, como producto de la aplicación de las políticas, las normas y los criterios académicos.
Actas Consejo Curriculares</t>
  </si>
  <si>
    <t>Informes sobre la aplicación de las políticas de permanencia.</t>
  </si>
  <si>
    <t xml:space="preserve">Actos administrativos de escalafonamiento de los profesores de vinculación especial </t>
  </si>
  <si>
    <t>Página web del programa</t>
  </si>
  <si>
    <t>Cvlac de los docentes</t>
  </si>
  <si>
    <t xml:space="preserve">http://tecelectrica.udistrital.edu.co:8080/docentes1 </t>
  </si>
  <si>
    <t xml:space="preserve">http://tecelectrica.udistrital.edu.co:8080/pep </t>
  </si>
  <si>
    <t xml:space="preserve">http://tecelectrica.udistrital.edu.co:8080/plan-de-estudios1 </t>
  </si>
  <si>
    <t>En cada asignatura existe un hipervínculo que va al syllabus</t>
  </si>
  <si>
    <t xml:space="preserve">Asignación de puntos </t>
  </si>
  <si>
    <t xml:space="preserve">http://www1.udistrital.edu.co:8080/en/web/docencia/actas-comite-de-puntaje </t>
  </si>
  <si>
    <t>Actas consejo curricular</t>
  </si>
  <si>
    <t>http://www1.udistrital.edu.co:8080/web/laboratorio-de-electricidad-facultad-tecnologica/manuales</t>
  </si>
  <si>
    <t xml:space="preserve">http://www1.udistrital.edu.co:8080/web/laboratorio-de-electricidad-facultad-tecnologica/laboratorio1 </t>
  </si>
  <si>
    <t>Equipos</t>
  </si>
  <si>
    <t xml:space="preserve"> http://idexud.udistrital.edu.co/idexud/boletines/boletin-11-2018.html</t>
  </si>
  <si>
    <t>Boletines informativos</t>
  </si>
  <si>
    <t xml:space="preserve">http://idexud.udistrital.edu.co/idexud/proyectos_vigentes.php </t>
  </si>
  <si>
    <t>Proyectos IDEXUD</t>
  </si>
  <si>
    <t>http://extensiontecnologica.udistrital.edu.co:8080/documents/138555/1323623/Portafolio</t>
  </si>
  <si>
    <t>Portafolio Facultad Tecnológica</t>
  </si>
  <si>
    <t xml:space="preserve">http://extensiontecnologica.udistrital.edu.co:8080/proyectos </t>
  </si>
  <si>
    <t>Proyectos Facultad Tecnológica</t>
  </si>
  <si>
    <t>Actas comité de autoevaluación Facultad Tecnológica</t>
  </si>
  <si>
    <t xml:space="preserve">http://www1.udistrital.edu.co:8080/web/comite-de-autoevaluacion-y-acreditacion-facultad-tecnologica/actas </t>
  </si>
  <si>
    <t>El proyecto educativo institucional y de Facultad orienta las acciones y decisiones del proyecto curricular, en la gestión del currículo, la docencia, la investigación científica, la creación artística, la internacionalización, la proyección social, el bienestar de la comunidad y demás áreas estratégicas de la Universidad Distrital.</t>
  </si>
  <si>
    <t>https://www.udistrital.edu.co/admisiones-pregrado</t>
  </si>
  <si>
    <t xml:space="preserve">http://www1.udistrital.edu.co:8080/documents/138540/429744/Acuerdo_01_2003.pdf </t>
  </si>
  <si>
    <t>http://sgral.udistrital.edu.co/xdata/ca/acu_2018-04.pdf</t>
  </si>
  <si>
    <t>Socialización permanente de convocatorias por parte del CIDC y el CERI</t>
  </si>
  <si>
    <t xml:space="preserve">http://cidc.udistrital.edu.co/web/index.php/convocatorias 
</t>
  </si>
  <si>
    <t>Resoluciones del Consejo Académico de formación posgradual</t>
  </si>
  <si>
    <t>http://sgral.udistrital.edu.co/xdata/csu/res_2011-012.pdf</t>
  </si>
  <si>
    <t xml:space="preserve">Publicaciones SISGRAL.http://sgral.udistrital.edu.co/xdata/csu/res_2011-012.pdf
http://sgral.udistrital.edu.co/xdata/csu/res_2013-002.pdf
http://sgral.udistrital.edu.co/xdata/csu/res_2011-017.pdf
http://sgral.udistrital.edu.co/xdata/csu/res_2009-018.pdf
http://sgral.udistrital.edu.co/xdata/csu/res_2009-022.pdf
http://sgral.udistrital.edu.co/xdata/ca/res_2012-047.pdf
http://sgral.udistrital.edu.co/xdata/ca/res_2011-098.pdf
http://sgral.udistrital.edu.co/xdata/csu/res_2009-016.pdf </t>
  </si>
  <si>
    <t>Informes de profesores que han participado en los programas de desarrollo profesoral Institucional</t>
  </si>
  <si>
    <t>Socialización de tesis doctorales actas Consejo Curricular</t>
  </si>
  <si>
    <t xml:space="preserve">Normatividad oficina de Docencia </t>
  </si>
  <si>
    <t xml:space="preserve">Normatividad profesores de planta y ocasionales </t>
  </si>
  <si>
    <t>http://www1.udistrital.edu.co:8080/en/web/docencia/normatividad1</t>
  </si>
  <si>
    <t>Cvlac de los docentes, enlazadas en la página web del proyecto curricular.</t>
  </si>
  <si>
    <t>http://www1.udistrital.edu.co:8080/web/comite-de-autoevaluacion-y-acreditacion-facultad-tecnologica/documento-autoeval-2013,</t>
  </si>
  <si>
    <t xml:space="preserve">http://editorial.udistrital.edu.co/detalle.php?id=996&amp;f=6#sthash.VcPG5HoX.dpbs </t>
  </si>
  <si>
    <t>Libros publicados por la editorial de la Universidad Distrital: ( http://editorial.udistrital.edu.co/detalle.php?id=996&amp;f=6#sthash.VcPG5HoX.dpbs
http://editorial.udistrital.edu.co/detalle.php?id=875&amp;f=6#sthash.ZINUmAlS.dpbs
http://editorial.udistrital.edu.co/detalle.php?id=655&amp;f=6#sthash.S74YJbRp.dpbs
http://editorial.udistrital.edu.co/detalle.php?id=799&amp;f=6#sthash.vceDa2X8.dpbs
http://editorial.udistrital.edu.co/detalle.php?id=1051&amp;f=6#sthash.2XDPuVhu.dpbs
http://editorial.udistrital.edu.co/detalle.php?id=999&amp;f=6#sthash.E2LreL1a.dpbs)</t>
  </si>
  <si>
    <t xml:space="preserve">Autoevaluación 2013 y 2015 anexo del documento maestro, Autoevaluación 2015,  http://www1.udistrital.edu.co:8080/web/comite-de-autoevaluacion-y-acreditacion-facultad-tecnologica/documento-autoeval-2013,  </t>
  </si>
  <si>
    <t xml:space="preserve">Autoevaluación 2013 y 2015 anexo del documento maestro, Autoevaluación 2015,  http://www1.udistrital.edu.co:8080/web/comite-de-autoevaluacion-y-acreditacion-facultad-tecnologica/documento-maestro-2015 </t>
  </si>
  <si>
    <t>Normatividad Secretaría General de la Universidad Distrital Francisco José de Caldas</t>
  </si>
  <si>
    <t>Estatuto de propiedad intelectual</t>
  </si>
  <si>
    <t>http://sgral.udistrital.edu.co/xdata/csu/acu_2012-004.pdf</t>
  </si>
  <si>
    <t>Acuerdo de flexibilidad curricular</t>
  </si>
  <si>
    <t>Listado de estudiantes que han realizado opción de grado materias de posgrado</t>
  </si>
  <si>
    <t>Convenios CERI y convenios de pasantias</t>
  </si>
  <si>
    <t>http://ceri.udistrital.edu.co/archivos/MovilidadAcademica/5Junio2018-ResultadosEvaluacionMovilidadAcademica-2018-III.pdf</t>
  </si>
  <si>
    <t>Existencia mecanismos y estrategias explícitamente interdisciplinares que se asumen en el proyecto curricular para establecer formas de vincular conocimientos, relacionar conceptos y métodos de trabajo.</t>
  </si>
  <si>
    <t>https://www.udistrital.edu.co/ii-congreso-internacional-en-tecnologia-e-ingenieria-electrica-citie-2017</t>
  </si>
  <si>
    <t>http://ftecnologica.udistrital.edu.co:8080/citie-2015</t>
  </si>
  <si>
    <t>Syllabus diferentes espacios académicos</t>
  </si>
  <si>
    <t>Proyecto Educativo del Programa</t>
  </si>
  <si>
    <t>http://tecelectrica.udistrital.edu.co:8080/pep</t>
  </si>
  <si>
    <t>http://www1.udistrital.edu.co:8080/documents/11171/b251dbd8-4924-4497-b73e-0eb9f9163683</t>
  </si>
  <si>
    <t>Estadísticas Facultad tecnológica</t>
  </si>
  <si>
    <t xml:space="preserve">Informes de Bienestar </t>
  </si>
  <si>
    <t>Informes de Bienestar</t>
  </si>
  <si>
    <t>http://bienestar.udistrital.edu.co:8080/inicio</t>
  </si>
  <si>
    <t>Creación línea atención de permanencia</t>
  </si>
  <si>
    <t>Informe Estadístico de Tecnología</t>
  </si>
  <si>
    <t>Informe estadístico de Ingeniería</t>
  </si>
  <si>
    <t>Boletines Bienestar</t>
  </si>
  <si>
    <t>http://bienestar.udistrital.edu.co:8080/convenios-ud</t>
  </si>
  <si>
    <t>Estudiante con discapacidad auditiva</t>
  </si>
  <si>
    <t>Jaime Adrian Mateus</t>
  </si>
  <si>
    <t>Acta IDEXUD</t>
  </si>
  <si>
    <t xml:space="preserve">http://idexud.udistrital.edu.co/idexud/actascomite/upload/as03_cce_25062015.pdf. </t>
  </si>
  <si>
    <t>: http://idexud.udistrital.edu.co/idexud/actascomite/upload/as03_cce_25062015.pdf.</t>
  </si>
  <si>
    <t>Actas IDEXUD</t>
  </si>
  <si>
    <t>Base de datos de pasantías</t>
  </si>
  <si>
    <t>Documento compartido en drive</t>
  </si>
  <si>
    <t>Nuevo plan de mejoramiento</t>
  </si>
  <si>
    <t>Niuevo plan de mejoramiento</t>
  </si>
  <si>
    <t>Fuente: Sistema de Información ARKA - Oficina Asesora de Sistemas</t>
  </si>
  <si>
    <t>Recursos logísticos Facultad tecnológica</t>
  </si>
  <si>
    <t>Programación académica de las salas de software</t>
  </si>
  <si>
    <t xml:space="preserve">http://www1.udistrital.edu.co:8080/c/document_library/get_file?uuid=840c1f51-4bb2-42f1-a536-16e30cd7f288&amp;groupId=42573 </t>
  </si>
  <si>
    <t xml:space="preserve">http://www1.udistrital.edu.co:8080/web/laboratorio-de-electricidad-facultad-tecnologica/estadisticas </t>
  </si>
  <si>
    <t>Informes de gestión de los laboratorios</t>
  </si>
  <si>
    <t>Reglamento unificado</t>
  </si>
  <si>
    <t>http://www1.udistrital.edu.co:8080/en/c/document_library/get_file?uuid=7fce4e68-d89d-4f8a-b984-d331d4fe337e&amp;groupId=42573</t>
  </si>
  <si>
    <t>Informes de gestión</t>
  </si>
  <si>
    <t>Disponibilidades por semestre</t>
  </si>
  <si>
    <t>http://www1.udistrital.edu.co:8080/web/laboratorio-de-electricidad-facultad-tecnologica/disponibiidades</t>
  </si>
  <si>
    <t>Prácticas libres</t>
  </si>
  <si>
    <t>Disponibilidad de laboratorios</t>
  </si>
  <si>
    <t>Estrategias de enseñanza y aprendizaje</t>
  </si>
  <si>
    <t>Programas con doble titulación</t>
  </si>
  <si>
    <t>Información CIDC</t>
  </si>
  <si>
    <t>http://ceri.udistrital.edu.co/</t>
  </si>
  <si>
    <t xml:space="preserve">Información CERI </t>
  </si>
  <si>
    <t>Dois congresos internacionales CITIE 2015 y 2017</t>
  </si>
  <si>
    <t>PEP del proyecto curricular publicado en 2017, pag 48, 50</t>
  </si>
  <si>
    <t xml:space="preserve">Estatuto Académico  </t>
  </si>
  <si>
    <t>https://sgral.udistrital.edu.co/xdata/csu/acu_1996-004.pdf</t>
  </si>
  <si>
    <t>http://planeacion.udistrital.edu.co:8080/sigud/procesos</t>
  </si>
  <si>
    <t>Procesos universidad Distrital</t>
  </si>
  <si>
    <t>Observatorio laboral</t>
  </si>
  <si>
    <t>http://bi.mineducacion.gov.co:8380/eportal/web/men-observatorio-laboral/ingreso-promedio-por-programa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</si>
</sst>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m/d/yyyy\ h:mm:ss"/>
  </numFmts>
  <fonts count="30" x14ac:knownFonts="1">
    <font>
      <sz val="11"/>
      <color theme="1"/>
      <name val="Calibri"/>
      <family val="2"/>
      <scheme val="minor"/>
    </font>
    <font>
      <u/>
      <sz val="11"/>
      <color theme="10"/>
      <name val="Calibri"/>
      <family val="2"/>
      <scheme val="minor"/>
    </font>
    <font>
      <sz val="9"/>
      <color theme="1"/>
      <name val="Calibri"/>
      <family val="2"/>
      <scheme val="minor"/>
    </font>
    <font>
      <b/>
      <sz val="18"/>
      <color theme="1"/>
      <name val="Calibri"/>
      <family val="2"/>
      <scheme val="minor"/>
    </font>
    <font>
      <b/>
      <i/>
      <sz val="11"/>
      <color theme="1"/>
      <name val="Calibri"/>
      <family val="2"/>
      <scheme val="minor"/>
    </font>
    <font>
      <sz val="11"/>
      <color theme="1"/>
      <name val="Garamond"/>
      <family val="1"/>
    </font>
    <font>
      <sz val="11"/>
      <color theme="1"/>
      <name val="Calibri"/>
      <family val="2"/>
      <scheme val="minor"/>
    </font>
    <font>
      <b/>
      <sz val="11"/>
      <color theme="1"/>
      <name val="Garamond"/>
      <family val="1"/>
    </font>
    <font>
      <sz val="9"/>
      <color theme="1"/>
      <name val="Garamond"/>
      <family val="1"/>
    </font>
    <font>
      <u/>
      <sz val="11"/>
      <color theme="10"/>
      <name val="Garamond"/>
      <family val="1"/>
    </font>
    <font>
      <b/>
      <sz val="12"/>
      <color theme="1"/>
      <name val="Garamond"/>
      <family val="1"/>
    </font>
    <font>
      <i/>
      <sz val="11"/>
      <color theme="1"/>
      <name val="Garamond"/>
      <family val="1"/>
    </font>
    <font>
      <sz val="11"/>
      <name val="Garamond"/>
      <family val="1"/>
    </font>
    <font>
      <sz val="9"/>
      <color indexed="81"/>
      <name val="Tahoma"/>
      <family val="2"/>
    </font>
    <font>
      <b/>
      <sz val="9"/>
      <color indexed="81"/>
      <name val="Tahoma"/>
      <family val="2"/>
    </font>
    <font>
      <sz val="7"/>
      <color theme="1"/>
      <name val="Times New Roman"/>
      <family val="1"/>
    </font>
    <font>
      <sz val="10"/>
      <color rgb="FF000000"/>
      <name val="Arial"/>
      <family val="2"/>
    </font>
    <font>
      <sz val="10"/>
      <name val="Arial"/>
      <family val="2"/>
    </font>
    <font>
      <sz val="11"/>
      <color rgb="FFFF0000"/>
      <name val="Calibri"/>
      <family val="2"/>
      <scheme val="minor"/>
    </font>
    <font>
      <b/>
      <i/>
      <sz val="11"/>
      <color rgb="FFFF0000"/>
      <name val="Calibri"/>
      <family val="2"/>
      <scheme val="minor"/>
    </font>
    <font>
      <sz val="10"/>
      <color rgb="FF000000"/>
      <name val="Arial"/>
      <family val="2"/>
    </font>
    <font>
      <sz val="10"/>
      <name val="Arial"/>
      <family val="2"/>
    </font>
    <font>
      <sz val="10"/>
      <color theme="1"/>
      <name val="Arial"/>
      <family val="2"/>
    </font>
    <font>
      <u/>
      <sz val="11"/>
      <color theme="11"/>
      <name val="Calibri"/>
      <family val="2"/>
      <scheme val="minor"/>
    </font>
    <font>
      <sz val="11"/>
      <color rgb="FFFF0000"/>
      <name val="Garamond"/>
      <family val="1"/>
    </font>
    <font>
      <b/>
      <sz val="11"/>
      <color theme="1"/>
      <name val="Calibri"/>
      <family val="2"/>
      <scheme val="minor"/>
    </font>
    <font>
      <sz val="11"/>
      <color rgb="FF000000"/>
      <name val="Garamond"/>
      <family val="1"/>
    </font>
    <font>
      <u/>
      <sz val="11"/>
      <color rgb="FF0000FF"/>
      <name val="Garamond"/>
      <family val="1"/>
    </font>
    <font>
      <b/>
      <sz val="9"/>
      <color rgb="FF000000"/>
      <name val="Tahoma"/>
      <family val="2"/>
    </font>
    <font>
      <sz val="9"/>
      <color rgb="FF000000"/>
      <name val="Tahoma"/>
      <family val="2"/>
    </font>
  </fonts>
  <fills count="10">
    <fill>
      <patternFill patternType="none"/>
    </fill>
    <fill>
      <patternFill patternType="gray125"/>
    </fill>
    <fill>
      <patternFill patternType="solid">
        <fgColor theme="7" tint="0.59999389629810485"/>
        <bgColor indexed="64"/>
      </patternFill>
    </fill>
    <fill>
      <patternFill patternType="solid">
        <fgColor theme="4" tint="0.79998168889431442"/>
        <bgColor indexed="64"/>
      </patternFill>
    </fill>
    <fill>
      <patternFill patternType="solid">
        <fgColor rgb="FFFF9933"/>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rgb="FFCCCCCC"/>
      </left>
      <right style="medium">
        <color rgb="FFCCCCCC"/>
      </right>
      <top style="medium">
        <color rgb="FFCCCCCC"/>
      </top>
      <bottom style="medium">
        <color rgb="FFCCCCCC"/>
      </bottom>
      <diagonal/>
    </border>
    <border>
      <left/>
      <right style="thin">
        <color indexed="64"/>
      </right>
      <top style="thin">
        <color indexed="64"/>
      </top>
      <bottom style="thin">
        <color indexed="64"/>
      </bottom>
      <diagonal/>
    </border>
  </borders>
  <cellStyleXfs count="7">
    <xf numFmtId="0" fontId="0" fillId="0" borderId="0"/>
    <xf numFmtId="0" fontId="1" fillId="0" borderId="0" applyNumberFormat="0" applyFill="0" applyBorder="0" applyAlignment="0" applyProtection="0"/>
    <xf numFmtId="0" fontId="6" fillId="0" borderId="0" applyFont="0" applyFill="0" applyBorder="0" applyAlignment="0" applyProtection="0"/>
    <xf numFmtId="0" fontId="16" fillId="0" borderId="0"/>
    <xf numFmtId="0" fontId="16" fillId="0" borderId="0" applyFont="0" applyFill="0" applyBorder="0" applyAlignment="0" applyProtection="0"/>
    <xf numFmtId="0" fontId="20" fillId="0" borderId="0"/>
    <xf numFmtId="0" fontId="23" fillId="0" borderId="0" applyNumberFormat="0" applyFill="0" applyBorder="0" applyAlignment="0" applyProtection="0"/>
  </cellStyleXfs>
  <cellXfs count="413">
    <xf numFmtId="0" fontId="0" fillId="0" borderId="0" xfId="0"/>
    <xf numFmtId="0" fontId="0" fillId="0" borderId="0" xfId="0" applyFill="1"/>
    <xf numFmtId="0" fontId="0" fillId="0" borderId="0" xfId="0" applyFill="1" applyAlignment="1">
      <alignment vertical="center"/>
    </xf>
    <xf numFmtId="0" fontId="0" fillId="0" borderId="0" xfId="0" applyAlignment="1">
      <alignment vertical="center"/>
    </xf>
    <xf numFmtId="0" fontId="0" fillId="0" borderId="0" xfId="0" applyNumberFormat="1" applyAlignment="1">
      <alignment vertical="center"/>
    </xf>
    <xf numFmtId="0" fontId="0" fillId="0" borderId="1" xfId="0" applyFill="1" applyBorder="1" applyAlignment="1">
      <alignment vertical="center"/>
    </xf>
    <xf numFmtId="0" fontId="2"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Border="1" applyAlignment="1">
      <alignment vertical="center"/>
    </xf>
    <xf numFmtId="0" fontId="0" fillId="0" borderId="1" xfId="0" applyBorder="1" applyAlignment="1">
      <alignment vertical="center"/>
    </xf>
    <xf numFmtId="0" fontId="2" fillId="0" borderId="1" xfId="0" applyFont="1" applyBorder="1" applyAlignment="1">
      <alignment vertical="center" wrapText="1"/>
    </xf>
    <xf numFmtId="0" fontId="2" fillId="0" borderId="1" xfId="2" applyFont="1" applyBorder="1" applyAlignment="1">
      <alignment vertical="center" wrapText="1"/>
    </xf>
    <xf numFmtId="0" fontId="0" fillId="2" borderId="0" xfId="0" applyFill="1" applyAlignment="1">
      <alignment vertical="center"/>
    </xf>
    <xf numFmtId="0" fontId="3" fillId="0" borderId="5" xfId="0" applyFont="1" applyBorder="1" applyAlignment="1">
      <alignment horizontal="center" vertical="center"/>
    </xf>
    <xf numFmtId="0" fontId="3" fillId="3" borderId="5" xfId="0" applyFont="1" applyFill="1" applyBorder="1" applyAlignment="1">
      <alignment horizontal="center" vertical="center"/>
    </xf>
    <xf numFmtId="0" fontId="0" fillId="3" borderId="0" xfId="0" applyFill="1" applyAlignment="1">
      <alignment vertical="center"/>
    </xf>
    <xf numFmtId="0" fontId="2" fillId="2"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wrapText="1"/>
    </xf>
    <xf numFmtId="0" fontId="5" fillId="0" borderId="1" xfId="0" applyFont="1" applyBorder="1" applyAlignment="1">
      <alignment vertical="center" wrapText="1"/>
    </xf>
    <xf numFmtId="0" fontId="7" fillId="0" borderId="1" xfId="0" applyFont="1" applyBorder="1" applyAlignment="1">
      <alignment horizontal="center" vertical="center"/>
    </xf>
    <xf numFmtId="0" fontId="5" fillId="0" borderId="6" xfId="0" applyFont="1" applyBorder="1" applyAlignment="1">
      <alignment vertical="center"/>
    </xf>
    <xf numFmtId="0" fontId="5" fillId="0" borderId="8" xfId="0" applyFont="1" applyBorder="1" applyAlignment="1">
      <alignment vertical="center"/>
    </xf>
    <xf numFmtId="0" fontId="5" fillId="0" borderId="11" xfId="0" applyFont="1" applyBorder="1" applyAlignment="1">
      <alignment vertical="center"/>
    </xf>
    <xf numFmtId="0" fontId="7" fillId="0" borderId="13" xfId="0" applyFont="1" applyBorder="1" applyAlignment="1">
      <alignment horizontal="center" vertical="center"/>
    </xf>
    <xf numFmtId="0" fontId="7" fillId="0" borderId="14" xfId="0" applyFont="1" applyBorder="1" applyAlignment="1">
      <alignment horizontal="center" vertical="center" wrapText="1"/>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2" xfId="0" applyFont="1" applyBorder="1" applyAlignment="1">
      <alignment horizontal="center" vertical="center"/>
    </xf>
    <xf numFmtId="0" fontId="5" fillId="0" borderId="7" xfId="0" applyFont="1" applyBorder="1" applyAlignment="1">
      <alignment horizontal="center" vertical="center"/>
    </xf>
    <xf numFmtId="0" fontId="5" fillId="0" borderId="10" xfId="0" applyFont="1" applyBorder="1" applyAlignment="1">
      <alignment horizontal="center" vertical="center"/>
    </xf>
    <xf numFmtId="0" fontId="8" fillId="2" borderId="1" xfId="2" applyNumberFormat="1" applyFont="1" applyFill="1" applyBorder="1" applyAlignment="1">
      <alignment horizontal="center" vertical="center" wrapText="1"/>
    </xf>
    <xf numFmtId="0" fontId="8" fillId="2" borderId="9" xfId="2" applyNumberFormat="1" applyFont="1" applyFill="1" applyBorder="1" applyAlignment="1">
      <alignment horizontal="center" vertical="center" wrapText="1"/>
    </xf>
    <xf numFmtId="0" fontId="7" fillId="0" borderId="1" xfId="0" applyFont="1" applyBorder="1" applyAlignment="1">
      <alignment vertical="center"/>
    </xf>
    <xf numFmtId="0" fontId="7" fillId="3" borderId="1" xfId="0" applyFont="1" applyFill="1" applyBorder="1" applyAlignment="1">
      <alignment horizontal="center" vertical="center" textRotation="90" wrapText="1"/>
    </xf>
    <xf numFmtId="0" fontId="7" fillId="2" borderId="1" xfId="0" applyFont="1" applyFill="1" applyBorder="1" applyAlignment="1">
      <alignment horizontal="center" vertical="center" textRotation="90" wrapText="1"/>
    </xf>
    <xf numFmtId="0" fontId="3"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1" xfId="0" applyFont="1" applyBorder="1"/>
    <xf numFmtId="0" fontId="5" fillId="0" borderId="1" xfId="0" applyFont="1" applyBorder="1" applyAlignment="1">
      <alignment horizontal="justify" wrapText="1"/>
    </xf>
    <xf numFmtId="0" fontId="8" fillId="0" borderId="1" xfId="0" applyFont="1" applyBorder="1" applyAlignment="1">
      <alignment vertical="center" wrapText="1"/>
    </xf>
    <xf numFmtId="0" fontId="1" fillId="0" borderId="1" xfId="1" applyBorder="1" applyAlignment="1">
      <alignment vertical="center"/>
    </xf>
    <xf numFmtId="0" fontId="5" fillId="0" borderId="1" xfId="0" applyNumberFormat="1" applyFont="1" applyBorder="1" applyAlignment="1">
      <alignment horizontal="center" vertical="center"/>
    </xf>
    <xf numFmtId="0" fontId="7" fillId="0" borderId="1" xfId="0" applyFont="1" applyBorder="1" applyAlignment="1">
      <alignment horizontal="center" vertical="center" textRotation="90" wrapText="1"/>
    </xf>
    <xf numFmtId="0" fontId="7" fillId="0" borderId="1" xfId="0" applyFont="1" applyBorder="1" applyAlignment="1">
      <alignment horizontal="center" vertical="center" textRotation="90"/>
    </xf>
    <xf numFmtId="0" fontId="8" fillId="4" borderId="1" xfId="2" applyNumberFormat="1" applyFont="1" applyFill="1" applyBorder="1" applyAlignment="1">
      <alignment horizontal="center" vertical="center" wrapText="1"/>
    </xf>
    <xf numFmtId="0" fontId="10" fillId="0" borderId="1" xfId="0" applyFont="1" applyBorder="1" applyAlignment="1">
      <alignment vertical="center"/>
    </xf>
    <xf numFmtId="0" fontId="5" fillId="0" borderId="1" xfId="0" applyFont="1" applyBorder="1" applyAlignment="1">
      <alignment horizontal="justify"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justify"/>
    </xf>
    <xf numFmtId="0" fontId="0" fillId="0" borderId="1" xfId="0" applyBorder="1" applyAlignment="1">
      <alignment horizontal="center" vertical="center" wrapText="1"/>
    </xf>
    <xf numFmtId="0" fontId="2" fillId="0" borderId="1" xfId="0" applyFont="1" applyBorder="1" applyAlignment="1">
      <alignment horizontal="left" vertical="center" wrapText="1"/>
    </xf>
    <xf numFmtId="0" fontId="5" fillId="0" borderId="2" xfId="0" applyFont="1" applyBorder="1" applyAlignment="1">
      <alignment horizontal="center" vertical="center"/>
    </xf>
    <xf numFmtId="164" fontId="2" fillId="0" borderId="1" xfId="2" applyNumberFormat="1" applyFont="1" applyFill="1" applyBorder="1" applyAlignment="1">
      <alignment horizontal="center" vertical="center" wrapText="1"/>
    </xf>
    <xf numFmtId="0" fontId="2" fillId="0" borderId="1" xfId="0" applyFont="1" applyBorder="1" applyAlignment="1">
      <alignment vertical="center"/>
    </xf>
    <xf numFmtId="164" fontId="2" fillId="3" borderId="4" xfId="2" applyNumberFormat="1" applyFont="1" applyFill="1" applyBorder="1" applyAlignment="1">
      <alignment horizontal="center" vertical="center" wrapText="1"/>
    </xf>
    <xf numFmtId="164" fontId="2" fillId="0" borderId="1" xfId="2" applyNumberFormat="1" applyFont="1" applyFill="1" applyBorder="1" applyAlignment="1">
      <alignment horizontal="left" vertical="center" wrapText="1"/>
    </xf>
    <xf numFmtId="0" fontId="5" fillId="0" borderId="1" xfId="0" applyFont="1" applyBorder="1" applyAlignment="1">
      <alignment vertical="center" wrapText="1"/>
    </xf>
    <xf numFmtId="0" fontId="5" fillId="0" borderId="2" xfId="0" applyFont="1" applyBorder="1" applyAlignment="1">
      <alignment horizontal="left" vertical="center" wrapText="1"/>
    </xf>
    <xf numFmtId="0" fontId="5" fillId="0" borderId="16" xfId="0" applyFont="1" applyBorder="1" applyAlignment="1">
      <alignment vertical="center"/>
    </xf>
    <xf numFmtId="0" fontId="8" fillId="2" borderId="2" xfId="2" applyNumberFormat="1" applyFont="1" applyFill="1" applyBorder="1" applyAlignment="1">
      <alignment horizontal="center" vertical="center" wrapText="1"/>
    </xf>
    <xf numFmtId="0" fontId="5" fillId="0" borderId="17" xfId="0" applyFont="1" applyBorder="1" applyAlignment="1">
      <alignment horizontal="center" vertical="center"/>
    </xf>
    <xf numFmtId="0" fontId="5" fillId="5" borderId="9" xfId="0" applyFont="1" applyFill="1" applyBorder="1" applyAlignment="1">
      <alignment horizontal="center" vertical="center"/>
    </xf>
    <xf numFmtId="0" fontId="1" fillId="0" borderId="0" xfId="1" applyAlignment="1">
      <alignment vertical="center" wrapText="1"/>
    </xf>
    <xf numFmtId="0" fontId="1" fillId="0" borderId="1" xfId="1" applyBorder="1" applyAlignment="1">
      <alignment vertical="center" wrapText="1"/>
    </xf>
    <xf numFmtId="0" fontId="2" fillId="0" borderId="1" xfId="0" applyFont="1" applyFill="1" applyBorder="1" applyAlignment="1">
      <alignment vertical="center" wrapText="1"/>
    </xf>
    <xf numFmtId="0" fontId="9" fillId="0" borderId="1" xfId="1" applyFont="1" applyBorder="1" applyAlignment="1">
      <alignment vertical="center" wrapText="1"/>
    </xf>
    <xf numFmtId="0" fontId="5" fillId="0" borderId="1" xfId="0" applyFont="1" applyBorder="1" applyAlignment="1">
      <alignment vertical="center" wrapText="1"/>
    </xf>
    <xf numFmtId="0" fontId="5" fillId="0" borderId="2"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2" xfId="0" applyFont="1" applyBorder="1" applyAlignment="1">
      <alignment horizontal="center" vertical="center"/>
    </xf>
    <xf numFmtId="0" fontId="5" fillId="0" borderId="1" xfId="0" applyFont="1" applyBorder="1" applyAlignment="1">
      <alignment vertical="center" wrapText="1"/>
    </xf>
    <xf numFmtId="164" fontId="2" fillId="3" borderId="4"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0" fontId="5" fillId="0" borderId="1" xfId="0" applyNumberFormat="1" applyFont="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NumberFormat="1" applyBorder="1" applyAlignment="1">
      <alignment horizontal="center" vertical="center"/>
    </xf>
    <xf numFmtId="0" fontId="0" fillId="0" borderId="1" xfId="0" applyFill="1" applyBorder="1" applyAlignment="1">
      <alignment vertical="center" wrapText="1"/>
    </xf>
    <xf numFmtId="0" fontId="3" fillId="0" borderId="0"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vertical="center"/>
    </xf>
    <xf numFmtId="0" fontId="5" fillId="0" borderId="1" xfId="0" applyNumberFormat="1" applyFont="1" applyBorder="1" applyAlignment="1">
      <alignment horizontal="center" vertical="center"/>
    </xf>
    <xf numFmtId="0" fontId="5" fillId="0" borderId="2" xfId="0" applyFont="1" applyBorder="1" applyAlignment="1">
      <alignment horizontal="left" vertical="center" wrapText="1"/>
    </xf>
    <xf numFmtId="0" fontId="5" fillId="0" borderId="1" xfId="0" applyFont="1" applyBorder="1" applyAlignment="1">
      <alignment vertical="center" wrapText="1"/>
    </xf>
    <xf numFmtId="0" fontId="10" fillId="8" borderId="1" xfId="0" applyFont="1" applyFill="1" applyBorder="1"/>
    <xf numFmtId="0" fontId="5" fillId="0" borderId="13" xfId="0" applyFont="1" applyFill="1" applyBorder="1" applyAlignment="1">
      <alignment vertical="center" wrapText="1"/>
    </xf>
    <xf numFmtId="165" fontId="0" fillId="0" borderId="1" xfId="2" applyNumberFormat="1" applyFont="1" applyBorder="1" applyAlignment="1">
      <alignment horizontal="center" vertical="center"/>
    </xf>
    <xf numFmtId="0" fontId="7" fillId="0" borderId="15" xfId="0" applyFont="1" applyBorder="1" applyAlignment="1">
      <alignment horizontal="center" vertical="center" wrapText="1"/>
    </xf>
    <xf numFmtId="0" fontId="7" fillId="0" borderId="11" xfId="0" applyFont="1" applyBorder="1" applyAlignment="1">
      <alignment horizontal="center" vertical="center"/>
    </xf>
    <xf numFmtId="0" fontId="7" fillId="0" borderId="19" xfId="0" applyFont="1" applyBorder="1" applyAlignment="1">
      <alignment horizontal="center" vertical="center"/>
    </xf>
    <xf numFmtId="0" fontId="5" fillId="0" borderId="12" xfId="2" applyFont="1" applyBorder="1" applyAlignment="1">
      <alignment horizontal="center" vertical="center"/>
    </xf>
    <xf numFmtId="0" fontId="5" fillId="0" borderId="7" xfId="2" applyFont="1" applyBorder="1" applyAlignment="1">
      <alignment horizontal="center" vertical="center"/>
    </xf>
    <xf numFmtId="0" fontId="5" fillId="0" borderId="10" xfId="2" applyFont="1" applyBorder="1" applyAlignment="1">
      <alignment horizontal="center" vertical="center"/>
    </xf>
    <xf numFmtId="164" fontId="2" fillId="9" borderId="1"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0" fillId="0" borderId="2" xfId="0" applyBorder="1" applyAlignment="1">
      <alignment horizontal="center" vertical="center" wrapText="1"/>
    </xf>
    <xf numFmtId="164" fontId="2" fillId="3" borderId="1"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0" fillId="0" borderId="2" xfId="0" applyBorder="1" applyAlignment="1">
      <alignment horizontal="center" vertical="center" wrapText="1"/>
    </xf>
    <xf numFmtId="164" fontId="2" fillId="3" borderId="1" xfId="2" applyNumberFormat="1" applyFont="1" applyFill="1" applyBorder="1" applyAlignment="1">
      <alignment horizontal="center" vertical="center" wrapText="1"/>
    </xf>
    <xf numFmtId="0" fontId="0" fillId="0" borderId="2" xfId="0" applyBorder="1" applyAlignment="1">
      <alignment horizontal="center" vertical="center" wrapText="1"/>
    </xf>
    <xf numFmtId="164" fontId="2" fillId="3" borderId="4"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164" fontId="2" fillId="3" borderId="1" xfId="2" applyNumberFormat="1" applyFont="1" applyFill="1" applyBorder="1" applyAlignment="1">
      <alignment horizontal="center" vertical="center" wrapText="1"/>
    </xf>
    <xf numFmtId="0" fontId="0" fillId="0" borderId="0" xfId="0" applyFill="1" applyAlignment="1">
      <alignment horizontal="center" vertical="center"/>
    </xf>
    <xf numFmtId="0" fontId="0" fillId="0" borderId="1" xfId="0" applyFill="1" applyBorder="1" applyAlignment="1">
      <alignment horizontal="center" vertical="center"/>
    </xf>
    <xf numFmtId="0" fontId="2" fillId="0" borderId="1" xfId="2" applyFont="1" applyFill="1" applyBorder="1" applyAlignment="1">
      <alignment vertical="center" wrapText="1"/>
    </xf>
    <xf numFmtId="0" fontId="2" fillId="0" borderId="1" xfId="2"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0" fontId="0" fillId="0" borderId="2" xfId="0" applyBorder="1" applyAlignment="1">
      <alignment horizontal="center" vertical="center" wrapText="1"/>
    </xf>
    <xf numFmtId="164" fontId="2" fillId="3" borderId="2"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164" fontId="2" fillId="3" borderId="1" xfId="2" applyNumberFormat="1" applyFont="1" applyFill="1" applyBorder="1" applyAlignment="1">
      <alignment horizontal="center" vertical="center" wrapText="1"/>
    </xf>
    <xf numFmtId="0" fontId="2" fillId="0" borderId="1" xfId="2" applyFont="1" applyFill="1" applyBorder="1" applyAlignment="1">
      <alignment horizontal="left" vertical="center" wrapText="1"/>
    </xf>
    <xf numFmtId="164" fontId="2" fillId="3" borderId="4"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0" fillId="0" borderId="2" xfId="0" applyBorder="1" applyAlignment="1">
      <alignment horizontal="center" vertical="center" wrapText="1"/>
    </xf>
    <xf numFmtId="0" fontId="2" fillId="2" borderId="2" xfId="2" applyNumberFormat="1" applyFont="1" applyFill="1" applyBorder="1" applyAlignment="1">
      <alignment horizontal="center" vertical="center" wrapText="1"/>
    </xf>
    <xf numFmtId="0" fontId="0" fillId="0" borderId="3" xfId="0" applyBorder="1" applyAlignment="1">
      <alignment horizontal="center" vertical="center"/>
    </xf>
    <xf numFmtId="164" fontId="2" fillId="3" borderId="1"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164" fontId="2" fillId="3" borderId="2" xfId="2" applyNumberFormat="1" applyFont="1" applyFill="1" applyBorder="1" applyAlignment="1">
      <alignment horizontal="center" vertical="center" wrapText="1"/>
    </xf>
    <xf numFmtId="0" fontId="2" fillId="0" borderId="1" xfId="2" applyFont="1" applyBorder="1" applyAlignment="1">
      <alignment horizontal="left"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164" fontId="2" fillId="3" borderId="1" xfId="2" applyNumberFormat="1" applyFont="1" applyFill="1" applyBorder="1" applyAlignment="1">
      <alignment horizontal="center" vertical="center" wrapText="1"/>
    </xf>
    <xf numFmtId="0" fontId="2" fillId="6" borderId="1" xfId="0" applyFont="1" applyFill="1" applyBorder="1" applyAlignment="1">
      <alignment horizontal="left" vertical="center" wrapText="1"/>
    </xf>
    <xf numFmtId="0" fontId="16" fillId="0" borderId="0" xfId="3" applyFont="1" applyAlignment="1"/>
    <xf numFmtId="0" fontId="17" fillId="0" borderId="0" xfId="3" applyFont="1" applyAlignment="1"/>
    <xf numFmtId="166" fontId="17" fillId="0" borderId="0" xfId="3" applyNumberFormat="1" applyFont="1" applyAlignment="1"/>
    <xf numFmtId="0" fontId="0" fillId="0" borderId="0" xfId="0" pivotButton="1"/>
    <xf numFmtId="0" fontId="0" fillId="0" borderId="0" xfId="0" applyNumberFormat="1"/>
    <xf numFmtId="0" fontId="0" fillId="0" borderId="0" xfId="0" applyAlignment="1">
      <alignment wrapText="1"/>
    </xf>
    <xf numFmtId="0" fontId="2" fillId="0" borderId="1" xfId="0" applyFont="1" applyBorder="1" applyAlignment="1">
      <alignment horizontal="left" vertical="center" wrapText="1"/>
    </xf>
    <xf numFmtId="0" fontId="2" fillId="0" borderId="1" xfId="0" applyNumberFormat="1" applyFont="1" applyFill="1" applyBorder="1" applyAlignment="1">
      <alignment horizontal="left" vertical="center" wrapText="1"/>
    </xf>
    <xf numFmtId="0" fontId="18" fillId="0" borderId="0" xfId="0" applyFont="1" applyFill="1" applyAlignment="1">
      <alignment horizontal="center" vertical="center"/>
    </xf>
    <xf numFmtId="0" fontId="19"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20" fillId="0" borderId="0" xfId="5" applyFont="1" applyAlignment="1"/>
    <xf numFmtId="0" fontId="21" fillId="0" borderId="0" xfId="5" applyFont="1" applyAlignment="1"/>
    <xf numFmtId="166" fontId="21" fillId="0" borderId="0" xfId="5" applyNumberFormat="1" applyFont="1" applyAlignment="1"/>
    <xf numFmtId="0" fontId="21" fillId="0" borderId="0" xfId="5" applyNumberFormat="1" applyFont="1" applyAlignment="1"/>
    <xf numFmtId="0" fontId="17" fillId="0" borderId="0" xfId="3" applyNumberFormat="1" applyFont="1" applyAlignment="1"/>
    <xf numFmtId="166" fontId="17" fillId="0" borderId="0" xfId="3" applyNumberFormat="1" applyFont="1" applyAlignment="1">
      <alignment horizontal="right"/>
    </xf>
    <xf numFmtId="0" fontId="17" fillId="0" borderId="0" xfId="3" applyFont="1" applyAlignment="1">
      <alignment horizontal="right"/>
    </xf>
    <xf numFmtId="0" fontId="17" fillId="0" borderId="0" xfId="3" applyNumberFormat="1" applyFont="1" applyAlignment="1">
      <alignment horizontal="right"/>
    </xf>
    <xf numFmtId="0" fontId="2" fillId="0" borderId="1" xfId="2" applyNumberFormat="1" applyFont="1" applyFill="1" applyBorder="1" applyAlignment="1">
      <alignment horizontal="left" vertical="center" wrapText="1"/>
    </xf>
    <xf numFmtId="0" fontId="2" fillId="0" borderId="1" xfId="0" applyNumberFormat="1" applyFont="1" applyBorder="1" applyAlignment="1">
      <alignment horizontal="left" vertical="center" wrapText="1"/>
    </xf>
    <xf numFmtId="0" fontId="2" fillId="0" borderId="1" xfId="2" applyNumberFormat="1" applyFont="1" applyBorder="1" applyAlignment="1">
      <alignment horizontal="left" vertical="center" wrapText="1"/>
    </xf>
    <xf numFmtId="0" fontId="2" fillId="0" borderId="1" xfId="0" applyFont="1" applyBorder="1" applyAlignment="1">
      <alignment horizontal="left" vertical="center"/>
    </xf>
    <xf numFmtId="166" fontId="17" fillId="0" borderId="0" xfId="0" applyNumberFormat="1" applyFont="1" applyAlignment="1"/>
    <xf numFmtId="0" fontId="17" fillId="0" borderId="0" xfId="0" applyFont="1" applyAlignment="1"/>
    <xf numFmtId="0" fontId="17" fillId="0" borderId="0" xfId="0" applyFont="1"/>
    <xf numFmtId="0" fontId="17" fillId="0" borderId="0" xfId="0" applyNumberFormat="1" applyFont="1" applyAlignment="1"/>
    <xf numFmtId="0" fontId="0" fillId="0" borderId="0" xfId="0" applyFont="1" applyAlignment="1"/>
    <xf numFmtId="0" fontId="17" fillId="0" borderId="0" xfId="0" applyFont="1" applyAlignment="1">
      <alignment horizontal="left"/>
    </xf>
    <xf numFmtId="0" fontId="22" fillId="0" borderId="20" xfId="0" applyFont="1" applyBorder="1" applyAlignment="1">
      <alignment vertical="center"/>
    </xf>
    <xf numFmtId="0" fontId="22" fillId="0" borderId="20" xfId="0" applyFont="1" applyBorder="1" applyAlignment="1">
      <alignment wrapText="1"/>
    </xf>
    <xf numFmtId="0" fontId="8" fillId="0" borderId="1" xfId="2" applyNumberFormat="1" applyFont="1" applyFill="1" applyBorder="1" applyAlignment="1">
      <alignment horizontal="center" vertical="center" wrapText="1"/>
    </xf>
    <xf numFmtId="0" fontId="8" fillId="0" borderId="2" xfId="2" applyNumberFormat="1" applyFont="1" applyFill="1" applyBorder="1" applyAlignment="1">
      <alignment horizontal="center" vertical="center" wrapText="1"/>
    </xf>
    <xf numFmtId="0" fontId="5" fillId="0" borderId="9" xfId="0" applyNumberFormat="1" applyFont="1" applyFill="1" applyBorder="1" applyAlignment="1">
      <alignment horizontal="center" vertical="center"/>
    </xf>
    <xf numFmtId="164" fontId="0" fillId="0" borderId="0" xfId="0" applyNumberFormat="1" applyAlignment="1">
      <alignment vertical="center"/>
    </xf>
    <xf numFmtId="9" fontId="0" fillId="0" borderId="0" xfId="0" applyNumberFormat="1"/>
    <xf numFmtId="9" fontId="0" fillId="0" borderId="0" xfId="0" applyNumberFormat="1" applyFill="1"/>
    <xf numFmtId="9" fontId="4" fillId="0" borderId="1" xfId="0" applyNumberFormat="1" applyFont="1" applyFill="1" applyBorder="1" applyAlignment="1">
      <alignment horizontal="center" vertical="center" wrapText="1"/>
    </xf>
    <xf numFmtId="9" fontId="0" fillId="0" borderId="0" xfId="0" applyNumberFormat="1" applyFill="1" applyAlignment="1">
      <alignment vertical="center"/>
    </xf>
    <xf numFmtId="9" fontId="0" fillId="0" borderId="1" xfId="0" applyNumberFormat="1" applyFill="1" applyBorder="1" applyAlignment="1">
      <alignment vertical="center"/>
    </xf>
    <xf numFmtId="9" fontId="0" fillId="0" borderId="1" xfId="2" applyNumberFormat="1" applyFont="1" applyFill="1" applyBorder="1" applyAlignment="1">
      <alignment vertical="center"/>
    </xf>
    <xf numFmtId="9" fontId="7" fillId="0" borderId="1" xfId="0" applyNumberFormat="1" applyFont="1" applyFill="1" applyBorder="1" applyAlignment="1">
      <alignment horizontal="center" vertical="center" textRotation="90" wrapText="1"/>
    </xf>
    <xf numFmtId="9" fontId="2" fillId="0" borderId="1" xfId="2" applyNumberFormat="1" applyFont="1" applyBorder="1" applyAlignment="1">
      <alignment horizontal="center" vertical="center" wrapText="1"/>
    </xf>
    <xf numFmtId="9" fontId="2" fillId="0" borderId="1" xfId="2" applyNumberFormat="1" applyFont="1" applyFill="1" applyBorder="1" applyAlignment="1">
      <alignment horizontal="center" vertical="center" wrapText="1"/>
    </xf>
    <xf numFmtId="9" fontId="2" fillId="0" borderId="1" xfId="0" applyNumberFormat="1" applyFont="1" applyBorder="1" applyAlignment="1">
      <alignment horizontal="center" vertical="center" wrapText="1"/>
    </xf>
    <xf numFmtId="9" fontId="2" fillId="0" borderId="1" xfId="2" applyNumberFormat="1" applyFont="1" applyFill="1" applyBorder="1" applyAlignment="1">
      <alignment vertical="center" wrapText="1"/>
    </xf>
    <xf numFmtId="9" fontId="2" fillId="0" borderId="1" xfId="2" applyNumberFormat="1" applyFont="1" applyBorder="1" applyAlignment="1">
      <alignment vertical="center" wrapText="1"/>
    </xf>
    <xf numFmtId="9" fontId="0" fillId="0" borderId="0" xfId="0" applyNumberFormat="1" applyAlignment="1">
      <alignment vertical="center"/>
    </xf>
    <xf numFmtId="0" fontId="3" fillId="0" borderId="5" xfId="0" applyNumberFormat="1" applyFont="1" applyBorder="1" applyAlignment="1">
      <alignment horizontal="center" vertical="center"/>
    </xf>
    <xf numFmtId="9" fontId="10" fillId="8" borderId="1" xfId="2" applyNumberFormat="1" applyFont="1" applyFill="1" applyBorder="1"/>
    <xf numFmtId="9" fontId="0" fillId="0" borderId="18" xfId="2" applyNumberFormat="1" applyFont="1" applyBorder="1" applyAlignment="1">
      <alignment horizontal="center" vertical="center"/>
    </xf>
    <xf numFmtId="9" fontId="0" fillId="0" borderId="0" xfId="2" applyNumberFormat="1" applyFont="1"/>
    <xf numFmtId="2" fontId="5" fillId="0" borderId="1" xfId="0" applyNumberFormat="1" applyFont="1" applyBorder="1" applyAlignment="1">
      <alignment horizontal="center" vertical="center"/>
    </xf>
    <xf numFmtId="10" fontId="0" fillId="0" borderId="0" xfId="2" applyNumberFormat="1" applyFont="1"/>
    <xf numFmtId="10" fontId="0" fillId="0" borderId="0" xfId="0" applyNumberFormat="1"/>
    <xf numFmtId="9" fontId="0" fillId="0" borderId="1" xfId="0" applyNumberFormat="1" applyFill="1" applyBorder="1"/>
    <xf numFmtId="10" fontId="16" fillId="0" borderId="0" xfId="3" applyNumberFormat="1" applyFont="1" applyAlignment="1"/>
    <xf numFmtId="10" fontId="16" fillId="0" borderId="0" xfId="2" applyNumberFormat="1" applyFont="1" applyAlignment="1"/>
    <xf numFmtId="9" fontId="0" fillId="0" borderId="1" xfId="0" applyNumberFormat="1" applyFill="1" applyBorder="1" applyAlignment="1">
      <alignment horizontal="center" vertical="center"/>
    </xf>
    <xf numFmtId="0" fontId="1" fillId="0" borderId="0" xfId="1"/>
    <xf numFmtId="0" fontId="1" fillId="0" borderId="1" xfId="1" applyBorder="1" applyAlignment="1">
      <alignment wrapText="1"/>
    </xf>
    <xf numFmtId="0" fontId="24" fillId="0" borderId="1" xfId="0" applyFont="1" applyBorder="1" applyAlignment="1">
      <alignment vertical="center" wrapText="1"/>
    </xf>
    <xf numFmtId="0" fontId="24" fillId="0" borderId="1" xfId="0" applyFont="1" applyBorder="1" applyAlignment="1">
      <alignment horizontal="left" vertical="center" wrapText="1"/>
    </xf>
    <xf numFmtId="0" fontId="5" fillId="6" borderId="1" xfId="0" applyFont="1" applyFill="1" applyBorder="1" applyAlignment="1">
      <alignment wrapText="1"/>
    </xf>
    <xf numFmtId="0" fontId="1" fillId="0" borderId="1" xfId="1" applyBorder="1" applyAlignment="1">
      <alignment horizontal="left" vertical="center" wrapText="1"/>
    </xf>
    <xf numFmtId="0" fontId="5" fillId="0" borderId="1" xfId="0" applyFont="1" applyBorder="1" applyAlignment="1">
      <alignment vertical="center" wrapText="1"/>
    </xf>
    <xf numFmtId="0" fontId="1" fillId="0" borderId="0" xfId="1" applyAlignment="1">
      <alignment horizontal="left" vertical="center"/>
    </xf>
    <xf numFmtId="0" fontId="5" fillId="7" borderId="1" xfId="0" applyFont="1" applyFill="1" applyBorder="1" applyAlignment="1">
      <alignment wrapText="1"/>
    </xf>
    <xf numFmtId="0" fontId="5" fillId="7" borderId="1" xfId="0" applyFont="1" applyFill="1" applyBorder="1" applyAlignment="1">
      <alignment vertical="center" wrapText="1"/>
    </xf>
    <xf numFmtId="0" fontId="24" fillId="0" borderId="1" xfId="0" applyFont="1" applyBorder="1" applyAlignment="1">
      <alignment vertical="center"/>
    </xf>
    <xf numFmtId="2" fontId="5" fillId="0" borderId="1" xfId="0" applyNumberFormat="1" applyFont="1" applyBorder="1" applyAlignment="1">
      <alignment vertical="center" wrapText="1"/>
    </xf>
    <xf numFmtId="0" fontId="24" fillId="8" borderId="1" xfId="0" applyFont="1" applyFill="1" applyBorder="1" applyAlignment="1">
      <alignment vertical="center"/>
    </xf>
    <xf numFmtId="0" fontId="5" fillId="0" borderId="1" xfId="0" applyFont="1" applyBorder="1" applyAlignment="1">
      <alignment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0" fillId="0" borderId="2" xfId="0" applyBorder="1" applyAlignment="1">
      <alignment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vertical="center" wrapText="1"/>
    </xf>
    <xf numFmtId="0" fontId="1" fillId="0" borderId="0" xfId="1" applyAlignment="1">
      <alignment horizontal="lef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18" fillId="0" borderId="1" xfId="0" applyFont="1" applyBorder="1" applyAlignment="1">
      <alignment vertical="center"/>
    </xf>
    <xf numFmtId="0" fontId="5" fillId="0" borderId="4"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vertical="center"/>
    </xf>
    <xf numFmtId="0" fontId="18" fillId="0" borderId="0" xfId="0" applyFont="1" applyAlignment="1">
      <alignment vertical="center" wrapText="1"/>
    </xf>
    <xf numFmtId="0" fontId="5" fillId="0" borderId="2"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0" fillId="0" borderId="1" xfId="0" applyFont="1" applyFill="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1" fillId="0" borderId="1" xfId="1" applyFill="1" applyBorder="1" applyAlignment="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vertical="center"/>
    </xf>
    <xf numFmtId="0" fontId="12" fillId="0" borderId="1" xfId="0" applyFont="1" applyBorder="1" applyAlignment="1">
      <alignment vertical="center" wrapText="1"/>
    </xf>
    <xf numFmtId="164" fontId="5" fillId="0" borderId="1" xfId="0" applyNumberFormat="1" applyFont="1" applyBorder="1" applyAlignment="1">
      <alignment horizontal="center" vertical="center"/>
    </xf>
    <xf numFmtId="0" fontId="5" fillId="0" borderId="2" xfId="0" applyFont="1" applyBorder="1" applyAlignment="1">
      <alignment horizontal="left" vertical="center" wrapText="1"/>
    </xf>
    <xf numFmtId="0" fontId="5" fillId="0" borderId="1" xfId="0" applyFont="1" applyBorder="1" applyAlignment="1">
      <alignment vertical="center" wrapText="1"/>
    </xf>
    <xf numFmtId="0" fontId="5" fillId="0" borderId="2" xfId="0" applyFont="1" applyBorder="1" applyAlignment="1">
      <alignment horizontal="left" wrapText="1"/>
    </xf>
    <xf numFmtId="0" fontId="5" fillId="0" borderId="1" xfId="0" applyFont="1" applyBorder="1" applyAlignment="1">
      <alignment vertical="center" wrapText="1"/>
    </xf>
    <xf numFmtId="0" fontId="5" fillId="0" borderId="3" xfId="0" applyFont="1" applyBorder="1" applyAlignment="1">
      <alignment horizontal="center" vertical="center"/>
    </xf>
    <xf numFmtId="0" fontId="0" fillId="0" borderId="1" xfId="0" applyFont="1" applyBorder="1" applyAlignment="1">
      <alignment vertical="center"/>
    </xf>
    <xf numFmtId="0" fontId="0" fillId="0" borderId="0" xfId="0" applyFont="1" applyAlignment="1">
      <alignment vertical="center"/>
    </xf>
    <xf numFmtId="0" fontId="0" fillId="0" borderId="3" xfId="0" applyNumberFormat="1" applyBorder="1" applyAlignment="1">
      <alignment horizontal="center" vertical="center"/>
    </xf>
    <xf numFmtId="0" fontId="5" fillId="0" borderId="1"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vertical="center" wrapText="1"/>
    </xf>
    <xf numFmtId="0" fontId="0" fillId="0" borderId="1" xfId="0" applyFont="1" applyFill="1" applyBorder="1" applyAlignment="1">
      <alignment vertical="center"/>
    </xf>
    <xf numFmtId="0" fontId="1" fillId="0" borderId="1" xfId="1" applyFont="1" applyFill="1" applyBorder="1" applyAlignment="1">
      <alignment vertical="center"/>
    </xf>
    <xf numFmtId="0" fontId="1" fillId="0" borderId="1" xfId="1" applyFill="1" applyBorder="1" applyAlignment="1">
      <alignment vertical="center" wrapText="1"/>
    </xf>
    <xf numFmtId="0" fontId="5" fillId="0" borderId="1" xfId="0" applyFont="1" applyFill="1" applyBorder="1" applyAlignment="1">
      <alignment wrapText="1"/>
    </xf>
    <xf numFmtId="0" fontId="5" fillId="0" borderId="1" xfId="0" applyFont="1" applyBorder="1" applyAlignment="1">
      <alignment horizontal="center" vertical="center" wrapText="1"/>
    </xf>
    <xf numFmtId="0" fontId="26" fillId="0" borderId="1" xfId="0" applyFont="1" applyBorder="1" applyAlignment="1">
      <alignment vertical="center" wrapText="1"/>
    </xf>
    <xf numFmtId="0" fontId="27" fillId="0" borderId="1" xfId="0" applyFont="1" applyBorder="1" applyAlignment="1">
      <alignment vertical="center" wrapText="1"/>
    </xf>
    <xf numFmtId="0" fontId="12" fillId="0" borderId="1" xfId="0" applyFont="1" applyFill="1" applyBorder="1" applyAlignment="1">
      <alignment vertical="center" wrapText="1"/>
    </xf>
    <xf numFmtId="0" fontId="9" fillId="0" borderId="1" xfId="1" applyFont="1" applyFill="1" applyBorder="1" applyAlignment="1">
      <alignment vertical="center" wrapText="1"/>
    </xf>
    <xf numFmtId="0" fontId="1" fillId="0" borderId="0" xfId="1" applyAlignment="1">
      <alignment horizontal="center" vertical="center"/>
    </xf>
    <xf numFmtId="0" fontId="1" fillId="0" borderId="21" xfId="1" applyBorder="1" applyAlignment="1">
      <alignment vertical="center" wrapText="1"/>
    </xf>
    <xf numFmtId="0" fontId="26" fillId="0" borderId="1" xfId="0" applyFont="1" applyBorder="1" applyAlignment="1">
      <alignment vertical="center"/>
    </xf>
    <xf numFmtId="0" fontId="26" fillId="0" borderId="1" xfId="0" applyFont="1" applyBorder="1" applyAlignment="1">
      <alignment horizontal="center" vertical="center"/>
    </xf>
    <xf numFmtId="0" fontId="5" fillId="0" borderId="1" xfId="0" applyNumberFormat="1" applyFont="1" applyBorder="1" applyAlignment="1">
      <alignment horizontal="left" vertical="center"/>
    </xf>
    <xf numFmtId="0" fontId="5"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12" fillId="0" borderId="1" xfId="0" applyFont="1" applyBorder="1" applyAlignment="1">
      <alignment vertical="center"/>
    </xf>
    <xf numFmtId="0" fontId="5" fillId="3" borderId="1" xfId="0" applyFont="1" applyFill="1" applyBorder="1" applyAlignment="1">
      <alignmen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justify" wrapText="1"/>
    </xf>
    <xf numFmtId="0" fontId="5" fillId="0" borderId="1" xfId="0" applyFont="1" applyFill="1" applyBorder="1" applyAlignment="1">
      <alignment horizontal="justify"/>
    </xf>
    <xf numFmtId="0" fontId="5" fillId="0" borderId="1" xfId="0" applyFont="1" applyFill="1" applyBorder="1" applyAlignment="1">
      <alignment horizontal="justify"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wrapText="1"/>
    </xf>
    <xf numFmtId="0" fontId="1" fillId="0" borderId="1" xfId="1" applyBorder="1" applyAlignment="1">
      <alignment horizontal="left" vertical="center"/>
    </xf>
    <xf numFmtId="0" fontId="5" fillId="0" borderId="1" xfId="0" applyFont="1" applyBorder="1" applyAlignment="1">
      <alignment vertical="center" wrapText="1"/>
    </xf>
    <xf numFmtId="0" fontId="1" fillId="0" borderId="0" xfId="1" applyAlignment="1">
      <alignment horizontal="justify" vertical="center"/>
    </xf>
    <xf numFmtId="1" fontId="5" fillId="0" borderId="1" xfId="0" applyNumberFormat="1" applyFont="1" applyBorder="1" applyAlignment="1">
      <alignment horizontal="center" vertical="center"/>
    </xf>
    <xf numFmtId="0" fontId="5" fillId="0" borderId="2" xfId="0" applyFont="1" applyBorder="1" applyAlignment="1">
      <alignment horizontal="left" vertical="center" wrapText="1"/>
    </xf>
    <xf numFmtId="0" fontId="5" fillId="0" borderId="1" xfId="0" applyFont="1" applyBorder="1" applyAlignment="1">
      <alignment vertical="center" wrapText="1"/>
    </xf>
    <xf numFmtId="9" fontId="0" fillId="0" borderId="2" xfId="2" applyNumberFormat="1" applyFont="1" applyBorder="1" applyAlignment="1">
      <alignment horizontal="center" vertical="center"/>
    </xf>
    <xf numFmtId="9" fontId="0" fillId="0" borderId="4" xfId="2" applyNumberFormat="1" applyFont="1" applyBorder="1" applyAlignment="1">
      <alignment horizontal="center" vertical="center"/>
    </xf>
    <xf numFmtId="9" fontId="0" fillId="0" borderId="3" xfId="2" applyNumberFormat="1" applyFont="1" applyBorder="1" applyAlignment="1">
      <alignment horizontal="center" vertical="center"/>
    </xf>
    <xf numFmtId="0" fontId="5" fillId="0" borderId="1" xfId="0" applyFont="1" applyBorder="1" applyAlignment="1">
      <alignment horizontal="justify" vertical="center" wrapText="1"/>
    </xf>
    <xf numFmtId="164" fontId="2" fillId="3" borderId="2" xfId="2" applyNumberFormat="1" applyFont="1" applyFill="1" applyBorder="1" applyAlignment="1">
      <alignment horizontal="center" vertical="center" wrapText="1"/>
    </xf>
    <xf numFmtId="164" fontId="2" fillId="3" borderId="3" xfId="2"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0" fontId="2" fillId="2" borderId="2" xfId="2" applyNumberFormat="1" applyFont="1" applyFill="1" applyBorder="1" applyAlignment="1">
      <alignment horizontal="center" vertical="center" wrapText="1"/>
    </xf>
    <xf numFmtId="0" fontId="2" fillId="2" borderId="3" xfId="2" applyNumberFormat="1" applyFont="1" applyFill="1" applyBorder="1" applyAlignment="1">
      <alignment horizontal="center" vertical="center" wrapText="1"/>
    </xf>
    <xf numFmtId="0" fontId="2" fillId="2" borderId="4" xfId="2"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164" fontId="2" fillId="3" borderId="1" xfId="2" applyNumberFormat="1" applyFont="1" applyFill="1" applyBorder="1" applyAlignment="1">
      <alignment horizontal="center" vertical="center" wrapText="1"/>
    </xf>
    <xf numFmtId="0" fontId="3" fillId="0" borderId="5" xfId="0" applyFont="1" applyBorder="1" applyAlignment="1">
      <alignment horizontal="center" vertical="center"/>
    </xf>
    <xf numFmtId="0" fontId="2" fillId="3" borderId="1" xfId="2"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0" fillId="0" borderId="1" xfId="0"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25" fillId="0" borderId="5" xfId="0" applyFont="1" applyBorder="1" applyAlignment="1">
      <alignment horizontal="center" vertical="center"/>
    </xf>
    <xf numFmtId="0" fontId="5" fillId="0" borderId="1" xfId="0" applyFont="1" applyFill="1" applyBorder="1" applyAlignment="1">
      <alignment horizontal="left" vertical="center"/>
    </xf>
    <xf numFmtId="0" fontId="5" fillId="0" borderId="2" xfId="0" applyFont="1" applyFill="1" applyBorder="1" applyAlignment="1">
      <alignment horizontal="left" vertical="center" wrapText="1"/>
    </xf>
    <xf numFmtId="0" fontId="0" fillId="0" borderId="4" xfId="0" applyFont="1" applyFill="1" applyBorder="1" applyAlignment="1">
      <alignment horizontal="left" vertical="center" wrapText="1"/>
    </xf>
    <xf numFmtId="0" fontId="5" fillId="0" borderId="2" xfId="0" applyFont="1" applyBorder="1" applyAlignment="1">
      <alignment horizontal="left" vertical="center"/>
    </xf>
    <xf numFmtId="0" fontId="5" fillId="0" borderId="4" xfId="0" applyFont="1" applyBorder="1" applyAlignment="1">
      <alignment horizontal="left" vertical="center"/>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4" xfId="0" applyNumberFormat="1" applyBorder="1" applyAlignment="1">
      <alignment horizontal="center" vertical="center"/>
    </xf>
    <xf numFmtId="0" fontId="5" fillId="0" borderId="1" xfId="0" applyFont="1" applyBorder="1" applyAlignment="1">
      <alignment vertical="center" wrapText="1"/>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3" xfId="0" applyFont="1" applyBorder="1" applyAlignment="1">
      <alignment horizontal="left" vertical="center" wrapText="1"/>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4" xfId="0" applyNumberFormat="1" applyFont="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2" fontId="5" fillId="0" borderId="2" xfId="0" applyNumberFormat="1" applyFont="1" applyBorder="1" applyAlignment="1">
      <alignment horizontal="center" vertical="center"/>
    </xf>
    <xf numFmtId="2" fontId="5" fillId="0" borderId="3" xfId="0" applyNumberFormat="1" applyFont="1" applyBorder="1" applyAlignment="1">
      <alignment horizontal="center" vertical="center"/>
    </xf>
    <xf numFmtId="2" fontId="5" fillId="0" borderId="4" xfId="0" applyNumberFormat="1" applyFont="1" applyBorder="1" applyAlignment="1">
      <alignment horizontal="center" vertical="center"/>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4"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xf>
    <xf numFmtId="0" fontId="5" fillId="0" borderId="1" xfId="0" applyFont="1" applyFill="1" applyBorder="1" applyAlignment="1">
      <alignment horizontal="justify" vertical="center" wrapText="1"/>
    </xf>
  </cellXfs>
  <cellStyles count="7">
    <cellStyle name="Hipervínculo" xfId="1" builtinId="8"/>
    <cellStyle name="Hipervínculo visitado" xfId="6" builtinId="9" hidden="1"/>
    <cellStyle name="Normal" xfId="0" builtinId="0"/>
    <cellStyle name="Normal 2" xfId="3"/>
    <cellStyle name="Normal 3" xfId="5"/>
    <cellStyle name="Porcentaje" xfId="2" builtinId="5"/>
    <cellStyle name="Porcentaje 2" xfId="4"/>
  </cellStyles>
  <dxfs count="28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fill>
        <patternFill>
          <bgColor rgb="FF33CC33"/>
        </patternFill>
      </fill>
    </dxf>
    <dxf>
      <fill>
        <patternFill>
          <bgColor rgb="FFC2E49C"/>
        </patternFill>
      </fill>
    </dxf>
    <dxf>
      <fill>
        <patternFill>
          <bgColor rgb="FFFFFF00"/>
        </patternFill>
      </fill>
    </dxf>
    <dxf>
      <fill>
        <patternFill>
          <bgColor rgb="FFFF8A15"/>
        </patternFill>
      </fill>
    </dxf>
    <dxf>
      <fill>
        <patternFill>
          <bgColor rgb="FFFF0000"/>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C2E49C"/>
      <color rgb="FFA5E9A5"/>
      <color rgb="FFFF9933"/>
      <color rgb="FF33CC33"/>
      <color rgb="FF87E187"/>
      <color rgb="FFFF8A15"/>
      <color rgb="FF84E084"/>
      <color rgb="FFC6E6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Volumes/TOSHIBA%20EXT/Matriz%20Autoeval%202018%20Electricida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Volumes/TOSHIBA%20EXT/Matriz%20Autoeval%202018%20Electricidad.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Volumes/TOSHIBA%20EXT/Matriz%20Autoeval%202018%20Electricidad.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Volumes/TOSHIBA%20EXT/Matriz%20Autoeval%202018%20Electricidad.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Volumes/TOSHIBA%20EXT/Matriz%20Autoeval%202018%20Electricidad.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Angélica Mercedes Nivia Vargas" refreshedDate="42885.439912847221" createdVersion="5" refreshedVersion="5" minRefreshableVersion="3" recordCount="114">
  <cacheSource type="worksheet">
    <worksheetSource ref="A1:AS115" sheet="RespuestasADMON" r:id="rId2"/>
  </cacheSource>
  <cacheFields count="45">
    <cacheField name="Marca temporal" numFmtId="166">
      <sharedItems containsSemiMixedTypes="0" containsNonDate="0" containsDate="1" containsString="0" minDate="2016-08-30T14:16:35" maxDate="2017-04-19T12:07:21"/>
    </cacheField>
    <cacheField name="NOMBRE" numFmtId="0">
      <sharedItems/>
    </cacheField>
    <cacheField name="APELLIDOS" numFmtId="0">
      <sharedItems/>
    </cacheField>
    <cacheField name="NÚMERO DE DOCUMENTO" numFmtId="0">
      <sharedItems containsSemiMixedTypes="0" containsString="0" containsNumber="1" containsInteger="1" minValue="5089162" maxValue="3013802211"/>
    </cacheField>
    <cacheField name="TIPO DE CONTRATO" numFmtId="0">
      <sharedItems/>
    </cacheField>
    <cacheField name="DEPENDENCIA" numFmtId="0">
      <sharedItems/>
    </cacheField>
    <cacheField name="FECHA ESTIMADA VINCULACIÓN A LA UD" numFmtId="0">
      <sharedItems containsSemiMixedTypes="0" containsNonDate="0" containsDate="1" containsString="0" minDate="1988-12-31T00:00:00" maxDate="8201-09-06T00:00:00"/>
    </cacheField>
    <cacheField name="CORREO ELECTRÓNICO" numFmtId="0">
      <sharedItems/>
    </cacheField>
    <cacheField name="1. Conozco la misión de la Universidad Distrital Francisco José de Caldas." numFmtId="0">
      <sharedItems count="6">
        <s v="Totalmente de acuerdo / SI"/>
        <s v="De acuerdo"/>
        <s v="Medianamente de acuerdo"/>
        <s v="No sabe / No puede opinar al respecto"/>
        <s v="Totalmente en desacuerdo / NO"/>
        <s v="En desacuerdo"/>
      </sharedItems>
    </cacheField>
    <cacheField name="2. Me siento identificado con la misión de la Universidad Distrital Francisco José de Caldas." numFmtId="0">
      <sharedItems count="5">
        <s v="Totalmente de acuerdo / SI"/>
        <s v="De acuerdo"/>
        <s v="Medianamente de acuerdo"/>
        <s v="No sabe / No puede opinar al respecto"/>
        <s v="Totalmente en desacuerdo / NO"/>
      </sharedItems>
    </cacheField>
    <cacheField name="3. Considero que la Universidad Distrital Francisco José de Caldas es una alternativa real para acceder al conocimiento por parte de los mejores egresados de la educación media de Bogotá con menores ingresos." numFmtId="0">
      <sharedItems count="5">
        <s v="Totalmente de acuerdo / SI"/>
        <s v="De acuerdo"/>
        <s v="Medianamente de acuerdo"/>
        <s v="No sabe / No puede opinar al respecto"/>
        <s v="Totalmente en desacuerdo / NO"/>
      </sharedItems>
    </cacheField>
    <cacheField name="4. Considero que la Universidad Distrital Francisco José de Caldas desarrolla una educación de alta calidad con capacidad de responder a los retos del Distrito Capital y del país." numFmtId="0">
      <sharedItems count="5">
        <s v="Totalmente de acuerdo / SI"/>
        <s v="De acuerdo"/>
        <s v="Medianamente de acuerdo"/>
        <s v="Totalmente en desacuerdo / NO"/>
        <s v="No sabe / No puede opinar al respecto"/>
      </sharedItems>
    </cacheField>
    <cacheField name="5. Conozco el Proyecto Educativo (PEP) de los programas académicos con los cuales me he relacionado." numFmtId="0">
      <sharedItems count="6">
        <s v="Totalmente de acuerdo / SI"/>
        <s v="De acuerdo"/>
        <s v="No sabe / No puede opinar al respecto"/>
        <s v="Medianamente de acuerdo"/>
        <s v="En desacuerdo"/>
        <s v="Totalmente en desacuerdo / NO"/>
      </sharedItems>
    </cacheField>
    <cacheField name="6. Conozco las diferencias entre los programas de formación en ingeniería por ciclos y los programas de ingeniería tradicional." numFmtId="0">
      <sharedItems count="6">
        <s v="Totalmente de acuerdo / SI"/>
        <s v="De acuerdo"/>
        <s v="Medianamente de acuerdo"/>
        <s v="En desacuerdo"/>
        <s v="No sabe / No puede opinar al respecto"/>
        <s v="Totalmente en desacuerdo / NO"/>
      </sharedItems>
    </cacheField>
    <cacheField name="7. Tengo claro qué es y para qué sirve el componente propedéutico en un programa de ingeniería por ciclos." numFmtId="0">
      <sharedItems count="6">
        <s v="Totalmente de acuerdo / SI"/>
        <s v="De acuerdo"/>
        <s v="Medianamente de acuerdo"/>
        <s v="En desacuerdo"/>
        <s v="No sabe / No puede opinar al respecto"/>
        <s v="Totalmente en desacuerdo / NO"/>
      </sharedItems>
    </cacheField>
    <cacheField name="8. Conozco los procesos efectuados para la evaluación periódica de la pertinencia y calidad de los programas académicos con los cuales me he relacionado." numFmtId="0">
      <sharedItems count="6">
        <s v="Totalmente de acuerdo / SI"/>
        <s v="De acuerdo"/>
        <s v="Medianamente de acuerdo"/>
        <s v="En desacuerdo"/>
        <s v="Totalmente en desacuerdo / NO"/>
        <s v="No sabe / No puede opinar al respecto"/>
      </sharedItems>
    </cacheField>
    <cacheField name="9. He participado en procesos para la evaluación periódica de la pertinencia y calidad de los programas académicos con los cuales me he relacionado." numFmtId="0">
      <sharedItems count="6">
        <s v="Totalmente de acuerdo / SI"/>
        <s v="No sabe / No puede opinar al respecto"/>
        <s v="De acuerdo"/>
        <s v="Totalmente en desacuerdo / NO"/>
        <s v="En desacuerdo"/>
        <s v="Medianamente de acuerdo"/>
      </sharedItems>
    </cacheField>
    <cacheField name="10.1. Considero que los laboratorios y talleres disponibles de los programas académicos con los cuales me he relacionado son: SUFICIENTES." numFmtId="0">
      <sharedItems count="6">
        <s v="Totalmente de acuerdo / SI"/>
        <s v="Medianamente de acuerdo"/>
        <s v="Totalmente en desacuerdo / NO"/>
        <s v="De acuerdo"/>
        <s v="En desacuerdo"/>
        <s v="No sabe / No puede opinar al respecto"/>
      </sharedItems>
    </cacheField>
    <cacheField name="10.2. Considero que los laboratorios y talleres disponibles de los programas académicos con los cuales me he relacionado son: ADECUADOS." numFmtId="0">
      <sharedItems count="6">
        <s v="Totalmente de acuerdo / SI"/>
        <s v="Medianamente de acuerdo"/>
        <s v="De acuerdo"/>
        <s v="No sabe / No puede opinar al respecto"/>
        <s v="En desacuerdo"/>
        <s v="Totalmente en desacuerdo / NO"/>
      </sharedItems>
    </cacheField>
    <cacheField name="10.3. Considero que los laboratorios y talleres disponibles de los programas académicos con los cuales me he relacionado son: ACTUALIZADOS." numFmtId="0">
      <sharedItems count="6">
        <s v="Totalmente de acuerdo / SI"/>
        <s v="De acuerdo"/>
        <s v="Medianamente de acuerdo"/>
        <s v="No sabe / No puede opinar al respecto"/>
        <s v="En desacuerdo"/>
        <s v="Totalmente en desacuerdo / NO"/>
      </sharedItems>
    </cacheField>
    <cacheField name="10.4. Considero que los laboratorios y talleres disponibles de los programas académicos con los cuales me he relacionado son: APOYADOS POR PERSONAL DEBIDAMENTE CAPACITADO." numFmtId="0">
      <sharedItems count="6">
        <s v="De acuerdo"/>
        <s v="Medianamente de acuerdo"/>
        <s v="Totalmente de acuerdo / SI"/>
        <s v="No sabe / No puede opinar al respecto"/>
        <s v="Totalmente en desacuerdo / NO"/>
        <s v="En desacuerdo"/>
      </sharedItems>
    </cacheField>
    <cacheField name="10.5. Considero que los laboratorios y talleres disponibles de los programas académicos con los cuales me he relacionado son: VENTILADOS." numFmtId="0">
      <sharedItems count="6">
        <s v="Totalmente de acuerdo / SI"/>
        <s v="De acuerdo"/>
        <s v="Medianamente de acuerdo"/>
        <s v="En desacuerdo"/>
        <s v="Totalmente en desacuerdo / NO"/>
        <s v="No sabe / No puede opinar al respecto"/>
      </sharedItems>
    </cacheField>
    <cacheField name="10.6. Considero que los laboratorios y talleres disponibles de los programas académicos con los cuales me he relacionado son: ILUMINADOS" numFmtId="0">
      <sharedItems count="6">
        <s v="Totalmente de acuerdo / SI"/>
        <s v="Medianamente de acuerdo"/>
        <s v="De acuerdo"/>
        <s v="En desacuerdo"/>
        <s v="No sabe / No puede opinar al respecto"/>
        <s v="Totalmente en desacuerdo / NO"/>
      </sharedItems>
    </cacheField>
    <cacheField name="10.7. Considero que los laboratorios y talleres disponibles de los programas académicos con los cuales me he relacionado son: DISEÑADOS SEGÚN NORMAS DE SEGURIDAD." numFmtId="0">
      <sharedItems count="6">
        <s v="Totalmente de acuerdo / SI"/>
        <s v="De acuerdo"/>
        <s v="Medianamente de acuerdo"/>
        <s v="En desacuerdo"/>
        <s v="Totalmente en desacuerdo / NO"/>
        <s v="No sabe / No puede opinar al respecto"/>
      </sharedItems>
    </cacheField>
    <cacheField name="11.1. Considero que los equipos de apoyo audiovisual a disposición de los programas académicos con los cuales me he relacionado son: SUFICIENTES." numFmtId="0">
      <sharedItems count="6">
        <s v="De acuerdo"/>
        <s v="Medianamente de acuerdo"/>
        <s v="En desacuerdo"/>
        <s v="Totalmente en desacuerdo / NO"/>
        <s v="No sabe / No puede opinar al respecto"/>
        <s v="Totalmente de acuerdo / SI"/>
      </sharedItems>
    </cacheField>
    <cacheField name="11.2. Considero que los equipos de apoyo audiovisual a disposición de los programas académicos con los cuales me he relacionado son: ADECUADOS." numFmtId="0">
      <sharedItems count="6">
        <s v="De acuerdo"/>
        <s v="Medianamente de acuerdo"/>
        <s v="En desacuerdo"/>
        <s v="Totalmente en desacuerdo / NO"/>
        <s v="No sabe / No puede opinar al respecto"/>
        <s v="Totalmente de acuerdo / SI"/>
      </sharedItems>
    </cacheField>
    <cacheField name="11.3. Considero que los equipos de apoyo audiovisual a disposición de los programas académicos con los cuales me he relacionado son: ACTUALIZADOS." numFmtId="0">
      <sharedItems count="6">
        <s v="De acuerdo"/>
        <s v="Medianamente de acuerdo"/>
        <s v="En desacuerdo"/>
        <s v="No sabe / No puede opinar al respecto"/>
        <s v="Totalmente de acuerdo / SI"/>
        <s v="Totalmente en desacuerdo / NO"/>
      </sharedItems>
    </cacheField>
    <cacheField name="11.4. Considero que los equipos de apoyo audiovisual a disposición de los programas académicos con los cuales me he relacionado son: SOPORTADOS POR PERSONAL DEBIDAMENTE CAPACITADO." numFmtId="0">
      <sharedItems count="6">
        <s v="De acuerdo"/>
        <s v="Totalmente de acuerdo / SI"/>
        <s v="Medianamente de acuerdo"/>
        <s v="No sabe / No puede opinar al respecto"/>
        <s v="En desacuerdo"/>
        <s v="Totalmente en desacuerdo / NO"/>
      </sharedItems>
    </cacheField>
    <cacheField name="12.1. Considero que los servicios de Bienestar Universitario son: SUFICIENTES." numFmtId="0">
      <sharedItems count="6">
        <s v="De acuerdo"/>
        <s v="Medianamente de acuerdo"/>
        <s v="Totalmente en desacuerdo / NO"/>
        <s v="No sabe / No puede opinar al respecto"/>
        <s v="En desacuerdo"/>
        <s v="Totalmente de acuerdo / SI"/>
      </sharedItems>
    </cacheField>
    <cacheField name="12.2. Considero que los servicios de Bienestar Universitario son:  ADECUADOS" numFmtId="0">
      <sharedItems count="6">
        <s v="De acuerdo"/>
        <s v="Medianamente de acuerdo"/>
        <s v="Totalmente en desacuerdo / NO"/>
        <s v="En desacuerdo"/>
        <s v="No sabe / No puede opinar al respecto"/>
        <s v="Totalmente de acuerdo / SI"/>
      </sharedItems>
    </cacheField>
    <cacheField name="12.3. Considero que los servicios de Bienestar Universitario son: ACCESIBLES." numFmtId="0">
      <sharedItems count="6">
        <s v="De acuerdo"/>
        <s v="Medianamente de acuerdo"/>
        <s v="Totalmente en desacuerdo / NO"/>
        <s v="No sabe / No puede opinar al respecto"/>
        <s v="Totalmente de acuerdo / SI"/>
        <s v="En desacuerdo"/>
      </sharedItems>
    </cacheField>
    <cacheField name="13. Considero que las actividades de Bienestar Universitario contribuyen a mi desarrollo personal." numFmtId="0">
      <sharedItems count="6">
        <s v="De acuerdo"/>
        <s v="Medianamente de acuerdo"/>
        <s v="Totalmente en desacuerdo / NO"/>
        <s v="No sabe / No puede opinar al respecto"/>
        <s v="Totalmente de acuerdo / SI"/>
        <s v="En desacuerdo"/>
      </sharedItems>
    </cacheField>
    <cacheField name="14. Las tareas que me son asignadas corresponden con las necesidades de los programas académicos con los cuales me he relacionado." numFmtId="0">
      <sharedItems count="5">
        <s v="Totalmente de acuerdo / SI"/>
        <s v="De acuerdo"/>
        <s v="Medianamente de acuerdo"/>
        <s v="No sabe / No puede opinar al respecto"/>
        <s v="Totalmente en desacuerdo / NO"/>
      </sharedItems>
    </cacheField>
    <cacheField name="15. Considero que las funciones a mi cargo fueron debidamente planeadas para el logro de los objetivos de los programas académicos con los cuales me he relacionado." numFmtId="0">
      <sharedItems count="6">
        <s v="Totalmente de acuerdo / SI"/>
        <s v="De acuerdo"/>
        <s v="Medianamente de acuerdo"/>
        <s v="En desacuerdo"/>
        <s v="No sabe / No puede opinar al respecto"/>
        <s v="Totalmente en desacuerdo / NO"/>
      </sharedItems>
    </cacheField>
    <cacheField name="16. Considero que mis funciones me fueron entregadas y notificadas oportunamente." numFmtId="0">
      <sharedItems count="6">
        <s v="Totalmente de acuerdo / SI"/>
        <s v="De acuerdo"/>
        <s v="Medianamente de acuerdo"/>
        <s v="En desacuerdo"/>
        <s v="Totalmente en desacuerdo / NO"/>
        <s v="No sabe / No puede opinar al respecto"/>
      </sharedItems>
    </cacheField>
    <cacheField name="17. Tengo claras las funciones a mi cargo." numFmtId="0">
      <sharedItems count="6">
        <s v="Totalmente de acuerdo / SI"/>
        <s v="De acuerdo"/>
        <s v="Medianamente de acuerdo"/>
        <s v="En desacuerdo"/>
        <s v="Totalmente en desacuerdo / NO"/>
        <s v="No sabe / No puede opinar al respecto"/>
      </sharedItems>
    </cacheField>
    <cacheField name="18. Considero que la representación de los administrativos cumple su papel de comunicación entre los directivos y el personal administrativo." numFmtId="0">
      <sharedItems count="6">
        <s v="Totalmente de acuerdo / SI"/>
        <s v="No sabe / No puede opinar al respecto"/>
        <s v="De acuerdo"/>
        <s v="Totalmente en desacuerdo / NO"/>
        <s v="Medianamente de acuerdo"/>
        <s v="En desacuerdo"/>
      </sharedItems>
    </cacheField>
    <cacheField name="19. Considero que los representantes administrativos han liderado propuestas para el mejoramiento de los programas académicos con los cuales me he relacionado." numFmtId="0">
      <sharedItems count="6">
        <s v="Totalmente de acuerdo / SI"/>
        <s v="No sabe / No puede opinar al respecto"/>
        <s v="Medianamente de acuerdo"/>
        <s v="De acuerdo"/>
        <s v="En desacuerdo"/>
        <s v="Totalmente en desacuerdo / NO"/>
      </sharedItems>
    </cacheField>
    <cacheField name="20. Considero que los sistemas de información empleados por los programas académicos con los cuales me he relacionado son efectivos." numFmtId="0">
      <sharedItems count="6">
        <s v="Totalmente de acuerdo / SI"/>
        <s v="Medianamente de acuerdo"/>
        <s v="De acuerdo"/>
        <s v="No sabe / No puede opinar al respecto"/>
        <s v="En desacuerdo"/>
        <s v="Totalmente en desacuerdo / NO"/>
      </sharedItems>
    </cacheField>
    <cacheField name="21. Considero que los mecanismos de comunicación empleados por los programas académicos con los cuales me he relacionado son efectivos." numFmtId="0">
      <sharedItems count="6">
        <s v="Totalmente de acuerdo / SI"/>
        <s v="De acuerdo"/>
        <s v="Medianamente de acuerdo"/>
        <s v="No sabe / No puede opinar al respecto"/>
        <s v="En desacuerdo"/>
        <s v="Totalmente en desacuerdo / NO"/>
      </sharedItems>
    </cacheField>
    <cacheField name="22. Considero que las orientaciones de los directivos de los programas académicos con los cuales me he relacionado son adecuadas." numFmtId="0">
      <sharedItems count="5">
        <s v="Totalmente de acuerdo / SI"/>
        <s v="De acuerdo"/>
        <s v="No sabe / No puede opinar al respecto"/>
        <s v="Medianamente de acuerdo"/>
        <s v="En desacuerdo"/>
      </sharedItems>
    </cacheField>
    <cacheField name="23. Considero que el liderazgo ejercido por los directivos de los programas académicos con los cuales me he relacionado es idóneo." numFmtId="0">
      <sharedItems count="6">
        <s v="Totalmente de acuerdo / SI"/>
        <s v="De acuerdo"/>
        <s v="No sabe / No puede opinar al respecto"/>
        <s v="Medianamente de acuerdo"/>
        <s v="Totalmente en desacuerdo / NO"/>
        <s v="En desacuerdo"/>
      </sharedItems>
    </cacheField>
    <cacheField name="24.1. Considero que la planta física empleada por los programas académicos con los cuales me he relacionado es: ADECUADA." numFmtId="0">
      <sharedItems count="6">
        <s v="Totalmente de acuerdo / SI"/>
        <s v="De acuerdo"/>
        <s v="En desacuerdo"/>
        <s v="Medianamente de acuerdo"/>
        <s v="Totalmente en desacuerdo / NO"/>
        <s v="No sabe / No puede opinar al respecto"/>
      </sharedItems>
    </cacheField>
    <cacheField name="24.2. Considero que la planta física empleada por los programas académicos con los cuales me he relacionado es: SUFICIENTE." numFmtId="0">
      <sharedItems count="6">
        <s v="Totalmente de acuerdo / SI"/>
        <s v="Medianamente de acuerdo"/>
        <s v="En desacuerdo"/>
        <s v="Totalmente en desacuerdo / NO"/>
        <s v="De acuerdo"/>
        <s v="No sabe / No puede opinar al respecto"/>
      </sharedItems>
    </cacheField>
    <cacheField name="24.3. Considero que la planta física empleada por los programas académicos con los cuales me he relacionado es:. DEBIDAMENTE MANTENIDA." numFmtId="0">
      <sharedItems count="6">
        <s v="Totalmente de acuerdo / SI"/>
        <s v="Medianamente de acuerdo"/>
        <s v="En desacuerdo"/>
        <s v="Totalmente en desacuerdo / NO"/>
        <s v="De acuerdo"/>
        <s v="No sabe / No puede opinar al respect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gélica Mercedes Nivia Vargas" refreshedDate="43063.642918518519" createdVersion="5" refreshedVersion="5" minRefreshableVersion="3" recordCount="214">
  <cacheSource type="worksheet">
    <worksheetSource ref="A1:CY215" sheet="RespuestasEST" r:id="rId2"/>
  </cacheSource>
  <cacheFields count="103">
    <cacheField name="Marca temporal" numFmtId="166">
      <sharedItems containsNonDate="0" containsDate="1" containsString="0" containsBlank="1" minDate="2017-03-14T14:36:48" maxDate="2017-10-10T12:58:32"/>
    </cacheField>
    <cacheField name="Dirección de correo electrónico" numFmtId="0">
      <sharedItems containsBlank="1"/>
    </cacheField>
    <cacheField name="Programa al cual está adscrito" numFmtId="0">
      <sharedItems containsBlank="1"/>
    </cacheField>
    <cacheField name="Número de renovaciones de matrícula" numFmtId="0">
      <sharedItems containsString="0" containsBlank="1" containsNumber="1" containsInteger="1" minValue="1" maxValue="10"/>
    </cacheField>
    <cacheField name="1. Conozco la misión de la Universidad Distrital Francisco José de Caldas" numFmtId="0">
      <sharedItems containsBlank="1" count="7">
        <s v="Totalmente en desacuerdo / NO"/>
        <s v="Totalmente de acuerdo / SI"/>
        <s v="De acuerdo"/>
        <s v="Medianamente de acuerdo"/>
        <s v="No sabe / No puede opinar al respecto"/>
        <s v="En desacuerdo"/>
        <m/>
      </sharedItems>
    </cacheField>
    <cacheField name="2. Considero que la Universidad Distrital Francisco José de Caldas es una alternativa real para acceder al conocimiento por parte de la población bogotana de menores ingresos." numFmtId="0">
      <sharedItems containsBlank="1" count="6">
        <s v="Totalmente de acuerdo / SI"/>
        <s v="De acuerdo"/>
        <s v="Medianamente de acuerdo"/>
        <s v="En desacuerdo"/>
        <s v="Totalmente en desacuerdo / NO"/>
        <m/>
      </sharedItems>
    </cacheField>
    <cacheField name="3. Considero que la Universidad Distrital Francisco José de Caldas desarrolla una educación de alta calidad con capacidad de responder a los retos del Distrito Capital y del país." numFmtId="0">
      <sharedItems containsBlank="1" count="7">
        <s v="Medianamente de acuerdo"/>
        <s v="Totalmente de acuerdo / SI"/>
        <s v="De acuerdo"/>
        <s v="En desacuerdo"/>
        <s v="Totalmente en desacuerdo / NO"/>
        <m/>
        <s v="No sabe / No puede opinar al respecto" u="1"/>
      </sharedItems>
    </cacheField>
    <cacheField name="4. Conozco el proyecto educativo de mi programa académico (PEP). " numFmtId="0">
      <sharedItems containsBlank="1" count="7">
        <s v="Medianamente de acuerdo"/>
        <s v="De acuerdo"/>
        <s v="Totalmente de acuerdo / SI"/>
        <s v="En desacuerdo"/>
        <s v="Totalmente en desacuerdo / NO"/>
        <s v="No sabe / No puede opinar al respecto"/>
        <m/>
      </sharedItems>
    </cacheField>
    <cacheField name="5. He participado en la discusión y actualización del Proyecto Educativo de Programa." numFmtId="0">
      <sharedItems containsBlank="1" count="7">
        <s v="Medianamente de acuerdo"/>
        <s v="Totalmente en desacuerdo / NO"/>
        <s v="En desacuerdo"/>
        <s v="No sabe / No puede opinar al respecto"/>
        <s v="Totalmente de acuerdo / SI"/>
        <s v="De acuerdo"/>
        <m/>
      </sharedItems>
    </cacheField>
    <cacheField name="6. Conozco las funciones y me entero de las decisiones del Consejo Curricular de mi programa académico." numFmtId="0">
      <sharedItems containsBlank="1" count="7">
        <s v="Totalmente en desacuerdo / NO"/>
        <s v="De acuerdo"/>
        <s v="En desacuerdo"/>
        <s v="Totalmente de acuerdo / SI"/>
        <s v="Medianamente de acuerdo"/>
        <s v="No sabe / No puede opinar al respecto"/>
        <m/>
      </sharedItems>
    </cacheField>
    <cacheField name="7. Conozco el proceso de admisiones a cada uno de los niveles de formación de los programas académicos por ciclos ofrecidos en la Facultad Tecnológica." numFmtId="0">
      <sharedItems containsBlank="1" count="7">
        <s v="No sabe / No puede opinar al respecto"/>
        <s v="Totalmente de acuerdo / SI"/>
        <s v="En desacuerdo"/>
        <s v="Medianamente de acuerdo"/>
        <s v="De acuerdo"/>
        <s v="Totalmente en desacuerdo / NO"/>
        <m/>
      </sharedItems>
    </cacheField>
    <cacheField name="8. Considero que el proceso admisión es transparente y equitativo." numFmtId="0">
      <sharedItems containsBlank="1" count="7">
        <s v="De acuerdo"/>
        <s v="Totalmente de acuerdo / SI"/>
        <s v="Medianamente de acuerdo"/>
        <s v="En desacuerdo"/>
        <s v="No sabe / No puede opinar al respecto"/>
        <s v="Totalmente en desacuerdo / NO"/>
        <m/>
      </sharedItems>
    </cacheField>
    <cacheField name="9. Me siento a gusto con el número de estudiantes que se admiten y se inscriben en los diferentes espacios académicos." numFmtId="0">
      <sharedItems containsBlank="1" count="7">
        <s v="De acuerdo"/>
        <s v="Totalmente de acuerdo / SI"/>
        <s v="Medianamente de acuerdo"/>
        <s v="En desacuerdo"/>
        <s v="Totalmente en desacuerdo / NO"/>
        <s v="No sabe / No puede opinar al respecto"/>
        <m/>
      </sharedItems>
    </cacheField>
    <cacheField name="10. Considero que en mi programa académico se aplican debidamente las normas establecidas en los reglamentos estudiantil y académico." numFmtId="0">
      <sharedItems containsBlank="1" count="7">
        <s v="Medianamente de acuerdo"/>
        <s v="De acuerdo"/>
        <s v="Totalmente de acuerdo / SI"/>
        <s v="No sabe / No puede opinar al respecto"/>
        <s v="En desacuerdo"/>
        <s v="Totalmente en desacuerdo / NO"/>
        <m/>
      </sharedItems>
    </cacheField>
    <cacheField name="11. Conozco los procedimientos para hacer parte de los órganos de dirección de mi programa académico." numFmtId="0">
      <sharedItems containsBlank="1" count="7">
        <s v="En desacuerdo"/>
        <s v="Medianamente de acuerdo"/>
        <s v="Totalmente en desacuerdo / NO"/>
        <s v="Totalmente de acuerdo / SI"/>
        <s v="De acuerdo"/>
        <s v="No sabe / No puede opinar al respecto"/>
        <m/>
      </sharedItems>
    </cacheField>
    <cacheField name="12. Conozco el proceso de selección y vinculación de los docentes." numFmtId="0">
      <sharedItems containsBlank="1" count="7">
        <s v="Totalmente de acuerdo / SI"/>
        <s v="Medianamente de acuerdo"/>
        <s v="Totalmente en desacuerdo / NO"/>
        <s v="En desacuerdo"/>
        <s v="No sabe / No puede opinar al respecto"/>
        <s v="De acuerdo"/>
        <m/>
      </sharedItems>
    </cacheField>
    <cacheField name="13. Considero que la evaluación de docentes se utiliza para definir la permanencia de los docentes de mi programa académico." numFmtId="0">
      <sharedItems containsBlank="1" count="7">
        <s v="No sabe / No puede opinar al respecto"/>
        <s v="De acuerdo"/>
        <s v="Totalmente de acuerdo / SI"/>
        <s v="En desacuerdo"/>
        <s v="Totalmente en desacuerdo / NO"/>
        <s v="Medianamente de acuerdo"/>
        <m/>
      </sharedItems>
    </cacheField>
    <cacheField name="14. Considero que el número de docentes al servicio de mi programa académico es suficiente." numFmtId="0">
      <sharedItems containsBlank="1" count="7">
        <s v="Medianamente de acuerdo"/>
        <s v="De acuerdo"/>
        <s v="Totalmente de acuerdo / SI"/>
        <s v="Totalmente en desacuerdo / NO"/>
        <s v="En desacuerdo"/>
        <s v="No sabe / No puede opinar al respecto"/>
        <m/>
      </sharedItems>
    </cacheField>
    <cacheField name="15.1. Considero que el tiempo dedicado por los docentes de mi programa académico es adecuado para: LA ENSEÑANZA." numFmtId="0">
      <sharedItems containsBlank="1" count="7">
        <s v="No sabe / No puede opinar al respecto"/>
        <s v="De acuerdo"/>
        <s v="Totalmente de acuerdo / SI"/>
        <s v="Medianamente de acuerdo"/>
        <s v="En desacuerdo"/>
        <s v="Totalmente en desacuerdo / NO"/>
        <m/>
      </sharedItems>
    </cacheField>
    <cacheField name="15.2. Considero que el tiempo dedicado por los docentes de mi programa académico es adecuado para: LA INVESTIGACIÓN." numFmtId="0">
      <sharedItems containsBlank="1" count="7">
        <s v="No sabe / No puede opinar al respecto"/>
        <s v="De acuerdo"/>
        <s v="Medianamente de acuerdo"/>
        <s v="En desacuerdo"/>
        <s v="Totalmente en desacuerdo / NO"/>
        <s v="Totalmente de acuerdo / SI"/>
        <m/>
      </sharedItems>
    </cacheField>
    <cacheField name="15.3. Considero que el tiempo dedicado por los docentes de mi programa académico es adecuado para: LA PARTICIPACIÓN EN PROYECTOS DIRIGIDOS A LA COMUNIDAD." numFmtId="0">
      <sharedItems containsBlank="1" count="7">
        <s v="No sabe / No puede opinar al respecto"/>
        <s v="De acuerdo"/>
        <s v="Totalmente en desacuerdo / NO"/>
        <s v="Medianamente de acuerdo"/>
        <s v="En desacuerdo"/>
        <s v="Totalmente de acuerdo / SI"/>
        <m/>
      </sharedItems>
    </cacheField>
    <cacheField name="16. El plan de estudios formulado en mi programa académico es coherente con las competencias que yo espero fortalecer." numFmtId="0">
      <sharedItems containsBlank="1" count="7">
        <s v="No sabe / No puede opinar al respecto"/>
        <s v="Totalmente de acuerdo / SI"/>
        <s v="Medianamente de acuerdo"/>
        <s v="De acuerdo"/>
        <s v="En desacuerdo"/>
        <s v="Totalmente en desacuerdo / NO"/>
        <m/>
      </sharedItems>
    </cacheField>
    <cacheField name="17.1. El programa académico al que pertenezco me brinda las posibilidades necesarias para: DESARROLLAR PROCESOS DE INVESTIGACIÓN." numFmtId="0">
      <sharedItems containsBlank="1" count="7">
        <s v="No sabe / No puede opinar al respecto"/>
        <s v="Totalmente de acuerdo / SI"/>
        <s v="Medianamente de acuerdo"/>
        <s v="De acuerdo"/>
        <s v="En desacuerdo"/>
        <s v="Totalmente en desacuerdo / NO"/>
        <m/>
      </sharedItems>
    </cacheField>
    <cacheField name="17.2. El programa académico al que pertenezco me brinda las posibilidades necesarias para: FORMAR UN PENSAMIENTO CRÍTICO Y ÉTICO." numFmtId="0">
      <sharedItems containsBlank="1" count="7">
        <s v="No sabe / No puede opinar al respecto"/>
        <s v="Totalmente de acuerdo / SI"/>
        <s v="De acuerdo"/>
        <s v="Medianamente de acuerdo"/>
        <s v="Totalmente en desacuerdo / NO"/>
        <s v="En desacuerdo"/>
        <m/>
      </sharedItems>
    </cacheField>
    <cacheField name="17.3. El programa académico al que pertenezco me brinda las posibilidades necesarias para: GENERAR CONOCIMIENTO AL SERVICIO DE LA SOCIEDAD." numFmtId="0">
      <sharedItems containsBlank="1" count="7">
        <s v="No sabe / No puede opinar al respecto"/>
        <s v="Totalmente de acuerdo / SI"/>
        <s v="De acuerdo"/>
        <s v="Medianamente de acuerdo"/>
        <s v="Totalmente en desacuerdo / NO"/>
        <s v="En desacuerdo"/>
        <m/>
      </sharedItems>
    </cacheField>
    <cacheField name="17.4. El programa académico al que pertenezco me brinda las posibilidades necesarias para: SER PARTE ACTIVA Y PARTICIPATIVA EN LA CULTURA CIUDADANA." numFmtId="0">
      <sharedItems containsBlank="1" count="7">
        <s v="No sabe / No puede opinar al respecto"/>
        <s v="Totalmente de acuerdo / SI"/>
        <s v="Medianamente de acuerdo"/>
        <s v="De acuerdo"/>
        <s v="En desacuerdo"/>
        <s v="Totalmente en desacuerdo / NO"/>
        <m/>
      </sharedItems>
    </cacheField>
    <cacheField name="17.5. El programa académico al que pertenezco me brinda las posibilidades necesarias para: DESARROLLAR TEXTOS QUE ARGUMENTEN OPINIONES Y/O CONCEPTOS." numFmtId="0">
      <sharedItems containsBlank="1" count="7">
        <s v="No sabe / No puede opinar al respecto"/>
        <s v="Totalmente de acuerdo / SI"/>
        <s v="De acuerdo"/>
        <s v="Medianamente de acuerdo"/>
        <s v="Totalmente en desacuerdo / NO"/>
        <s v="En desacuerdo"/>
        <m/>
      </sharedItems>
    </cacheField>
    <cacheField name="18. El plan de estudios me permite cursar espacios académicos electivos en diversas áreas. " numFmtId="0">
      <sharedItems containsBlank="1" count="7">
        <s v="No sabe / No puede opinar al respecto"/>
        <s v="De acuerdo"/>
        <s v="Totalmente de acuerdo / SI"/>
        <s v="Medianamente de acuerdo"/>
        <s v="En desacuerdo"/>
        <s v="Totalmente en desacuerdo / NO"/>
        <m/>
      </sharedItems>
    </cacheField>
    <cacheField name="19. El menú de asignaturas electivas despierta en mi interés profesional y personal." numFmtId="0">
      <sharedItems containsBlank="1" count="7">
        <s v="No sabe / No puede opinar al respecto"/>
        <s v="De acuerdo"/>
        <s v="Totalmente de acuerdo / SI"/>
        <s v="Medianamente de acuerdo"/>
        <s v="En desacuerdo"/>
        <s v="Totalmente en desacuerdo / NO"/>
        <m/>
      </sharedItems>
    </cacheField>
    <cacheField name="20. En mi programa académico existe proyectos de investigación con participación de personas de distintas áreas del conocimiento." numFmtId="0">
      <sharedItems containsBlank="1" count="7">
        <s v="No sabe / No puede opinar al respecto"/>
        <s v="Totalmente de acuerdo / SI"/>
        <s v="Medianamente de acuerdo"/>
        <s v="De acuerdo"/>
        <s v="En desacuerdo"/>
        <s v="Totalmente en desacuerdo / NO"/>
        <m/>
      </sharedItems>
    </cacheField>
    <cacheField name="21. Los proyectos de grado pueden realizarse con intervención de estudiantes de diferentes programas académicos." numFmtId="0">
      <sharedItems containsBlank="1" count="7">
        <s v="De acuerdo"/>
        <s v="Totalmente de acuerdo / SI"/>
        <s v="Medianamente de acuerdo"/>
        <s v="No sabe / No puede opinar al respecto"/>
        <s v="En desacuerdo"/>
        <s v="Totalmente en desacuerdo / NO"/>
        <m/>
      </sharedItems>
    </cacheField>
    <cacheField name="22. Puedo inscribir espacios académicos en otros programas académicos." numFmtId="0">
      <sharedItems containsBlank="1" count="7">
        <s v="De acuerdo"/>
        <s v="Totalmente de acuerdo / SI"/>
        <s v="En desacuerdo"/>
        <s v="No sabe / No puede opinar al respecto"/>
        <s v="Medianamente de acuerdo"/>
        <s v="Totalmente en desacuerdo / NO"/>
        <m/>
      </sharedItems>
    </cacheField>
    <cacheField name="23. Puedo inscribir espacios académicos en otras Instituciones y homologarlas en mi programa académico." numFmtId="0">
      <sharedItems containsBlank="1" count="7">
        <s v="De acuerdo"/>
        <s v="Totalmente de acuerdo / SI"/>
        <s v="Medianamente de acuerdo"/>
        <s v="En desacuerdo"/>
        <s v="No sabe / No puede opinar al respecto"/>
        <s v="Totalmente en desacuerdo / NO"/>
        <m/>
      </sharedItems>
    </cacheField>
    <cacheField name="24. En mi programa académico existen espacios académicos en donde se inscriben estudiantes de diferentes programas. " numFmtId="0">
      <sharedItems containsBlank="1" count="7">
        <s v="De acuerdo"/>
        <s v="Totalmente de acuerdo / SI"/>
        <s v="No sabe / No puede opinar al respecto"/>
        <s v="Totalmente en desacuerdo / NO"/>
        <s v="En desacuerdo"/>
        <s v="Medianamente de acuerdo"/>
        <m/>
      </sharedItems>
    </cacheField>
    <cacheField name="25. En mi programa académico existen cursos de interés para los estudiantes de otros programas académicos de la Facultad Tecnológica y de la Universidad Distrital Francisco José de Caldas." numFmtId="0">
      <sharedItems containsBlank="1" count="7">
        <s v="Medianamente de acuerdo"/>
        <s v="De acuerdo"/>
        <s v="Totalmente de acuerdo / SI"/>
        <s v="No sabe / No puede opinar al respecto"/>
        <s v="En desacuerdo"/>
        <s v="Totalmente en desacuerdo / NO"/>
        <m/>
      </sharedItems>
    </cacheField>
    <cacheField name="26. Mi programa académico incentiva las actividades y proyectos extra clase que los estudiantes realizan. " numFmtId="0">
      <sharedItems containsBlank="1" count="7">
        <s v="De acuerdo"/>
        <s v="Totalmente de acuerdo / SI"/>
        <s v="Medianamente de acuerdo"/>
        <s v="No sabe / No puede opinar al respecto"/>
        <s v="En desacuerdo"/>
        <s v="Totalmente en desacuerdo / NO"/>
        <m/>
      </sharedItems>
    </cacheField>
    <cacheField name="27. Las estrategias didácticas empleadas en mi programa académico me permiten adquirir los conocimientos característicos de la profesión que escogí." numFmtId="0">
      <sharedItems containsBlank="1" count="7">
        <s v="Totalmente de acuerdo / SI"/>
        <s v="Medianamente de acuerdo"/>
        <s v="De acuerdo"/>
        <s v="En desacuerdo"/>
        <s v="No sabe / No puede opinar al respecto"/>
        <s v="Totalmente en desacuerdo / NO"/>
        <m/>
      </sharedItems>
    </cacheField>
    <cacheField name="28. El plan de estudios de mi programa académico se desarrolla empleando estrategias didácticas diversas." numFmtId="0">
      <sharedItems containsBlank="1" count="7">
        <s v="Totalmente de acuerdo / SI"/>
        <s v="De acuerdo"/>
        <s v="Medianamente de acuerdo"/>
        <s v="No sabe / No puede opinar al respecto"/>
        <s v="En desacuerdo"/>
        <s v="Totalmente en desacuerdo / NO"/>
        <m/>
      </sharedItems>
    </cacheField>
    <cacheField name="29. Me siento a gusto con las estrategias de enseñanza utilizadas en mi programa académico." numFmtId="0">
      <sharedItems containsBlank="1" count="7">
        <s v="Totalmente en desacuerdo / NO"/>
        <s v="De acuerdo"/>
        <s v="Totalmente de acuerdo / SI"/>
        <s v="Medianamente de acuerdo"/>
        <s v="En desacuerdo"/>
        <s v="No sabe / No puede opinar al respecto"/>
        <m/>
      </sharedItems>
    </cacheField>
    <cacheField name="30. Los docentes de mi programa académico cumplen con el contenido propuesto para los espacios académicos en cada semestre." numFmtId="0">
      <sharedItems containsBlank="1" count="7">
        <s v="Medianamente de acuerdo"/>
        <s v="Totalmente de acuerdo / SI"/>
        <s v="De acuerdo"/>
        <s v="En desacuerdo"/>
        <s v="Totalmente en desacuerdo / NO"/>
        <m/>
        <s v="No sabe / No puede opinar al respecto" u="1"/>
      </sharedItems>
    </cacheField>
    <cacheField name="31. Me siento a gusto con las estrategias de enseñanza utilizadas en mi programa académico." numFmtId="0">
      <sharedItems containsBlank="1" count="7">
        <s v="Medianamente de acuerdo"/>
        <s v="De acuerdo"/>
        <s v="Totalmente de acuerdo / SI"/>
        <s v="En desacuerdo"/>
        <s v="Totalmente en desacuerdo / NO"/>
        <s v="No sabe / No puede opinar al respecto"/>
        <m/>
      </sharedItems>
    </cacheField>
    <cacheField name="32. Conozco las diferencias entre los programas de formación en ingeniería por ciclos y los programas de ingeniería tradicional." numFmtId="0">
      <sharedItems containsBlank="1" count="7">
        <s v="No sabe / No puede opinar al respecto"/>
        <s v="Totalmente de acuerdo / SI"/>
        <s v="Medianamente de acuerdo"/>
        <s v="De acuerdo"/>
        <s v="En desacuerdo"/>
        <s v="Totalmente en desacuerdo / NO"/>
        <m/>
      </sharedItems>
    </cacheField>
    <cacheField name="33. Tengo claro qué es y para qué sirve el componente propedéutico en un programa de ingeniería por ciclos." numFmtId="0">
      <sharedItems containsBlank="1" count="7">
        <s v="En desacuerdo"/>
        <s v="Totalmente de acuerdo / SI"/>
        <s v="Medianamente de acuerdo"/>
        <s v="No sabe / No puede opinar al respecto"/>
        <s v="De acuerdo"/>
        <s v="Totalmente en desacuerdo / NO"/>
        <m/>
      </sharedItems>
    </cacheField>
    <cacheField name="34. Considero que ser tecnólogo me brinda oportunidades para vincularme en el mercado laboral." numFmtId="0">
      <sharedItems containsBlank="1" count="7">
        <s v="De acuerdo"/>
        <s v="Totalmente de acuerdo / SI"/>
        <s v="En desacuerdo"/>
        <s v="Medianamente de acuerdo"/>
        <s v="Totalmente en desacuerdo / NO"/>
        <m/>
        <s v="No sabe / No puede opinar al respecto" u="1"/>
      </sharedItems>
    </cacheField>
    <cacheField name="35. Ser ingeniero mejora las condiciones laborales del tecnólogo. " numFmtId="0">
      <sharedItems containsBlank="1" count="7">
        <s v="De acuerdo"/>
        <s v="Totalmente de acuerdo / SI"/>
        <s v="Medianamente de acuerdo"/>
        <s v="No sabe / No puede opinar al respecto"/>
        <s v="En desacuerdo"/>
        <s v="Totalmente en desacuerdo / NO"/>
        <m/>
      </sharedItems>
    </cacheField>
    <cacheField name="36. Mi proyecto de vida me motiva o me motivó a continuar con mis estudios de ingeniería. " numFmtId="0">
      <sharedItems containsBlank="1" count="7">
        <s v="Totalmente de acuerdo / SI"/>
        <s v="De acuerdo"/>
        <s v="En desacuerdo"/>
        <s v="No sabe / No puede opinar al respecto"/>
        <s v="Medianamente de acuerdo"/>
        <s v="Totalmente en desacuerdo / NO"/>
        <m/>
      </sharedItems>
    </cacheField>
    <cacheField name="37. Considero o consideré atractivo la posibilidad de cursar una ingeniería en otra área del conocimiento. " numFmtId="0">
      <sharedItems containsBlank="1" count="7">
        <s v="Medianamente de acuerdo"/>
        <s v="Totalmente de acuerdo / SI"/>
        <s v="De acuerdo"/>
        <s v="En desacuerdo"/>
        <s v="Totalmente en desacuerdo / NO"/>
        <s v="No sabe / No puede opinar al respecto"/>
        <m/>
      </sharedItems>
    </cacheField>
    <cacheField name="38. Las evaluaciones practicadas en los diferentes espacios académicos son adecuadas e imparciales." numFmtId="0">
      <sharedItems containsBlank="1" count="7">
        <s v="Medianamente de acuerdo"/>
        <s v="De acuerdo"/>
        <s v="Totalmente de acuerdo / SI"/>
        <s v="En desacuerdo"/>
        <s v="Totalmente en desacuerdo / NO"/>
        <s v="No sabe / No puede opinar al respecto"/>
        <m/>
      </sharedItems>
    </cacheField>
    <cacheField name="39. Las reglas de evaluación están claramente definidas en el estatuto estudiantil." numFmtId="0">
      <sharedItems containsBlank="1" count="7">
        <s v="De acuerdo"/>
        <s v="Totalmente de acuerdo / SI"/>
        <s v="Medianamente de acuerdo"/>
        <s v="No sabe / No puede opinar al respecto"/>
        <s v="En desacuerdo"/>
        <s v="Totalmente en desacuerdo / NO"/>
        <m/>
      </sharedItems>
    </cacheField>
    <cacheField name="40. Los temas de los trabajos desarrollados en los espacios académicos despiertan mi interés personal y profesional." numFmtId="0">
      <sharedItems containsBlank="1" count="7">
        <s v="Totalmente de acuerdo / SI"/>
        <s v="De acuerdo"/>
        <s v="En desacuerdo"/>
        <s v="Medianamente de acuerdo"/>
        <s v="Totalmente en desacuerdo / NO"/>
        <s v="No sabe / No puede opinar al respecto"/>
        <m/>
      </sharedItems>
    </cacheField>
    <cacheField name="41. Los objetivos de cada uno de los espacios académicos son coherentes con los trabajos de aula solicitados por los docentes." numFmtId="0">
      <sharedItems containsBlank="1" count="7">
        <s v="Totalmente de acuerdo / SI"/>
        <s v="De acuerdo"/>
        <s v="Medianamente de acuerdo"/>
        <s v="En desacuerdo"/>
        <s v="Totalmente en desacuerdo / NO"/>
        <s v="No sabe / No puede opinar al respecto"/>
        <m/>
      </sharedItems>
    </cacheField>
    <cacheField name="42. Conozco los procesos para la evaluación periódica de la pertinencia y calidad del programa académico al cual pertenezco." numFmtId="0">
      <sharedItems containsBlank="1" count="7">
        <s v="Totalmente en desacuerdo / NO"/>
        <s v="De acuerdo"/>
        <s v="Totalmente de acuerdo / SI"/>
        <s v="No sabe / No puede opinar al respecto"/>
        <s v="Medianamente de acuerdo"/>
        <s v="En desacuerdo"/>
        <m/>
      </sharedItems>
    </cacheField>
    <cacheField name="43. He participado en procesos para la evaluación periódica de la pertinencia y calidad del programa académico al cual pertenezco." numFmtId="0">
      <sharedItems containsBlank="1" count="7">
        <s v="En desacuerdo"/>
        <s v="De acuerdo"/>
        <s v="Totalmente en desacuerdo / NO"/>
        <s v="Medianamente de acuerdo"/>
        <s v="Totalmente de acuerdo / SI"/>
        <s v="No sabe / No puede opinar al respecto"/>
        <m/>
      </sharedItems>
    </cacheField>
    <cacheField name="44. Puedo identificar mejoras realizadas  en mi programa académico durante el último año." numFmtId="0">
      <sharedItems containsBlank="1" count="7">
        <s v="En desacuerdo"/>
        <s v="De acuerdo"/>
        <s v="Totalmente en desacuerdo / NO"/>
        <s v="Medianamente de acuerdo"/>
        <s v="No sabe / No puede opinar al respecto"/>
        <s v="Totalmente de acuerdo / SI"/>
        <m/>
      </sharedItems>
    </cacheField>
    <cacheField name="45. Conozco proyectos dirigidos a la comunidad y liderados por mi programa académico." numFmtId="0">
      <sharedItems containsBlank="1" count="7">
        <s v="En desacuerdo"/>
        <s v="Medianamente de acuerdo"/>
        <s v="Totalmente de acuerdo / SI"/>
        <s v="Totalmente en desacuerdo / NO"/>
        <s v="De acuerdo"/>
        <s v="No sabe / No puede opinar al respecto"/>
        <m/>
      </sharedItems>
    </cacheField>
    <cacheField name="46. He participado en proyectos dirigidos a la comunidad y liderados por el programa académico." numFmtId="0">
      <sharedItems containsBlank="1" count="7">
        <s v="En desacuerdo"/>
        <s v="Medianamente de acuerdo"/>
        <s v="Totalmente en desacuerdo / NO"/>
        <s v="De acuerdo"/>
        <s v="No sabe / No puede opinar al respecto"/>
        <s v="Totalmente de acuerdo / SI"/>
        <m/>
      </sharedItems>
    </cacheField>
    <cacheField name="47. Desde mi programa académico se ayuda a resolver problemas de la comunidad." numFmtId="0">
      <sharedItems containsBlank="1" count="7">
        <s v="Medianamente de acuerdo"/>
        <s v="Totalmente de acuerdo / SI"/>
        <s v="De acuerdo"/>
        <s v="Totalmente en desacuerdo / NO"/>
        <s v="No sabe / No puede opinar al respecto"/>
        <s v="En desacuerdo"/>
        <m/>
      </sharedItems>
    </cacheField>
    <cacheField name="48.1. Considero que el material bibliográfico es: SUFICIENTE." numFmtId="0">
      <sharedItems containsBlank="1" count="7">
        <s v="Medianamente de acuerdo"/>
        <s v="De acuerdo"/>
        <s v="Totalmente de acuerdo / SI"/>
        <s v="Totalmente en desacuerdo / NO"/>
        <s v="No sabe / No puede opinar al respecto"/>
        <s v="En desacuerdo"/>
        <m/>
      </sharedItems>
    </cacheField>
    <cacheField name="48.2. Considero que el material bibliográfico es: ADECUADO." numFmtId="0">
      <sharedItems containsBlank="1" count="7">
        <s v="De acuerdo"/>
        <s v="Totalmente de acuerdo / SI"/>
        <s v="Medianamente de acuerdo"/>
        <s v="No sabe / No puede opinar al respecto"/>
        <s v="Totalmente en desacuerdo / NO"/>
        <s v="En desacuerdo"/>
        <m/>
      </sharedItems>
    </cacheField>
    <cacheField name="48.3. Considero que el material bibliográfico es: ACTUALIZADO." numFmtId="0">
      <sharedItems containsBlank="1" count="7">
        <s v="Medianamente de acuerdo"/>
        <s v="De acuerdo"/>
        <s v="Totalmente de acuerdo / SI"/>
        <s v="En desacuerdo"/>
        <s v="No sabe / No puede opinar al respecto"/>
        <s v="Totalmente en desacuerdo / NO"/>
        <m/>
      </sharedItems>
    </cacheField>
    <cacheField name="49.1. Considero que los computadores y software disponibles en mi programa académico son: SUFICIENTE." numFmtId="0">
      <sharedItems containsBlank="1" count="7">
        <s v="No sabe / No puede opinar al respecto"/>
        <s v="De acuerdo"/>
        <s v="Totalmente de acuerdo / SI"/>
        <s v="Totalmente en desacuerdo / NO"/>
        <s v="En desacuerdo"/>
        <s v="Medianamente de acuerdo"/>
        <m/>
      </sharedItems>
    </cacheField>
    <cacheField name="49.2. Considero que los computadores y software disponibles en mi programa académico son: ADECUADO." numFmtId="0">
      <sharedItems containsBlank="1" count="7">
        <s v="No sabe / No puede opinar al respecto"/>
        <s v="De acuerdo"/>
        <s v="Totalmente de acuerdo / SI"/>
        <s v="En desacuerdo"/>
        <s v="Medianamente de acuerdo"/>
        <s v="Totalmente en desacuerdo / NO"/>
        <m/>
      </sharedItems>
    </cacheField>
    <cacheField name="49.3. Considero que los computadores y software disponibles en mi programa académico son: ACTUALIZADO." numFmtId="0">
      <sharedItems containsBlank="1" count="7">
        <s v="No sabe / No puede opinar al respecto"/>
        <s v="De acuerdo"/>
        <s v="Totalmente de acuerdo / SI"/>
        <s v="En desacuerdo"/>
        <s v="Medianamente de acuerdo"/>
        <s v="Totalmente en desacuerdo / NO"/>
        <m/>
      </sharedItems>
    </cacheField>
    <cacheField name="50. Durante el desarrollo de las clases se hace un adecuado uso de las herramientas poseídas por la Universidad Distrital Francisco José de Caldas tales como: laboratorios, talleres y medios audiovisuales." numFmtId="0">
      <sharedItems containsBlank="1" count="7">
        <s v="De acuerdo"/>
        <s v="Totalmente de acuerdo / SI"/>
        <s v="Medianamente de acuerdo"/>
        <s v="En desacuerdo"/>
        <s v="Totalmente en desacuerdo / NO"/>
        <m/>
        <s v="No sabe / No puede opinar al respecto" u="1"/>
      </sharedItems>
    </cacheField>
    <cacheField name="51.1. Considero que los laboratorios y talleres disponibles en mi programa académico son: SUFICIENTES." numFmtId="0">
      <sharedItems containsBlank="1" count="7">
        <s v="En desacuerdo"/>
        <s v="De acuerdo"/>
        <s v="Totalmente de acuerdo / SI"/>
        <s v="Medianamente de acuerdo"/>
        <s v="Totalmente en desacuerdo / NO"/>
        <s v="No sabe / No puede opinar al respecto"/>
        <m/>
      </sharedItems>
    </cacheField>
    <cacheField name="51.2. Considero que los laboratorios y talleres disponibles en mi programa académico son: ADECUADOS." numFmtId="0">
      <sharedItems containsBlank="1" count="7">
        <s v="De acuerdo"/>
        <s v="Totalmente de acuerdo / SI"/>
        <s v="Medianamente de acuerdo"/>
        <s v="En desacuerdo"/>
        <s v="Totalmente en desacuerdo / NO"/>
        <s v="No sabe / No puede opinar al respecto"/>
        <m/>
      </sharedItems>
    </cacheField>
    <cacheField name="51.3. Considero que los laboratorios y talleres disponibles en mi programa académico son: ACTUALIZADOS." numFmtId="0">
      <sharedItems containsBlank="1" count="7">
        <s v="No sabe / No puede opinar al respecto"/>
        <s v="De acuerdo"/>
        <s v="Totalmente de acuerdo / SI"/>
        <s v="Medianamente de acuerdo"/>
        <s v="En desacuerdo"/>
        <s v="Totalmente en desacuerdo / NO"/>
        <m/>
      </sharedItems>
    </cacheField>
    <cacheField name="51.4. Considero que los laboratorios y talleres disponibles en mi programa académico son: APOYADOS POR PERSONAL DEBIDAMENTE CAPACITADO." numFmtId="0">
      <sharedItems containsBlank="1" count="7">
        <s v="De acuerdo"/>
        <s v="Totalmente de acuerdo / SI"/>
        <s v="Medianamente de acuerdo"/>
        <s v="En desacuerdo"/>
        <s v="Totalmente en desacuerdo / NO"/>
        <s v="No sabe / No puede opinar al respecto"/>
        <m/>
      </sharedItems>
    </cacheField>
    <cacheField name="51.5. Considero que los laboratorios y talleres disponibles en mi programa académico son: VENTILADOS." numFmtId="0">
      <sharedItems containsBlank="1" count="7">
        <s v="Medianamente de acuerdo"/>
        <s v="De acuerdo"/>
        <s v="Totalmente de acuerdo / SI"/>
        <s v="No sabe / No puede opinar al respecto"/>
        <s v="En desacuerdo"/>
        <s v="Totalmente en desacuerdo / NO"/>
        <m/>
      </sharedItems>
    </cacheField>
    <cacheField name="51.6. Considero que los laboratorios y talleres disponibles en mi programa académico son: ILUMINADOS." numFmtId="0">
      <sharedItems containsBlank="1" count="7">
        <s v="En desacuerdo"/>
        <s v="De acuerdo"/>
        <s v="Totalmente de acuerdo / SI"/>
        <s v="Medianamente de acuerdo"/>
        <s v="Totalmente en desacuerdo / NO"/>
        <s v="No sabe / No puede opinar al respecto"/>
        <m/>
      </sharedItems>
    </cacheField>
    <cacheField name="51.7. Considero que los laboratorios y talleres disponibles en mi programa académico son: DISEÑADOS SEGÚN NORMAS DE SEGURIDAD." numFmtId="0">
      <sharedItems containsBlank="1" count="7">
        <s v="En desacuerdo"/>
        <s v="De acuerdo"/>
        <s v="Totalmente de acuerdo / SI"/>
        <s v="Medianamente de acuerdo"/>
        <s v="No sabe / No puede opinar al respecto"/>
        <s v="Totalmente en desacuerdo / NO"/>
        <m/>
      </sharedItems>
    </cacheField>
    <cacheField name="52.1. Considero que los materiales de apoyo audiovisual son: SUFICIENTES." numFmtId="0">
      <sharedItems containsBlank="1" count="7">
        <s v="De acuerdo"/>
        <s v="Totalmente de acuerdo / SI"/>
        <s v="Medianamente de acuerdo"/>
        <s v="En desacuerdo"/>
        <s v="No sabe / No puede opinar al respecto"/>
        <s v="Totalmente en desacuerdo / NO"/>
        <m/>
      </sharedItems>
    </cacheField>
    <cacheField name="52.2. Considero que los materiales de apoyo audiovisual son: ADECUADOS." numFmtId="0">
      <sharedItems containsBlank="1" count="7">
        <s v="Medianamente de acuerdo"/>
        <s v="De acuerdo"/>
        <s v="Totalmente de acuerdo / SI"/>
        <s v="En desacuerdo"/>
        <s v="Totalmente en desacuerdo / NO"/>
        <s v="No sabe / No puede opinar al respecto"/>
        <m/>
      </sharedItems>
    </cacheField>
    <cacheField name="52.3. Considero que los materiales de apoyo audiovisual son: ACTUALIZADOS." numFmtId="0">
      <sharedItems containsBlank="1" count="7">
        <s v="De acuerdo"/>
        <s v="Totalmente de acuerdo / SI"/>
        <s v="Medianamente de acuerdo"/>
        <s v="En desacuerdo"/>
        <s v="No sabe / No puede opinar al respecto"/>
        <s v="Totalmente en desacuerdo / NO"/>
        <m/>
      </sharedItems>
    </cacheField>
    <cacheField name="52.4. Considero que los materiales de apoyo audiovisual son: SOPORTADOS POR PERSONAL DEBIDAMENTE CAPACITADO." numFmtId="0">
      <sharedItems containsBlank="1" count="7">
        <s v="Medianamente de acuerdo"/>
        <s v="De acuerdo"/>
        <s v="En desacuerdo"/>
        <s v="Totalmente de acuerdo / SI"/>
        <s v="No sabe / No puede opinar al respecto"/>
        <s v="Totalmente en desacuerdo / NO"/>
        <m/>
      </sharedItems>
    </cacheField>
    <cacheField name="53. Mi programa académico promueve la participación en proyectos de investigación." numFmtId="0">
      <sharedItems containsBlank="1" count="7">
        <s v="Medianamente de acuerdo"/>
        <s v="Totalmente de acuerdo / SI"/>
        <s v="De acuerdo"/>
        <s v="No sabe / No puede opinar al respecto"/>
        <s v="Totalmente en desacuerdo / NO"/>
        <s v="En desacuerdo"/>
        <m/>
      </sharedItems>
    </cacheField>
    <cacheField name="54. Mi programa académico dispone de los recursos que necesito para desarrollar mis trabajos de investigación. " numFmtId="0">
      <sharedItems containsBlank="1" count="7">
        <s v="En desacuerdo"/>
        <s v="Totalmente de acuerdo / SI"/>
        <s v="De acuerdo"/>
        <s v="No sabe / No puede opinar al respecto"/>
        <s v="Medianamente de acuerdo"/>
        <s v="Totalmente en desacuerdo / NO"/>
        <m/>
      </sharedItems>
    </cacheField>
    <cacheField name="55. Participo o he participado en grupos y redes académicas externas a la Universidad Distrital Francisco José de Caldas." numFmtId="0">
      <sharedItems containsBlank="1" count="7">
        <s v="Medianamente de acuerdo"/>
        <s v="Totalmente en desacuerdo / NO"/>
        <s v="Totalmente de acuerdo / SI"/>
        <s v="En desacuerdo"/>
        <s v="De acuerdo"/>
        <s v="No sabe / No puede opinar al respecto"/>
        <m/>
      </sharedItems>
    </cacheField>
    <cacheField name="56. Considero que los servicios o actividades ofrecidas por Bienestar Institucional contribuyen a mi desarrollo personal y profesional." numFmtId="0">
      <sharedItems containsBlank="1" count="7">
        <s v="De acuerdo"/>
        <s v="Totalmente de acuerdo / SI"/>
        <s v="Medianamente de acuerdo"/>
        <s v="Totalmente en desacuerdo / NO"/>
        <s v="No sabe / No puede opinar al respecto"/>
        <s v="En desacuerdo"/>
        <m/>
      </sharedItems>
    </cacheField>
    <cacheField name="57.1. Considero que los servicios de bienestar son: SUFICIENTE." numFmtId="0">
      <sharedItems containsBlank="1" count="7">
        <s v="En desacuerdo"/>
        <s v="De acuerdo"/>
        <s v="Totalmente de acuerdo / SI"/>
        <s v="Medianamente de acuerdo"/>
        <s v="No sabe / No puede opinar al respecto"/>
        <s v="Totalmente en desacuerdo / NO"/>
        <m/>
      </sharedItems>
    </cacheField>
    <cacheField name="57.2. Considero que los servicios de bienestar son: ADECUADO." numFmtId="0">
      <sharedItems containsBlank="1" count="7">
        <s v="De acuerdo"/>
        <s v="Totalmente de acuerdo / SI"/>
        <s v="Medianamente de acuerdo"/>
        <s v="No sabe / No puede opinar al respecto"/>
        <s v="Totalmente en desacuerdo / NO"/>
        <s v="En desacuerdo"/>
        <m/>
      </sharedItems>
    </cacheField>
    <cacheField name="57.3. Considero que los servicios de bienestar son: ACCESIBLES." numFmtId="0">
      <sharedItems containsBlank="1" count="7">
        <s v="De acuerdo"/>
        <s v="Totalmente de acuerdo / SI"/>
        <s v="En desacuerdo"/>
        <s v="Medianamente de acuerdo"/>
        <s v="Totalmente en desacuerdo / NO"/>
        <s v="No sabe / No puede opinar al respecto"/>
        <m/>
      </sharedItems>
    </cacheField>
    <cacheField name="58. Mi experiencia en éste programa académico me motiva a continuar en mi programa académico.  " numFmtId="0">
      <sharedItems containsBlank="1" count="7">
        <s v="De acuerdo"/>
        <s v="Totalmente de acuerdo / SI"/>
        <s v="Medianamente de acuerdo"/>
        <s v="No sabe / No puede opinar al respecto"/>
        <s v="Totalmente en desacuerdo / NO"/>
        <s v="En desacuerdo"/>
        <m/>
      </sharedItems>
    </cacheField>
    <cacheField name="59. Puedo terminar mi pregrado en el tiempo establecido por mi programa académico. " numFmtId="0">
      <sharedItems containsBlank="1" count="7">
        <s v="De acuerdo"/>
        <s v="Totalmente de acuerdo / SI"/>
        <s v="Medianamente de acuerdo"/>
        <s v="En desacuerdo"/>
        <s v="No sabe / No puede opinar al respecto"/>
        <s v="Totalmente en desacuerdo / NO"/>
        <m/>
      </sharedItems>
    </cacheField>
    <cacheField name="60. Las alternativas de grado actuales me permitirán terminar mis estudios en el tiempo previsto. " numFmtId="0">
      <sharedItems containsBlank="1" count="7">
        <s v="Totalmente de acuerdo / SI"/>
        <s v="De acuerdo"/>
        <s v="Medianamente de acuerdo"/>
        <s v="No sabe / No puede opinar al respecto"/>
        <s v="Totalmente en desacuerdo / NO"/>
        <s v="En desacuerdo"/>
        <m/>
      </sharedItems>
    </cacheField>
    <cacheField name="61. Considero que la atención por parte del personal administrativo de mi programa académico es idónea. " numFmtId="0">
      <sharedItems containsBlank="1" count="7">
        <s v="Medianamente de acuerdo"/>
        <s v="De acuerdo"/>
        <s v="Totalmente de acuerdo / SI"/>
        <s v="No sabe / No puede opinar al respecto"/>
        <s v="En desacuerdo"/>
        <s v="Totalmente en desacuerdo / NO"/>
        <m/>
      </sharedItems>
    </cacheField>
    <cacheField name="62.1. La organización, administración y gestión de mi programa académico permite cumplir los objetivos de: DESARROLLO REGULAR DE LOS ESPACIOS Y DE LOS SEMESTRES ACADÉMICOS." numFmtId="0">
      <sharedItems containsBlank="1" count="7">
        <s v="De acuerdo"/>
        <s v="Totalmente de acuerdo / SI"/>
        <s v="Medianamente de acuerdo"/>
        <s v="No sabe / No puede opinar al respecto"/>
        <s v="Totalmente en desacuerdo / NO"/>
        <s v="En desacuerdo"/>
        <m/>
      </sharedItems>
    </cacheField>
    <cacheField name="62.2. La organización, administración y gestión de mi programa académico permite cumplir los objetivos de: PROMOCIÓN DE LA CULTURA DE LA INVESTIGACIÓN." numFmtId="0">
      <sharedItems containsBlank="1" count="7">
        <s v="Totalmente de acuerdo / SI"/>
        <s v="De acuerdo"/>
        <s v="Medianamente de acuerdo"/>
        <s v="No sabe / No puede opinar al respecto"/>
        <s v="Totalmente en desacuerdo / NO"/>
        <s v="En desacuerdo"/>
        <m/>
      </sharedItems>
    </cacheField>
    <cacheField name="62.3. La organización, administración y gestión de mi programa académico permite cumplir los objetivos de: INTEGRACIÓN CON LA COMUNIDAD Y CON EL ENTORNO." numFmtId="0">
      <sharedItems containsBlank="1" count="7">
        <s v="De acuerdo"/>
        <s v="Totalmente de acuerdo / SI"/>
        <s v="Medianamente de acuerdo"/>
        <s v="No sabe / No puede opinar al respecto"/>
        <s v="En desacuerdo"/>
        <s v="Totalmente en desacuerdo / NO"/>
        <m/>
      </sharedItems>
    </cacheField>
    <cacheField name="63. Puedo identificar las personas que desarrollan la representación estudiantil en mi programa académico. " numFmtId="0">
      <sharedItems containsBlank="1" count="7">
        <s v="Medianamente de acuerdo"/>
        <s v="De acuerdo"/>
        <s v="Totalmente de acuerdo / SI"/>
        <s v="En desacuerdo"/>
        <s v="Totalmente en desacuerdo / NO"/>
        <s v="No sabe / No puede opinar al respecto"/>
        <m/>
      </sharedItems>
    </cacheField>
    <cacheField name="64. Considero que la representación estudiantil cumple su papel de comunicación entre los directivos y los estudiantes." numFmtId="0">
      <sharedItems containsBlank="1" count="7">
        <s v="Totalmente de acuerdo / SI"/>
        <s v="De acuerdo"/>
        <s v="Medianamente de acuerdo"/>
        <s v="Totalmente en desacuerdo / NO"/>
        <s v="En desacuerdo"/>
        <s v="No sabe / No puede opinar al respecto"/>
        <m/>
      </sharedItems>
    </cacheField>
    <cacheField name="65. Los representantes estudiantiles han liderado propuestas para el mejoramiento de mi programa académico. " numFmtId="0">
      <sharedItems containsBlank="1" count="7">
        <s v="Medianamente de acuerdo"/>
        <s v="De acuerdo"/>
        <s v="Totalmente en desacuerdo / NO"/>
        <s v="No sabe / No puede opinar al respecto"/>
        <s v="Totalmente de acuerdo / SI"/>
        <s v="En desacuerdo"/>
        <m/>
      </sharedItems>
    </cacheField>
    <cacheField name="66.1. Considero que los sistemas de información empleados por mi programa académico son: VERACES." numFmtId="0">
      <sharedItems containsBlank="1" count="7">
        <s v="En desacuerdo"/>
        <s v="De acuerdo"/>
        <s v="Totalmente de acuerdo / SI"/>
        <s v="Medianamente de acuerdo"/>
        <s v="No sabe / No puede opinar al respecto"/>
        <s v="Totalmente en desacuerdo / NO"/>
        <m/>
      </sharedItems>
    </cacheField>
    <cacheField name="66.2. Considero que los sistemas de información empleados por mi programa académico son: OPORTUNOS." numFmtId="0">
      <sharedItems containsBlank="1" count="7">
        <s v="De acuerdo"/>
        <s v="Totalmente de acuerdo / SI"/>
        <s v="Medianamente de acuerdo"/>
        <s v="No sabe / No puede opinar al respecto"/>
        <s v="Totalmente en desacuerdo / NO"/>
        <s v="En desacuerdo"/>
        <m/>
      </sharedItems>
    </cacheField>
    <cacheField name="67.1. Considero que los medios empleados para la difusión de información de mi programa académico son: VERACES." numFmtId="0">
      <sharedItems containsBlank="1" count="7">
        <s v="No sabe / No puede opinar al respecto"/>
        <s v="De acuerdo"/>
        <s v="Totalmente de acuerdo / SI"/>
        <s v="Medianamente de acuerdo"/>
        <s v="En desacuerdo"/>
        <s v="Totalmente en desacuerdo / NO"/>
        <m/>
      </sharedItems>
    </cacheField>
    <cacheField name="67.2. Considero que los medios empleados para la difusión de información de mi programa académico son: OPORTUNOS." numFmtId="0">
      <sharedItems containsBlank="1" count="7">
        <s v="De acuerdo"/>
        <s v="Totalmente de acuerdo / SI"/>
        <s v="Medianamente de acuerdo"/>
        <s v="No sabe / No puede opinar al respecto"/>
        <s v="En desacuerdo"/>
        <s v="Totalmente en desacuerdo / NO"/>
        <m/>
      </sharedItems>
    </cacheField>
    <cacheField name="68. Considero que las orientaciones de los directivos de mi programa académico son adecuadas. " numFmtId="0">
      <sharedItems containsBlank="1" count="7">
        <s v="De acuerdo"/>
        <s v="Totalmente de acuerdo / SI"/>
        <s v="Medianamente de acuerdo"/>
        <s v="No sabe / No puede opinar al respecto"/>
        <s v="En desacuerdo"/>
        <s v="Totalmente en desacuerdo / NO"/>
        <m/>
      </sharedItems>
    </cacheField>
    <cacheField name="69. Considero que el liderazgo ejercido por los directivos de mi programa académico es idóneo." numFmtId="0">
      <sharedItems containsBlank="1" count="7">
        <s v="Medianamente de acuerdo"/>
        <s v="De acuerdo"/>
        <s v="Totalmente de acuerdo / SI"/>
        <s v="No sabe / No puede opinar al respecto"/>
        <s v="En desacuerdo"/>
        <s v="Totalmente en desacuerdo / NO"/>
        <m/>
      </sharedItems>
    </cacheField>
    <cacheField name="70.1. Considero que la planta física de mi programa académico es: ADECUADA." numFmtId="0">
      <sharedItems containsBlank="1" count="7">
        <s v="En desacuerdo"/>
        <s v="Totalmente de acuerdo / SI"/>
        <s v="De acuerdo"/>
        <s v="Medianamente de acuerdo"/>
        <s v="No sabe / No puede opinar al respecto"/>
        <s v="Totalmente en desacuerdo / NO"/>
        <m/>
      </sharedItems>
    </cacheField>
    <cacheField name="70.2. Considero que la planta física de mi programa académico es: SUFICIENTE." numFmtId="0">
      <sharedItems containsBlank="1" count="7">
        <s v="De acuerdo"/>
        <s v="Totalmente de acuerdo / SI"/>
        <s v="Medianamente de acuerdo"/>
        <s v="Totalmente en desacuerdo / NO"/>
        <s v="No sabe / No puede opinar al respecto"/>
        <s v="En desacuerdo"/>
        <m/>
      </sharedItems>
    </cacheField>
    <cacheField name="70.3. Considero que la planta física de mi programa académico es: CONSERVADA." numFmtId="0">
      <sharedItems containsBlank="1" count="7">
        <s v="Totalmente de acuerdo / SI"/>
        <s v="De acuerdo"/>
        <s v="Medianamente de acuerdo"/>
        <s v="Totalmente en desacuerdo / NO"/>
        <s v="No sabe / No puede opinar al respecto"/>
        <s v="En desacuerdo"/>
        <m/>
      </sharedItems>
    </cacheField>
    <cacheField name="Observaciones" numFmtId="0">
      <sharedItems containsBlank="1" longText="1"/>
    </cacheField>
    <cacheField name="Código estudiantil" numFmtId="0">
      <sharedItems containsString="0" containsBlank="1" containsNumber="1" containsInteger="1" minValue="201372030" maxValue="200610762077"/>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ngélica Mercedes Nivia Vargas" refreshedDate="43063.659384837963" createdVersion="5" refreshedVersion="5" minRefreshableVersion="3" recordCount="41">
  <cacheSource type="worksheet">
    <worksheetSource ref="A1:CU42" sheet="RespuestasDOC" r:id="rId2"/>
  </cacheSource>
  <cacheFields count="99">
    <cacheField name="Marca temporal" numFmtId="166">
      <sharedItems containsNonDate="0" containsDate="1" containsString="0" containsBlank="1" minDate="2016-12-12T12:08:29" maxDate="2017-06-12T11:42:31"/>
    </cacheField>
    <cacheField name="NOMBRE COMPLETO" numFmtId="0">
      <sharedItems containsBlank="1"/>
    </cacheField>
    <cacheField name="NÚMERO DE IDENTIFICACIÓN" numFmtId="0">
      <sharedItems containsString="0" containsBlank="1" containsNumber="1" containsInteger="1" minValue="7169011" maxValue="1030602744"/>
    </cacheField>
    <cacheField name="TIPO DE VINCULACIÓN" numFmtId="0">
      <sharedItems containsBlank="1"/>
    </cacheField>
    <cacheField name="CATEGORÍA" numFmtId="0">
      <sharedItems containsBlank="1"/>
    </cacheField>
    <cacheField name="ÚLTIMO TITULO POSGRADUAL OBTENIDO" numFmtId="0">
      <sharedItems containsBlank="1"/>
    </cacheField>
    <cacheField name="UNIVERSIDAD DONDE OBTUVO ESTE TÍTULO" numFmtId="0">
      <sharedItems containsBlank="1"/>
    </cacheField>
    <cacheField name="FECHA ESTIMADA VINCULACIÓN A LA UD" numFmtId="0">
      <sharedItems containsNonDate="0" containsDate="1" containsString="0" containsBlank="1" minDate="1995-08-20T00:00:00" maxDate="2017-05-10T00:00:00"/>
    </cacheField>
    <cacheField name="CORREO ELECTRÓNICO" numFmtId="0">
      <sharedItems containsBlank="1"/>
    </cacheField>
    <cacheField name="PROGRAMA EN EL CUAL PRESTA SUS SERVICIOS" numFmtId="0">
      <sharedItems containsBlank="1"/>
    </cacheField>
    <cacheField name="1. Conozco la misión de la Universidad Distrital Francisco José de Caldas." numFmtId="0">
      <sharedItems containsBlank="1" count="5">
        <s v="Totalmente de acuerdo / SI"/>
        <s v="De acuerdo"/>
        <m/>
        <s v="Medianamente de acuerdo" u="1"/>
        <s v="En desacuerdo" u="1"/>
      </sharedItems>
    </cacheField>
    <cacheField name="2. Me siento identificado con la misión de la Universidad Distrital Francisco José de Caldas." numFmtId="0">
      <sharedItems containsBlank="1" count="5">
        <s v="Totalmente de acuerdo / SI"/>
        <s v="De acuerdo"/>
        <s v="En desacuerdo"/>
        <m/>
        <s v="Medianamente de acuerdo" u="1"/>
      </sharedItems>
    </cacheField>
    <cacheField name="3. Considero que la Universidad Distrital Francisco José de Caldas es una alternativa real para acceder al conocimiento por parte de la población bogotana de menores ingresos." numFmtId="0">
      <sharedItems containsBlank="1" count="6">
        <s v="Totalmente de acuerdo / SI"/>
        <s v="De acuerdo"/>
        <s v="Medianamente de acuerdo"/>
        <s v="En desacuerdo"/>
        <m/>
        <s v="Totalmente en desacuerdo / NO" u="1"/>
      </sharedItems>
    </cacheField>
    <cacheField name="4. Considero que la Universidad Distrital Francisco José de Caldas desarrolla una educación de alta calidad con capacidad de responder a los retos del Distrito Capital y del país." numFmtId="0">
      <sharedItems containsBlank="1" count="5">
        <s v="Totalmente de acuerdo / SI"/>
        <s v="De acuerdo"/>
        <s v="En desacuerdo"/>
        <s v="Medianamente de acuerdo"/>
        <m/>
      </sharedItems>
    </cacheField>
    <cacheField name="5. Conozco el proyecto educativo (PEP) del programa académico al cual pertenezco." numFmtId="0">
      <sharedItems containsBlank="1" count="6">
        <s v="De acuerdo"/>
        <s v="Totalmente de acuerdo / SI"/>
        <s v="Medianamente de acuerdo"/>
        <s v="Totalmente en desacuerdo / NO"/>
        <m/>
        <s v="No sabe / No puede opinar al respecto" u="1"/>
      </sharedItems>
    </cacheField>
    <cacheField name="6. He participado en la elaboración, discusión y actualización del Proyecto Educativo de Programa." numFmtId="0">
      <sharedItems containsBlank="1" count="7">
        <s v="Totalmente de acuerdo / SI"/>
        <s v="Medianamente de acuerdo"/>
        <s v="De acuerdo"/>
        <s v="Totalmente en desacuerdo / NO"/>
        <s v="No sabe / No puede opinar al respecto"/>
        <m/>
        <s v="En desacuerdo" u="1"/>
      </sharedItems>
    </cacheField>
    <cacheField name="7. Considero que el proceso de admisión a cada uno de los niveles de formación de los programas académicos por ciclos es el apropiado." numFmtId="0">
      <sharedItems containsBlank="1" count="6">
        <s v="De acuerdo"/>
        <s v="En desacuerdo"/>
        <s v="Totalmente de acuerdo / SI"/>
        <s v="Medianamente de acuerdo"/>
        <m/>
        <s v="No sabe / No puede opinar al respecto" u="1"/>
      </sharedItems>
    </cacheField>
    <cacheField name="8. Considero que el proceso de admisión de estudiantes a los programas de la Facultad Tecnológica es transparente y equitativo." numFmtId="0">
      <sharedItems containsBlank="1" count="7">
        <s v="De acuerdo"/>
        <s v="Totalmente de acuerdo / SI"/>
        <s v="Medianamente de acuerdo"/>
        <s v="En desacuerdo"/>
        <m/>
        <s v="No sabe / No puede opinar al respecto" u="1"/>
        <s v="Totalmente en desacuerdo / NO" u="1"/>
      </sharedItems>
    </cacheField>
    <cacheField name="9. Me siento cómodo con el número de estudiantes que se inscriben en los diferentes espacios académicos que lidero." numFmtId="0">
      <sharedItems containsBlank="1" count="6">
        <s v="Totalmente de acuerdo / SI"/>
        <s v="De acuerdo"/>
        <s v="Medianamente de acuerdo"/>
        <s v="En desacuerdo"/>
        <s v="Totalmente en desacuerdo / NO"/>
        <m/>
      </sharedItems>
    </cacheField>
    <cacheField name="10. Considero que los principales reglamentos de la Universidad Distrital son apropiados." numFmtId="0">
      <sharedItems containsBlank="1" count="6">
        <s v="Medianamente de acuerdo"/>
        <s v="De acuerdo"/>
        <s v="Totalmente de acuerdo / SI"/>
        <s v="Totalmente en desacuerdo / NO"/>
        <m/>
        <s v="En desacuerdo" u="1"/>
      </sharedItems>
    </cacheField>
    <cacheField name="11. Considero que en el programa académico al cual pertenezco se aplican debidamente las normas establecidas en los reglamentos estudiantil y académico." numFmtId="0">
      <sharedItems containsBlank="1" count="6">
        <s v="Totalmente de acuerdo / SI"/>
        <s v="De acuerdo"/>
        <s v="Medianamente de acuerdo"/>
        <m/>
        <s v="En desacuerdo" u="1"/>
        <s v="No sabe / No puede opinar al respecto" u="1"/>
      </sharedItems>
    </cacheField>
    <cacheField name="12. Considero que el proceso de selección y vinculación de docentes DE PLANTA a la Universidad Distrital Francisco José de Caldas es trasparente y equitativo." numFmtId="0">
      <sharedItems containsBlank="1" count="7">
        <s v="Totalmente de acuerdo / SI"/>
        <s v="De acuerdo"/>
        <s v="Medianamente de acuerdo"/>
        <s v="En desacuerdo"/>
        <s v="Totalmente en desacuerdo / NO"/>
        <s v="No sabe / No puede opinar al respecto"/>
        <m/>
      </sharedItems>
    </cacheField>
    <cacheField name="13. Considero que el proceso de selección y vinculación de docentes OCASIONALES a la Universidad Distrital Francisco José de Caldas es trasparente y equitativo." numFmtId="0">
      <sharedItems containsBlank="1" count="7">
        <s v="Totalmente de acuerdo / SI"/>
        <s v="De acuerdo"/>
        <s v="Medianamente de acuerdo"/>
        <s v="En desacuerdo"/>
        <s v="Totalmente en desacuerdo / NO"/>
        <s v="No sabe / No puede opinar al respecto"/>
        <m/>
      </sharedItems>
    </cacheField>
    <cacheField name="14. Conozco los criterios académicos establecidos para definir la permanencia de los docentes en la Universidad Distrital Francisco José de Caldas." numFmtId="0">
      <sharedItems containsBlank="1" count="7">
        <s v="Totalmente de acuerdo / SI"/>
        <s v="De acuerdo"/>
        <s v="Totalmente en desacuerdo / NO"/>
        <s v="Medianamente de acuerdo"/>
        <s v="No sabe / No puede opinar al respecto"/>
        <m/>
        <s v="En desacuerdo" u="1"/>
      </sharedItems>
    </cacheField>
    <cacheField name="15. Considero que en el programa académico al cual pertenezco se aplican debidamente las normas establecidas en el estatuto docente." numFmtId="0">
      <sharedItems containsBlank="1" count="5">
        <s v="Totalmente de acuerdo / SI"/>
        <s v="De acuerdo"/>
        <s v="Medianamente de acuerdo"/>
        <s v="No sabe / No puede opinar al respecto"/>
        <m/>
      </sharedItems>
    </cacheField>
    <cacheField name="16. Considero que el estatuto docente es pertinente y es vigente." numFmtId="0">
      <sharedItems containsBlank="1" count="6">
        <s v="De acuerdo"/>
        <s v="Medianamente de acuerdo"/>
        <s v="Totalmente de acuerdo / SI"/>
        <s v="En desacuerdo"/>
        <s v="Totalmente en desacuerdo / NO"/>
        <m/>
      </sharedItems>
    </cacheField>
    <cacheField name="17. Conozco los procedimientos para hacer parte de los órganos de dirección del programa académico al cual pertenezco, de la Facultad Tecnológica y de la Universidad Distrital Francisco José de Caldas." numFmtId="0">
      <sharedItems containsBlank="1" count="7">
        <s v="Totalmente de acuerdo / SI"/>
        <s v="De acuerdo"/>
        <s v="Medianamente de acuerdo"/>
        <s v="Totalmente en desacuerdo / NO"/>
        <m/>
        <s v="En desacuerdo" u="1"/>
        <s v="No sabe / No puede opinar al respecto" u="1"/>
      </sharedItems>
    </cacheField>
    <cacheField name="18. Considero que el número de docentes de tiempo completo al servicio del programa académico al cual pertenezco es suficiente." numFmtId="0">
      <sharedItems containsBlank="1" count="7">
        <s v="En desacuerdo"/>
        <s v="Medianamente de acuerdo"/>
        <s v="Totalmente en desacuerdo / NO"/>
        <s v="Totalmente de acuerdo / SI"/>
        <s v="De acuerdo"/>
        <m/>
        <s v="No sabe / No puede opinar al respecto" u="1"/>
      </sharedItems>
    </cacheField>
    <cacheField name="19.1. Considero que el tiempo que dedico a las siguientes actividades es suficiente: A LA DOCENCIA" numFmtId="0">
      <sharedItems containsBlank="1" count="6">
        <s v="Totalmente de acuerdo / SI"/>
        <s v="De acuerdo"/>
        <s v="Medianamente de acuerdo"/>
        <s v="En desacuerdo"/>
        <s v="Totalmente en desacuerdo / NO"/>
        <m/>
      </sharedItems>
    </cacheField>
    <cacheField name="19.2. Considero que el tiempo que dedico a las siguientes actividades es suficiente: A LA INVESTIGACIÓN" numFmtId="0">
      <sharedItems containsBlank="1" count="7">
        <s v="Totalmente de acuerdo / SI"/>
        <s v="Medianamente de acuerdo"/>
        <s v="No sabe / No puede opinar al respecto"/>
        <s v="De acuerdo"/>
        <s v="Totalmente en desacuerdo / NO"/>
        <s v="En desacuerdo"/>
        <m/>
      </sharedItems>
    </cacheField>
    <cacheField name="19.3. Considero que el tiempo que dedico a las siguientes actividades es suficiente: A LA PARTICIPACIÓN EN PROYECTOS DE EXTENSIÓN." numFmtId="0">
      <sharedItems containsBlank="1" count="7">
        <s v="Medianamente de acuerdo"/>
        <s v="En desacuerdo"/>
        <s v="No sabe / No puede opinar al respecto"/>
        <s v="Totalmente en desacuerdo / NO"/>
        <s v="Totalmente de acuerdo / SI"/>
        <s v="De acuerdo"/>
        <m/>
      </sharedItems>
    </cacheField>
    <cacheField name="20. Considero que el tiempo de dedicación que los profesores de vinculación especial (TCO, MTO y HC) en actividades de consejería, atención a estudiantes y corrección de trabajos de grado es adecuado." numFmtId="0">
      <sharedItems containsBlank="1" count="7">
        <s v="Medianamente de acuerdo"/>
        <s v="En desacuerdo"/>
        <s v="De acuerdo"/>
        <s v="Totalmente en desacuerdo / NO"/>
        <s v="No sabe / No puede opinar al respecto"/>
        <s v="Totalmente de acuerdo / SI"/>
        <m/>
      </sharedItems>
    </cacheField>
    <cacheField name="21. Conozco los procedimientos para acceder a los apoyos económicos institucionales para participar en actividades de formación o actualización." numFmtId="0">
      <sharedItems containsBlank="1" count="5">
        <s v="De acuerdo"/>
        <s v="Medianamente de acuerdo"/>
        <s v="Totalmente en desacuerdo / NO"/>
        <s v="Totalmente de acuerdo / SI"/>
        <m/>
      </sharedItems>
    </cacheField>
    <cacheField name="22. Considero que el programa académico al cual pertenezco controla la participación de los docentes en actividades de actualización o capacitación acordes con las necesidades y objetivos colectivos." numFmtId="0">
      <sharedItems containsBlank="1" count="7">
        <s v="De acuerdo"/>
        <s v="Medianamente de acuerdo"/>
        <s v="No sabe / No puede opinar al respecto"/>
        <s v="Totalmente en desacuerdo / NO"/>
        <s v="Totalmente de acuerdo / SI"/>
        <s v="En desacuerdo"/>
        <m/>
      </sharedItems>
    </cacheField>
    <cacheField name="23. Considero que el sistema de bonificaciones y el de asignación de puntos salariales para los profesores de planta es transparente." numFmtId="0">
      <sharedItems containsBlank="1" count="7">
        <s v="En desacuerdo"/>
        <s v="Medianamente de acuerdo"/>
        <s v="Totalmente de acuerdo / SI"/>
        <s v="No sabe / No puede opinar al respecto"/>
        <s v="Totalmente en desacuerdo / NO"/>
        <s v="De acuerdo"/>
        <m/>
      </sharedItems>
    </cacheField>
    <cacheField name="24. Considero que la Universidad Distrital Francisco José de Caldas y el programa académico al cual pertenezco incentivan la producción de material de enseñanza (libros de texto, objetos de aprendizaje, material didáctico)." numFmtId="0">
      <sharedItems containsBlank="1" count="7">
        <s v="De acuerdo"/>
        <s v="En desacuerdo"/>
        <s v="Totalmente de acuerdo / SI"/>
        <s v="Medianamente de acuerdo"/>
        <s v="No sabe / No puede opinar al respecto"/>
        <s v="Totalmente en desacuerdo / NO"/>
        <m/>
      </sharedItems>
    </cacheField>
    <cacheField name="25. Considero que el contenido de la evaluación docente está acorde con los requerimientos del proyecto educativo del programa académico al cual pertenezco. " numFmtId="0">
      <sharedItems containsBlank="1" count="7">
        <s v="Medianamente de acuerdo"/>
        <s v="Totalmente de acuerdo / SI"/>
        <s v="No sabe / No puede opinar al respecto"/>
        <s v="De acuerdo"/>
        <s v="Totalmente en desacuerdo / NO"/>
        <s v="En desacuerdo"/>
        <m/>
      </sharedItems>
    </cacheField>
    <cacheField name="26. El programa académico al cual pertenezco me da a conocer los resultados de la evaluación docente de cada periodo académico." numFmtId="0">
      <sharedItems containsBlank="1" count="7">
        <s v="Totalmente en desacuerdo / NO"/>
        <s v="En desacuerdo"/>
        <s v="Totalmente de acuerdo / SI"/>
        <s v="Medianamente de acuerdo"/>
        <s v="De acuerdo"/>
        <s v="No sabe / No puede opinar al respecto"/>
        <m/>
      </sharedItems>
    </cacheField>
    <cacheField name="27. El programa académico al cual pertenezco utiliza los resultados de la evaluación docente para implementar acciones de mejora. " numFmtId="0">
      <sharedItems containsBlank="1" count="7">
        <s v="Medianamente de acuerdo"/>
        <s v="En desacuerdo"/>
        <s v="De acuerdo"/>
        <s v="Totalmente de acuerdo / SI"/>
        <s v="No sabe / No puede opinar al respecto"/>
        <s v="Totalmente en desacuerdo / NO"/>
        <m/>
      </sharedItems>
    </cacheField>
    <cacheField name="28. El plan de estudios del programa académico al cual pertenezco es coherente con el perfil profesional y ocupacional que se espera alcanzar." numFmtId="0">
      <sharedItems containsBlank="1" count="6">
        <s v="Totalmente de acuerdo / SI"/>
        <s v="De acuerdo"/>
        <s v="En desacuerdo"/>
        <s v="Medianamente de acuerdo"/>
        <m/>
        <s v="No sabe / No puede opinar al respecto" u="1"/>
      </sharedItems>
    </cacheField>
    <cacheField name="29. El plan de estudios del programa académico al cual pertenezco permite desarrollar en los estudiantes competencias investigativas. " numFmtId="0">
      <sharedItems containsBlank="1" count="7">
        <s v="Totalmente de acuerdo / SI"/>
        <s v="De acuerdo"/>
        <s v="En desacuerdo"/>
        <s v="Medianamente de acuerdo"/>
        <s v="Totalmente en desacuerdo / NO"/>
        <m/>
        <s v="No sabe / No puede opinar al respecto" u="1"/>
      </sharedItems>
    </cacheField>
    <cacheField name="30. El plan de estudios del programa académico al cual pertenezco permite desarrollar en los estudiantes competencias para la comprensión del contexto. " numFmtId="0">
      <sharedItems containsBlank="1" count="6">
        <s v="Totalmente de acuerdo / SI"/>
        <s v="De acuerdo"/>
        <s v="En desacuerdo"/>
        <s v="No sabe / No puede opinar al respecto"/>
        <s v="Medianamente de acuerdo"/>
        <m/>
      </sharedItems>
    </cacheField>
    <cacheField name="31. El programa académico al cual pertenezco incentiva el desarrollo de proyectos de investigación con participación interdisciplinaria." numFmtId="0">
      <sharedItems containsBlank="1" count="7">
        <s v="Totalmente de acuerdo / SI"/>
        <s v="De acuerdo"/>
        <s v="Medianamente de acuerdo"/>
        <s v="Totalmente en desacuerdo / NO"/>
        <s v="En desacuerdo"/>
        <m/>
        <s v="No sabe / No puede opinar al respecto" u="1"/>
      </sharedItems>
    </cacheField>
    <cacheField name="32. El programa académico al cual pertenezco incentiva el desarrollo de proyectos de grado con participación interdisciplinaria." numFmtId="0">
      <sharedItems containsBlank="1" count="7">
        <s v="Totalmente de acuerdo / SI"/>
        <s v="De acuerdo"/>
        <s v="Medianamente de acuerdo"/>
        <s v="Totalmente en desacuerdo / NO"/>
        <s v="En desacuerdo"/>
        <m/>
        <s v="No sabe / No puede opinar al respecto" u="1"/>
      </sharedItems>
    </cacheField>
    <cacheField name="33. El plan de estudios del programa académico al cual pertenezco ofrece la suficiente variedad de espacios académicos electivos. " numFmtId="0">
      <sharedItems containsBlank="1" count="7">
        <s v="De acuerdo"/>
        <s v="Totalmente de acuerdo / SI"/>
        <s v="Medianamente de acuerdo"/>
        <s v="Totalmente en desacuerdo / NO"/>
        <s v="No sabe / No puede opinar al respecto"/>
        <m/>
        <s v="En desacuerdo" u="1"/>
      </sharedItems>
    </cacheField>
    <cacheField name="34. El programa académico al cual pertenezco incentiva las actividades y proyectos extra clase realizados por docentes y estudiantes. " numFmtId="0">
      <sharedItems containsBlank="1" count="7">
        <s v="De acuerdo"/>
        <s v="En desacuerdo"/>
        <s v="Totalmente de acuerdo / SI"/>
        <s v="No sabe / No puede opinar al respecto"/>
        <s v="Medianamente de acuerdo"/>
        <s v="Totalmente en desacuerdo / NO"/>
        <m/>
      </sharedItems>
    </cacheField>
    <cacheField name="35. Considero que el programa académico al cual pertenezco se preocupa por evolucionar hacia planes de estudios cada vez más flexibles." numFmtId="0">
      <sharedItems containsBlank="1" count="7">
        <s v="Medianamente de acuerdo"/>
        <s v="De acuerdo"/>
        <s v="Totalmente de acuerdo / SI"/>
        <s v="No sabe / No puede opinar al respecto"/>
        <s v="Totalmente en desacuerdo / NO"/>
        <s v="En desacuerdo"/>
        <m/>
      </sharedItems>
    </cacheField>
    <cacheField name="36. Considero que el programa académico al cual pertenezco se preocupa permanentemente por la actualización de los contenidos programáticos de los diferentes espacios académicos." numFmtId="0">
      <sharedItems containsBlank="1" count="7">
        <s v="Totalmente de acuerdo / SI"/>
        <s v="De acuerdo"/>
        <s v="Totalmente en desacuerdo / NO"/>
        <s v="Medianamente de acuerdo"/>
        <s v="No sabe / No puede opinar al respecto"/>
        <m/>
        <s v="En desacuerdo" u="1"/>
      </sharedItems>
    </cacheField>
    <cacheField name="37. Considero que el programa académico al cual pertenezco reflexiona permanentemente sobre los métodos de enseñanza- aprendizaje empleados. " numFmtId="0">
      <sharedItems containsBlank="1" count="7">
        <s v="Medianamente de acuerdo"/>
        <s v="De acuerdo"/>
        <s v="Totalmente de acuerdo / SI"/>
        <s v="No sabe / No puede opinar al respecto"/>
        <s v="Totalmente en desacuerdo / NO"/>
        <s v="En desacuerdo"/>
        <m/>
      </sharedItems>
    </cacheField>
    <cacheField name="38. Conozco las diferencias entre los programas de formación en ingeniería por ciclos y los programas de ingeniería tradicional." numFmtId="0">
      <sharedItems containsBlank="1" count="6">
        <s v="Totalmente de acuerdo / SI"/>
        <s v="De acuerdo"/>
        <s v="Medianamente de acuerdo"/>
        <s v="Totalmente en desacuerdo / NO"/>
        <s v="No sabe / No puede opinar al respecto"/>
        <m/>
      </sharedItems>
    </cacheField>
    <cacheField name="39. Tengo claro qué es y para qué sirve el componente propedéutico en un programa de ingeniería por ciclos." numFmtId="0">
      <sharedItems containsBlank="1" count="6">
        <s v="Totalmente de acuerdo / SI"/>
        <s v="De acuerdo"/>
        <s v="En desacuerdo"/>
        <s v="Totalmente en desacuerdo / NO"/>
        <s v="Medianamente de acuerdo"/>
        <m/>
      </sharedItems>
    </cacheField>
    <cacheField name="40. Considero que ser tecnólogo brinda oportunidades para la vinculación en el mercado laboral." numFmtId="0">
      <sharedItems containsBlank="1" count="5">
        <s v="Totalmente de acuerdo / SI"/>
        <s v="De acuerdo"/>
        <s v="No sabe / No puede opinar al respecto"/>
        <m/>
        <s v="Medianamente de acuerdo" u="1"/>
      </sharedItems>
    </cacheField>
    <cacheField name="41. Considero que ser ingeniero mejora las condiciones laborales del tecnólogo. " numFmtId="0">
      <sharedItems containsBlank="1" count="6">
        <s v="Totalmente de acuerdo / SI"/>
        <s v="De acuerdo"/>
        <s v="Totalmente en desacuerdo / NO"/>
        <s v="No sabe / No puede opinar al respecto"/>
        <s v="Medianamente de acuerdo"/>
        <m/>
      </sharedItems>
    </cacheField>
    <cacheField name="42. Considero que el paso por el nivel de ingeniería  mejora las competencias que se han desarrollado en el nivel tecnológico. " numFmtId="0">
      <sharedItems containsBlank="1" count="7">
        <s v="Totalmente de acuerdo / SI"/>
        <s v="De acuerdo"/>
        <s v="Totalmente en desacuerdo / NO"/>
        <s v="Medianamente de acuerdo"/>
        <s v="No sabe / No puede opinar al respecto"/>
        <s v="En desacuerdo"/>
        <m/>
      </sharedItems>
    </cacheField>
    <cacheField name="43. Conozco cuales son los criterios, políticas y reglamentación de la evaluación académica de los estudiantes.  " numFmtId="0">
      <sharedItems containsBlank="1" count="6">
        <s v="De acuerdo"/>
        <s v="Totalmente de acuerdo / SI"/>
        <s v="Medianamente de acuerdo"/>
        <s v="Totalmente en desacuerdo / NO"/>
        <s v="No sabe / No puede opinar al respecto"/>
        <m/>
      </sharedItems>
    </cacheField>
    <cacheField name="44. Considero que los métodos de evaluación empleados en el programa académico al cual pertenezco permiten evaluar la adquisición de competencias profesionales por  los estudiantes. " numFmtId="0">
      <sharedItems containsBlank="1" count="6">
        <s v="De acuerdo"/>
        <s v="Totalmente de acuerdo / SI"/>
        <s v="En desacuerdo"/>
        <s v="Medianamente de acuerdo"/>
        <m/>
        <s v="No sabe / No puede opinar al respecto" u="1"/>
      </sharedItems>
    </cacheField>
    <cacheField name="45. El programa académico al cual pertenezco incentiva el desarrollo de trabajos de aula con contenido investigativo." numFmtId="0">
      <sharedItems containsBlank="1" count="7">
        <s v="De acuerdo"/>
        <s v="Totalmente de acuerdo / SI"/>
        <s v="Totalmente en desacuerdo / NO"/>
        <s v="Medianamente de acuerdo"/>
        <s v="No sabe / No puede opinar al respecto"/>
        <s v="En desacuerdo"/>
        <m/>
      </sharedItems>
    </cacheField>
    <cacheField name="46. Conozco los procesos efectuados para la evaluación periódica de la pertinencia y calidad del programa académico al cual pertenezco." numFmtId="0">
      <sharedItems containsBlank="1" count="7">
        <s v="En desacuerdo"/>
        <s v="Totalmente de acuerdo / SI"/>
        <s v="De acuerdo"/>
        <s v="No sabe / No puede opinar al respecto"/>
        <s v="Totalmente en desacuerdo / NO"/>
        <s v="Medianamente de acuerdo"/>
        <m/>
      </sharedItems>
    </cacheField>
    <cacheField name="47. He participado en procesos para la evaluación periódica de la pertinencia y calidad del programa académico al cual pertenezco." numFmtId="0">
      <sharedItems containsBlank="1" count="7">
        <s v="Medianamente de acuerdo"/>
        <s v="Totalmente de acuerdo / SI"/>
        <s v="De acuerdo"/>
        <s v="No sabe / No puede opinar al respecto"/>
        <s v="Totalmente en desacuerdo / NO"/>
        <s v="En desacuerdo"/>
        <m/>
      </sharedItems>
    </cacheField>
    <cacheField name="48. Puedo identificar mejoras realizadas en el programa académico al cual pertenezco durante el último año." numFmtId="0">
      <sharedItems containsBlank="1" count="7">
        <s v="Totalmente de acuerdo / SI"/>
        <s v="De acuerdo"/>
        <s v="Medianamente de acuerdo"/>
        <s v="No sabe / No puede opinar al respecto"/>
        <s v="Totalmente en desacuerdo / NO"/>
        <m/>
        <s v="En desacuerdo" u="1"/>
      </sharedItems>
    </cacheField>
    <cacheField name="49. He participado en proyectos dirigidos a la comunidad y liderados por el programa académico al cual pertenezco." numFmtId="0">
      <sharedItems containsBlank="1" count="7">
        <s v="Totalmente de acuerdo / SI"/>
        <s v="No sabe / No puede opinar al respecto"/>
        <s v="En desacuerdo"/>
        <s v="Totalmente en desacuerdo / NO"/>
        <s v="Medianamente de acuerdo"/>
        <s v="De acuerdo"/>
        <m/>
      </sharedItems>
    </cacheField>
    <cacheField name="50. Considero que el programa académico al cual pertenezco ejecuta proyectos y ayuda a resolver problemas del entorno inmediato." numFmtId="0">
      <sharedItems containsBlank="1" count="7">
        <s v="Totalmente de acuerdo / SI"/>
        <s v="De acuerdo"/>
        <s v="Medianamente de acuerdo"/>
        <s v="No sabe / No puede opinar al respecto"/>
        <s v="Totalmente en desacuerdo / NO"/>
        <s v="En desacuerdo"/>
        <m/>
      </sharedItems>
    </cacheField>
    <cacheField name="51.1. Considero que el material bibliográfico a disposición del programa académico al cual pertenezco es: SUFICIENTE" numFmtId="0">
      <sharedItems containsBlank="1" count="7">
        <s v="De acuerdo"/>
        <s v="Medianamente de acuerdo"/>
        <s v="No sabe / No puede opinar al respecto"/>
        <s v="Totalmente de acuerdo / SI"/>
        <s v="Totalmente en desacuerdo / NO"/>
        <s v="En desacuerdo"/>
        <m/>
      </sharedItems>
    </cacheField>
    <cacheField name="51.2. Considero que el material bibliográfico a disposición del programa académico al cual pertenezco es: ADECUADO" numFmtId="0">
      <sharedItems containsBlank="1" count="7">
        <s v="De acuerdo"/>
        <s v="Medianamente de acuerdo"/>
        <s v="No sabe / No puede opinar al respecto"/>
        <s v="Totalmente de acuerdo / SI"/>
        <s v="En desacuerdo"/>
        <s v="Totalmente en desacuerdo / NO"/>
        <m/>
      </sharedItems>
    </cacheField>
    <cacheField name="51.3. Considero que el material bibliográfico a disposición del programa académico al cual pertenezco es: ACTUALIZADO" numFmtId="0">
      <sharedItems containsBlank="1" count="7">
        <s v="De acuerdo"/>
        <s v="Medianamente de acuerdo"/>
        <s v="No sabe / No puede opinar al respecto"/>
        <s v="Totalmente de acuerdo / SI"/>
        <s v="En desacuerdo"/>
        <s v="Totalmente en desacuerdo / NO"/>
        <m/>
      </sharedItems>
    </cacheField>
    <cacheField name="52.1. Considero que los computadores y software disponibles en el programa académico al cual pertenezco son: SUFICIENTE" numFmtId="0">
      <sharedItems containsBlank="1" count="7">
        <s v="Medianamente de acuerdo"/>
        <s v="De acuerdo"/>
        <s v="Totalmente de acuerdo / SI"/>
        <s v="No sabe / No puede opinar al respecto"/>
        <s v="Totalmente en desacuerdo / NO"/>
        <s v="En desacuerdo"/>
        <m/>
      </sharedItems>
    </cacheField>
    <cacheField name="52.2. Considero que los computadores y software disponibles en el programa académico al cual pertenezco son: ADECUADO" numFmtId="0">
      <sharedItems containsBlank="1" count="7">
        <s v="De acuerdo"/>
        <s v="En desacuerdo"/>
        <s v="Totalmente de acuerdo / SI"/>
        <s v="No sabe / No puede opinar al respecto"/>
        <s v="Medianamente de acuerdo"/>
        <s v="Totalmente en desacuerdo / NO"/>
        <m/>
      </sharedItems>
    </cacheField>
    <cacheField name="52.3. Considero que los computadores y software disponibles en el programa académico al cual pertenezco son: ACTUALIZADO" numFmtId="0">
      <sharedItems containsBlank="1" count="7">
        <s v="De acuerdo"/>
        <s v="Medianamente de acuerdo"/>
        <s v="Totalmente de acuerdo / SI"/>
        <s v="No sabe / No puede opinar al respecto"/>
        <s v="Totalmente en desacuerdo / NO"/>
        <m/>
        <s v="En desacuerdo" u="1"/>
      </sharedItems>
    </cacheField>
    <cacheField name="53.1. Considero que los laboratorios y talleres disponibles en el programa académico al cual pertenezco son: SUFICIENTES" numFmtId="0">
      <sharedItems containsBlank="1" count="7">
        <s v="De acuerdo"/>
        <s v="No sabe / No puede opinar al respecto"/>
        <s v="Medianamente de acuerdo"/>
        <s v="Totalmente en desacuerdo / NO"/>
        <s v="Totalmente de acuerdo / SI"/>
        <s v="En desacuerdo"/>
        <m/>
      </sharedItems>
    </cacheField>
    <cacheField name="53.2. Considero que los laboratorios y talleres disponibles en el programa académico al cual pertenezco son: ADECUADOS" numFmtId="0">
      <sharedItems containsBlank="1" count="7">
        <s v="De acuerdo"/>
        <s v="No sabe / No puede opinar al respecto"/>
        <s v="Totalmente de acuerdo / SI"/>
        <s v="Medianamente de acuerdo"/>
        <s v="En desacuerdo"/>
        <m/>
        <s v="Totalmente en desacuerdo / NO" u="1"/>
      </sharedItems>
    </cacheField>
    <cacheField name="53.3. Considero que los laboratorios y talleres disponibles en el programa académico al cual pertenezco son: ACTUALIZADOS" numFmtId="0">
      <sharedItems containsBlank="1" count="7">
        <s v="Medianamente de acuerdo"/>
        <s v="De acuerdo"/>
        <s v="No sabe / No puede opinar al respecto"/>
        <s v="Totalmente de acuerdo / SI"/>
        <s v="Totalmente en desacuerdo / NO"/>
        <s v="En desacuerdo"/>
        <m/>
      </sharedItems>
    </cacheField>
    <cacheField name="53.4. Considero que los laboratorios y talleres disponibles en el programa académico al cual pertenezco son: APOYADOS POR PERSONAL DEBIDAMENTE CAPACITADO" numFmtId="0">
      <sharedItems containsBlank="1" count="7">
        <s v="Totalmente de acuerdo / SI"/>
        <s v="De acuerdo"/>
        <s v="No sabe / No puede opinar al respecto"/>
        <s v="Totalmente en desacuerdo / NO"/>
        <m/>
        <s v="Medianamente de acuerdo" u="1"/>
        <s v="En desacuerdo" u="1"/>
      </sharedItems>
    </cacheField>
    <cacheField name="53.5. Considero que los laboratorios y talleres disponibles en el programa académico al cual pertenezco son: VENTILADOS" numFmtId="0">
      <sharedItems containsBlank="1" count="7">
        <s v="De acuerdo"/>
        <s v="No sabe / No puede opinar al respecto"/>
        <s v="Totalmente de acuerdo / SI"/>
        <s v="Medianamente de acuerdo"/>
        <s v="Totalmente en desacuerdo / NO"/>
        <s v="En desacuerdo"/>
        <m/>
      </sharedItems>
    </cacheField>
    <cacheField name="53.6. Considero que los laboratorios y talleres disponibles en el programa académico al cual pertenezco son: ILUMINADOS" numFmtId="0">
      <sharedItems containsBlank="1" count="7">
        <s v="De acuerdo"/>
        <s v="No sabe / No puede opinar al respecto"/>
        <s v="Totalmente de acuerdo / SI"/>
        <s v="Medianamente de acuerdo"/>
        <s v="Totalmente en desacuerdo / NO"/>
        <s v="En desacuerdo"/>
        <m/>
      </sharedItems>
    </cacheField>
    <cacheField name="53.7. Considero que los laboratorios y talleres disponibles en el programa académico al cual pertenezco son: DISEÑADOS SEGÚN NORMAS DE SEGURIDAD" numFmtId="0">
      <sharedItems containsBlank="1" count="7">
        <s v="Medianamente de acuerdo"/>
        <s v="De acuerdo"/>
        <s v="No sabe / No puede opinar al respecto"/>
        <s v="Totalmente de acuerdo / SI"/>
        <s v="Totalmente en desacuerdo / NO"/>
        <s v="En desacuerdo"/>
        <m/>
      </sharedItems>
    </cacheField>
    <cacheField name="54.1. Considero que los equipos de apoyo audiovisual a disposición del programa académico al cual pertenezco son: SUFICIENTES" numFmtId="0">
      <sharedItems containsBlank="1" count="7">
        <s v="Medianamente de acuerdo"/>
        <s v="De acuerdo"/>
        <s v="Totalmente de acuerdo / SI"/>
        <s v="En desacuerdo"/>
        <s v="Totalmente en desacuerdo / NO"/>
        <m/>
        <s v="No sabe / No puede opinar al respecto" u="1"/>
      </sharedItems>
    </cacheField>
    <cacheField name="54.2. Considero que los equipos de apoyo audiovisual a disposición del programa académico al cual pertenezco son: ADECUADOS" numFmtId="0">
      <sharedItems containsBlank="1" count="7">
        <s v="Medianamente de acuerdo"/>
        <s v="De acuerdo"/>
        <s v="Totalmente de acuerdo / SI"/>
        <s v="En desacuerdo"/>
        <s v="Totalmente en desacuerdo / NO"/>
        <m/>
        <s v="No sabe / No puede opinar al respecto" u="1"/>
      </sharedItems>
    </cacheField>
    <cacheField name="54.3. Considero que los equipos de apoyo audiovisual a disposición del programa académico al cual pertenezco son: ACTUALIZADOS" numFmtId="0">
      <sharedItems containsBlank="1" count="7">
        <s v="Medianamente de acuerdo"/>
        <s v="De acuerdo"/>
        <s v="Totalmente de acuerdo / SI"/>
        <s v="En desacuerdo"/>
        <s v="Totalmente en desacuerdo / NO"/>
        <m/>
        <s v="No sabe / No puede opinar al respecto" u="1"/>
      </sharedItems>
    </cacheField>
    <cacheField name="54.4. Considero que los equipos de apoyo audiovisual a disposición del programa académico al cual pertenezco son: SOPORTADOS POR PERSONAL DEBIDAMENTE CAPACITADO" numFmtId="0">
      <sharedItems containsBlank="1" count="7">
        <s v="De acuerdo"/>
        <s v="Totalmente de acuerdo / SI"/>
        <s v="Medianamente de acuerdo"/>
        <s v="Totalmente en desacuerdo / NO"/>
        <s v="No sabe / No puede opinar al respecto"/>
        <m/>
        <s v="En desacuerdo" u="1"/>
      </sharedItems>
    </cacheField>
    <cacheField name="55. Considero que la institución apoya suficientemente las iniciativas de movilidad académica de los docentes." numFmtId="0">
      <sharedItems containsBlank="1" count="7">
        <s v="No sabe / No puede opinar al respecto"/>
        <s v="De acuerdo"/>
        <s v="Totalmente de acuerdo / SI"/>
        <s v="Totalmente en desacuerdo / NO"/>
        <s v="Medianamente de acuerdo"/>
        <s v="En desacuerdo"/>
        <m/>
      </sharedItems>
    </cacheField>
    <cacheField name="56. Considero que el programa académico al cual pertenezco promueve la participación en grupos de investigación. " numFmtId="0">
      <sharedItems containsBlank="1" count="7">
        <s v="Totalmente de acuerdo / SI"/>
        <s v="De acuerdo"/>
        <s v="No sabe / No puede opinar al respecto"/>
        <s v="En desacuerdo"/>
        <s v="Totalmente en desacuerdo / NO"/>
        <s v="Medianamente de acuerdo"/>
        <m/>
      </sharedItems>
    </cacheField>
    <cacheField name="57. El programa académico al cual pertenezco muestra una dinámica de integración a redes académicas externas. " numFmtId="0">
      <sharedItems containsBlank="1" count="7">
        <s v="Medianamente de acuerdo"/>
        <s v="De acuerdo"/>
        <s v="Totalmente de acuerdo / SI"/>
        <s v="No sabe / No puede opinar al respecto"/>
        <s v="Totalmente en desacuerdo / NO"/>
        <s v="En desacuerdo"/>
        <m/>
      </sharedItems>
    </cacheField>
    <cacheField name="58.1. Considero que los servicios de Bienestar Universitario son: SUFICIENTES" numFmtId="0">
      <sharedItems containsBlank="1" count="7">
        <s v="En desacuerdo"/>
        <s v="De acuerdo"/>
        <s v="Medianamente de acuerdo"/>
        <s v="No sabe / No puede opinar al respecto"/>
        <s v="Totalmente en desacuerdo / NO"/>
        <s v="Totalmente de acuerdo / SI"/>
        <m/>
      </sharedItems>
    </cacheField>
    <cacheField name="58.2. Considero que los servicios de Bienestar Universitario son: ADECUADOS" numFmtId="0">
      <sharedItems containsBlank="1" count="7">
        <s v="En desacuerdo"/>
        <s v="De acuerdo"/>
        <s v="No sabe / No puede opinar al respecto"/>
        <s v="Medianamente de acuerdo"/>
        <s v="Totalmente en desacuerdo / NO"/>
        <s v="Totalmente de acuerdo / SI"/>
        <m/>
      </sharedItems>
    </cacheField>
    <cacheField name="58.3. Considero que los servicios de Bienestar Universitario son: ACCESIBLES" numFmtId="0">
      <sharedItems containsBlank="1" count="7">
        <s v="Medianamente de acuerdo"/>
        <s v="De acuerdo"/>
        <s v="En desacuerdo"/>
        <s v="No sabe / No puede opinar al respecto"/>
        <s v="Totalmente de acuerdo / SI"/>
        <s v="Totalmente en desacuerdo / NO"/>
        <m/>
      </sharedItems>
    </cacheField>
    <cacheField name="59. Considero que la atención por parte del personal administrativo del programa académico al cual pertenezco es idónea. " numFmtId="0">
      <sharedItems containsBlank="1" count="5">
        <s v="Totalmente de acuerdo / SI"/>
        <s v="De acuerdo"/>
        <s v="Medianamente de acuerdo"/>
        <m/>
        <s v="En desacuerdo" u="1"/>
      </sharedItems>
    </cacheField>
    <cacheField name="60.1. La organización, administración y gestión del programa académico al cual pertenezco permite cumplir los objetivos de: DESARROLLO REGULAR DE LOS ESPACIOS Y DE LOS SEMESTRES ACADÉMICOS." numFmtId="0">
      <sharedItems containsBlank="1" count="6">
        <s v="Totalmente de acuerdo / SI"/>
        <s v="De acuerdo"/>
        <s v="Medianamente de acuerdo"/>
        <m/>
        <s v="En desacuerdo" u="1"/>
        <s v="Totalmente en desacuerdo / NO" u="1"/>
      </sharedItems>
    </cacheField>
    <cacheField name="60.2. La organización, administración y gestión del programa académico al cual pertenezco permite cumplir los objetivos de: PROMOCIÓN DE LA CULTURA DE LA INVESTIGACIÓN" numFmtId="0">
      <sharedItems containsBlank="1" count="7">
        <s v="Totalmente de acuerdo / SI"/>
        <s v="De acuerdo"/>
        <s v="No sabe / No puede opinar al respecto"/>
        <s v="Totalmente en desacuerdo / NO"/>
        <s v="Medianamente de acuerdo"/>
        <s v="En desacuerdo"/>
        <m/>
      </sharedItems>
    </cacheField>
    <cacheField name="60.3. La organización, administración y gestión del programa académico al cual pertenezco permite cumplir los objetivos de: INTEGRACIÓN CON LA COMUNIDAD Y CON EL ENTORNO." numFmtId="0">
      <sharedItems containsBlank="1" count="7">
        <s v="Totalmente de acuerdo / SI"/>
        <s v="De acuerdo"/>
        <s v="Medianamente de acuerdo"/>
        <s v="No sabe / No puede opinar al respecto"/>
        <s v="Totalmente en desacuerdo / NO"/>
        <s v="En desacuerdo"/>
        <m/>
      </sharedItems>
    </cacheField>
    <cacheField name="61. Considero que la representación docente cumple su papel de comunicación entre los directivos y los docentes." numFmtId="0">
      <sharedItems containsBlank="1" count="7">
        <s v="Medianamente de acuerdo"/>
        <s v="De acuerdo"/>
        <s v="Totalmente de acuerdo / SI"/>
        <s v="No sabe / No puede opinar al respecto"/>
        <s v="Totalmente en desacuerdo / NO"/>
        <s v="En desacuerdo"/>
        <m/>
      </sharedItems>
    </cacheField>
    <cacheField name="62. Considero que los representantes docentes han liderado propuestas para el mejoramiento del programa académico al cual pertenezco. " numFmtId="0">
      <sharedItems containsBlank="1" count="7">
        <s v="Medianamente de acuerdo"/>
        <s v="De acuerdo"/>
        <s v="Totalmente de acuerdo / SI"/>
        <s v="No sabe / No puede opinar al respecto"/>
        <s v="Totalmente en desacuerdo / NO"/>
        <s v="En desacuerdo"/>
        <m/>
      </sharedItems>
    </cacheField>
    <cacheField name="63. Considero que los sistemas de información empleados por el programa académico al cual pertenezco son efectivos." numFmtId="0">
      <sharedItems containsBlank="1" count="7">
        <s v="De acuerdo"/>
        <s v="Totalmente de acuerdo / SI"/>
        <s v="Totalmente en desacuerdo / NO"/>
        <s v="Medianamente de acuerdo"/>
        <s v="En desacuerdo"/>
        <m/>
        <s v="No sabe / No puede opinar al respecto" u="1"/>
      </sharedItems>
    </cacheField>
    <cacheField name="64. Considero que las orientaciones de los directivos del programa académico al cual pertenezco son adecuadas. " numFmtId="0">
      <sharedItems containsBlank="1" count="6">
        <s v="Totalmente de acuerdo / SI"/>
        <s v="De acuerdo"/>
        <s v="Medianamente de acuerdo"/>
        <m/>
        <s v="En desacuerdo" u="1"/>
        <s v="No sabe / No puede opinar al respecto" u="1"/>
      </sharedItems>
    </cacheField>
    <cacheField name="65. Me entero de las decisiones del Consejo Curricular del programa académico al cual pertenezco." numFmtId="0">
      <sharedItems containsBlank="1" count="7">
        <s v="Totalmente de acuerdo / SI"/>
        <s v="De acuerdo"/>
        <s v="Medianamente de acuerdo"/>
        <s v="En desacuerdo"/>
        <s v="Totalmente en desacuerdo / NO"/>
        <m/>
        <s v="No sabe / No puede opinar al respecto" u="1"/>
      </sharedItems>
    </cacheField>
    <cacheField name="66. Considero que el liderazgo ejercido por los directivos del programa académico al cual pertenezco es idóneo." numFmtId="0">
      <sharedItems containsBlank="1" count="7">
        <s v="Totalmente de acuerdo / SI"/>
        <s v="De acuerdo"/>
        <s v="Medianamente de acuerdo"/>
        <m/>
        <s v="En desacuerdo" u="1"/>
        <s v="No sabe / No puede opinar al respecto" u="1"/>
        <s v="Totalmente en desacuerdo / NO" u="1"/>
      </sharedItems>
    </cacheField>
    <cacheField name="67.1. Considero que la planta física empleada por el programa académico al cual pertenezco es: ADECUADA" numFmtId="0">
      <sharedItems containsBlank="1" count="6">
        <s v="De acuerdo"/>
        <s v="Medianamente de acuerdo"/>
        <s v="Totalmente de acuerdo / SI"/>
        <s v="Totalmente en desacuerdo / NO"/>
        <s v="En desacuerdo"/>
        <m/>
      </sharedItems>
    </cacheField>
    <cacheField name="67.2. Considero que la planta física empleada por el programa académico al cual pertenezco es: SUFICIENTE" numFmtId="0">
      <sharedItems containsBlank="1" count="7">
        <s v="De acuerdo"/>
        <s v="Medianamente de acuerdo"/>
        <s v="Totalmente de acuerdo / SI"/>
        <s v="Totalmente en desacuerdo / NO"/>
        <s v="En desacuerdo"/>
        <m/>
        <s v="No sabe / No puede opinar al respecto" u="1"/>
      </sharedItems>
    </cacheField>
    <cacheField name="67.3. Considero que la planta física empleada por el programa académico al cual pertenezco es: MANTENIDA APROPIADAMENTE." numFmtId="0">
      <sharedItems containsBlank="1" count="7">
        <s v="De acuerdo"/>
        <s v="Medianamente de acuerdo"/>
        <s v="Totalmente de acuerdo / SI"/>
        <s v="Totalmente en desacuerdo / NO"/>
        <s v="En desacuerdo"/>
        <m/>
        <s v="No sabe / No puede opinar al respecto" u="1"/>
      </sharedItems>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ngélica Mercedes Nivia Vargas" refreshedDate="43067.472092245371" createdVersion="5" refreshedVersion="5" minRefreshableVersion="3" recordCount="20">
  <cacheSource type="worksheet">
    <worksheetSource ref="A1:Y21" sheet="RTA Directivos" r:id="rId2"/>
  </cacheSource>
  <cacheFields count="25">
    <cacheField name="Cargo" numFmtId="0">
      <sharedItems/>
    </cacheField>
    <cacheField name="1. Cumplimiento de las funciones sustantivas de docencia investigación y, extensión y proyección social " numFmtId="0">
      <sharedItems containsBlank="1" count="4">
        <s v="De acuerdo"/>
        <s v="Totalmente de acuerdo"/>
        <s v="Medianamente de acuerdo "/>
        <m/>
      </sharedItems>
    </cacheField>
    <cacheField name="2. Menciona las políticas y programas educativos de la Universidad Distrital Francisco José de Caldas que deben conocer estamentos: Plan Estratégico de Desarrollo, Proyecto Universitario Institucional (PUI), Proyecto Educativo de Programa (PEP)" numFmtId="0">
      <sharedItems containsBlank="1" count="6">
        <s v="En desacuerdo"/>
        <s v="De acuerdo"/>
        <s v="Medianamente de acuerdo "/>
        <s v="Totalmente de acuerdo"/>
        <m/>
        <s v="Totalmente en desacuerdo"/>
      </sharedItems>
    </cacheField>
    <cacheField name="3. Conoce los planes trazados para los próximos años en el interior de la Facultad" numFmtId="0">
      <sharedItems containsBlank="1" count="6">
        <s v="De acuerdo"/>
        <s v="En desacuerdo"/>
        <s v="Totalmente de acuerdo"/>
        <s v="No sabe / No puede opinar al respecto"/>
        <s v="Medianamente de acuerdo "/>
        <m/>
      </sharedItems>
    </cacheField>
    <cacheField name="4.1. Conoce los planes trazados para los próximos años en el interior del proyecto curricular en materia de: Investigación" numFmtId="0">
      <sharedItems containsBlank="1" count="7">
        <s v="En desacuerdo"/>
        <s v="No sabe / No puede opinar al respecto"/>
        <s v="Totalmente de acuerdo"/>
        <s v="Totalmente en desacuerdo"/>
        <s v="Medianamente de acuerdo "/>
        <s v="De acuerdo"/>
        <m/>
      </sharedItems>
    </cacheField>
    <cacheField name="4.2. Conoce los planes trazados para los próximos años en el interior del proyecto curricular en materia de: Docencia " numFmtId="0">
      <sharedItems containsBlank="1" count="6">
        <s v="En desacuerdo"/>
        <s v="No sabe / No puede opinar al respecto"/>
        <s v="Totalmente de acuerdo"/>
        <s v="De acuerdo"/>
        <s v="Medianamente de acuerdo "/>
        <m/>
      </sharedItems>
    </cacheField>
    <cacheField name="4.3. Conoce los planes trazados para los próximos años en el interior del proyecto curricular en materia de: Extensión y proyección social" numFmtId="0">
      <sharedItems containsBlank="1" count="7">
        <s v="En desacuerdo"/>
        <s v="No sabe / No puede opinar al respecto"/>
        <s v="De acuerdo"/>
        <s v="Totalmente en desacuerdo"/>
        <s v="Medianamente de acuerdo "/>
        <s v="Totalmente de acuerdo"/>
        <m/>
      </sharedItems>
    </cacheField>
    <cacheField name="5. Conoce las líneas y proyectos de investigación que se desarrollan actualmente" numFmtId="0">
      <sharedItems containsBlank="1" count="6">
        <s v="Medianamente de acuerdo "/>
        <s v="En desacuerdo"/>
        <s v="Totalmente de acuerdo"/>
        <s v="De acuerdo"/>
        <m/>
        <s v="No sabe / No puede opinar al respecto"/>
      </sharedItems>
    </cacheField>
    <cacheField name="6. Conoce la prospectiva de presentación de proyectos de investigación en el proyecto curricular y a qué línea le apuntan" numFmtId="0">
      <sharedItems containsBlank="1" count="5">
        <s v="De acuerdo"/>
        <s v="En desacuerdo"/>
        <s v="Totalmente de acuerdo"/>
        <m/>
        <s v="No sabe / No puede opinar al respecto"/>
      </sharedItems>
    </cacheField>
    <cacheField name="7. Menciona las líneas a las que apuntan los proyectos de investigación en el proyecto curricular" numFmtId="0">
      <sharedItems containsBlank="1" count="6">
        <s v="No sabe / No puede opinar al respecto"/>
        <s v="En desacuerdo"/>
        <s v="De acuerdo"/>
        <s v="Medianamente de acuerdo "/>
        <s v="Totalmente de acuerdo"/>
        <m/>
      </sharedItems>
    </cacheField>
    <cacheField name="8.1. Conoce las fuentes de financiación con las que se cuenta para el desarrollo de: Investigación" numFmtId="0">
      <sharedItems containsBlank="1" count="6">
        <s v="Totalmente de acuerdo"/>
        <s v="De acuerdo"/>
        <s v="En desacuerdo"/>
        <m/>
        <s v="Medianamente de acuerdo "/>
        <s v="Totalmente en desacuerdo"/>
      </sharedItems>
    </cacheField>
    <cacheField name="8.2. Conoce las fuentes de financiación con las que se cuenta para el desarrollo de: Docencia" numFmtId="0">
      <sharedItems containsBlank="1" count="6">
        <s v="Totalmente de acuerdo"/>
        <s v="De acuerdo"/>
        <s v="En desacuerdo"/>
        <s v="Medianamente de acuerdo "/>
        <m/>
        <s v="Totalmente en desacuerdo"/>
      </sharedItems>
    </cacheField>
    <cacheField name="8.3. Conoce las fuentes de financiación con las que se cuenta para el desarrollo de: Extensión y proyección social" numFmtId="0">
      <sharedItems containsBlank="1" count="6">
        <s v="Totalmente de acuerdo"/>
        <s v="De acuerdo"/>
        <s v="En desacuerdo"/>
        <s v="Medianamente de acuerdo "/>
        <m/>
        <s v="Totalmente en desacuerdo"/>
      </sharedItems>
    </cacheField>
    <cacheField name="9.1. Considera que los recursos económicos son suficientes para el desarrollo de: Investigación" numFmtId="0">
      <sharedItems containsBlank="1" count="6">
        <s v="Medianamente de acuerdo "/>
        <s v="No sabe / No puede opinar al respecto"/>
        <s v="De acuerdo"/>
        <s v="En desacuerdo"/>
        <m/>
        <s v="Totalmente en desacuerdo"/>
      </sharedItems>
    </cacheField>
    <cacheField name="9.2. Considera que los recursos económicos son suficientes para el desarrollo de: Docencia" numFmtId="0">
      <sharedItems containsBlank="1" count="6">
        <s v="Medianamente de acuerdo "/>
        <s v="No sabe / No puede opinar al respecto"/>
        <s v="En desacuerdo"/>
        <s v="De acuerdo"/>
        <m/>
        <s v="Totalmente en desacuerdo"/>
      </sharedItems>
    </cacheField>
    <cacheField name="9.3. Considera que los recursos económicos son suficientes para el desarrollo de: - Extensión y proyección social" numFmtId="0">
      <sharedItems containsBlank="1" count="7">
        <s v="Medianamente de acuerdo "/>
        <s v="No sabe / No puede opinar al respecto"/>
        <s v="En desacuerdo"/>
        <s v="De acuerdo"/>
        <s v="Totalmente de acuerdo"/>
        <m/>
        <s v="Totalmente en desacuerdo"/>
      </sharedItems>
    </cacheField>
    <cacheField name="10.1. Menciona convenios y fuentes de financiación externa (local o extrajera), para el desarrollo de: Investigación" numFmtId="0">
      <sharedItems containsBlank="1" count="6">
        <s v="Totalmente de acuerdo"/>
        <s v="De acuerdo"/>
        <s v="Medianamente de acuerdo "/>
        <m/>
        <s v="En desacuerdo"/>
        <s v="No sabe / No puede opinar al respecto"/>
      </sharedItems>
    </cacheField>
    <cacheField name="10.2. Menciona convenios y fuentes de financiación externa (local o extrajera), para el desarrollo de: Formación docente " numFmtId="0">
      <sharedItems containsBlank="1" count="6">
        <s v="Totalmente de acuerdo"/>
        <s v="En desacuerdo"/>
        <s v="Medianamente de acuerdo "/>
        <s v="De acuerdo"/>
        <m/>
        <s v="No sabe / No puede opinar al respecto"/>
      </sharedItems>
    </cacheField>
    <cacheField name="10.3. Menciona convenios y fuentes de financiación externa (local o extrajera), para el desarrollo de: Extensión y proyección social " numFmtId="0">
      <sharedItems containsBlank="1" count="6">
        <s v="Totalmente de acuerdo"/>
        <s v="Medianamente de acuerdo "/>
        <s v="No sabe / No puede opinar al respecto"/>
        <s v="De acuerdo"/>
        <m/>
        <s v="En desacuerdo"/>
      </sharedItems>
    </cacheField>
    <cacheField name="11. Tiene conocimiento del impacto que genera el modelo de formación por ciclos" numFmtId="0">
      <sharedItems containsBlank="1" count="6">
        <s v="De acuerdo"/>
        <s v="Totalmente de acuerdo"/>
        <s v="Medianamente de acuerdo "/>
        <s v="En desacuerdo"/>
        <m/>
        <s v="No sabe / No puede opinar al respecto"/>
      </sharedItems>
    </cacheField>
    <cacheField name="12.1. Menciona las acciones que brindan posibilidades a los estudiantes para: Desarrollar procesos de investigación" numFmtId="0">
      <sharedItems containsBlank="1" count="6">
        <s v="De acuerdo"/>
        <s v="No sabe / No puede opinar al respecto"/>
        <s v="Totalmente de acuerdo"/>
        <s v="Medianamente de acuerdo "/>
        <m/>
        <s v="En desacuerdo"/>
      </sharedItems>
    </cacheField>
    <cacheField name="12.2. Menciona las acciones que brindan posibilidades a los estudiantes para: Desarrollar proyectos de extensión y proyección social a la comunidad" numFmtId="0">
      <sharedItems containsBlank="1" count="5">
        <s v="De acuerdo"/>
        <s v="No sabe / No puede opinar al respecto"/>
        <s v="Medianamente de acuerdo "/>
        <m/>
        <s v="En desacuerdo"/>
      </sharedItems>
    </cacheField>
    <cacheField name="13. Menciona los planes de ejecución presupuestal para el mejoramiento de la infraestructura y equipos de apoyo" numFmtId="0">
      <sharedItems containsBlank="1" count="6">
        <s v="De acuerdo"/>
        <s v="Totalmente de acuerdo"/>
        <s v="Medianamente de acuerdo "/>
        <s v="En desacuerdo"/>
        <s v="No sabe / No puede opinar al respecto"/>
        <m/>
      </sharedItems>
    </cacheField>
    <cacheField name="14. Menciona los medios que se utilizan para garantizar que la ejecución presupuestal sea eficaz y eficiente." numFmtId="0">
      <sharedItems containsBlank="1" count="6">
        <s v="De acuerdo"/>
        <s v="Medianamente de acuerdo "/>
        <s v="No sabe / No puede opinar al respecto"/>
        <s v="Totalmente de acuerdo"/>
        <m/>
        <s v="En desacuerdo"/>
      </sharedItems>
    </cacheField>
    <cacheField name="15. Menciona aspectos que se deben fortalecerse en la formación de los estudiantes." numFmtId="0">
      <sharedItems containsBlank="1" count="5">
        <s v="Totalmente de acuerdo"/>
        <s v="De acuerdo"/>
        <m/>
        <s v="En desacuerdo"/>
        <s v="No sabe / No puede opinar al respecto"/>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ngélica Mercedes Nivia Vargas" refreshedDate="43110.615708912039" createdVersion="5" refreshedVersion="5" minRefreshableVersion="3" recordCount="78">
  <cacheSource type="worksheet">
    <worksheetSource ref="A1:AV79" sheet="Respuestas EGRESADOS" r:id="rId2"/>
  </cacheSource>
  <cacheFields count="48">
    <cacheField name="Marca temporal" numFmtId="166">
      <sharedItems containsSemiMixedTypes="0" containsNonDate="0" containsDate="1" containsString="0" minDate="2017-07-18T11:46:39" maxDate="2017-07-29T10:12:34"/>
    </cacheField>
    <cacheField name="NOMBRE" numFmtId="0">
      <sharedItems/>
    </cacheField>
    <cacheField name="APELLIDO" numFmtId="0">
      <sharedItems/>
    </cacheField>
    <cacheField name="NÚMERO DE DOCUMENTO" numFmtId="0">
      <sharedItems containsSemiMixedTypes="0" containsString="0" containsNumber="1" containsInteger="1" minValue="3096982" maxValue="1072651117"/>
    </cacheField>
    <cacheField name="TITULO DE PREGRADO RECIBIDO MÁS RECIENTE" numFmtId="0">
      <sharedItems/>
    </cacheField>
    <cacheField name="AÑO DE GRADUACIÓN" numFmtId="0">
      <sharedItems containsSemiMixedTypes="0" containsString="0" containsNumber="1" containsInteger="1" minValue="2003" maxValue="2017"/>
    </cacheField>
    <cacheField name="NÚMERO CELULAR" numFmtId="0">
      <sharedItems containsSemiMixedTypes="0" containsString="0" containsNumber="1" containsInteger="1" minValue="3003606757" maxValue="3214554345"/>
    </cacheField>
    <cacheField name="CORREO ELECTRÓNICO" numFmtId="0">
      <sharedItems/>
    </cacheField>
    <cacheField name="CAMPO DE DESEMPEÑO" numFmtId="0">
      <sharedItems/>
    </cacheField>
    <cacheField name="CARGO ACTUAL" numFmtId="0">
      <sharedItems/>
    </cacheField>
    <cacheField name="EMPRESA DONDE TRABAJA" numFmtId="0">
      <sharedItems containsBlank="1"/>
    </cacheField>
    <cacheField name="NOMBRE JEFE INMEDIATO" numFmtId="0">
      <sharedItems containsBlank="1"/>
    </cacheField>
    <cacheField name="CORREO TRABAJO" numFmtId="0">
      <sharedItems containsBlank="1"/>
    </cacheField>
    <cacheField name="TELÉFONO TRABAJO" numFmtId="0">
      <sharedItems containsString="0" containsBlank="1" containsNumber="1" containsInteger="1" minValue="0" maxValue="3204070795"/>
    </cacheField>
    <cacheField name="RECONOCIMIENTOS OBTENIDOS EN SU CARRERA PROFESIONAL" numFmtId="0">
      <sharedItems containsBlank="1"/>
    </cacheField>
    <cacheField name="1. Conozco la misión de la Universidad Distrital Francisco José de Caldas." numFmtId="0">
      <sharedItems count="5">
        <s v="De acuerdo"/>
        <s v="Totalmente de acuerdo / SI"/>
        <s v="Totalmente en desacuerdo / NO"/>
        <s v="Medianamente de acuerdo"/>
        <s v="No sabe / No puede opinar al respecto"/>
      </sharedItems>
    </cacheField>
    <cacheField name="2. Me siento identificado con la misión de la Universidad Distrital Francisco José de Caldas." numFmtId="0">
      <sharedItems count="6">
        <s v="Totalmente de acuerdo / SI"/>
        <s v="De acuerdo"/>
        <s v="No sabe / No puede opinar al respecto"/>
        <s v="Medianamente de acuerdo"/>
        <s v="Totalmente en desacuerdo / NO"/>
        <s v="En desacuerdo" u="1"/>
      </sharedItems>
    </cacheField>
    <cacheField name="3. Considero que la Universidad Distrital Francisco José de Caldas es una alternativa real para acceder al conocimiento por parte de la población bogotana de menores ingresos." numFmtId="0">
      <sharedItems count="6">
        <s v="De acuerdo"/>
        <s v="Totalmente de acuerdo / SI"/>
        <s v="Totalmente en desacuerdo / NO"/>
        <s v="No sabe / No puede opinar al respecto"/>
        <s v="Medianamente de acuerdo"/>
        <s v="En desacuerdo"/>
      </sharedItems>
    </cacheField>
    <cacheField name="4. Considero que la Universidad Distrital Francisco José de Caldas desarrolla una educación de alta calidad con capacidad de responder a los retos del Distrito Capital y del país." numFmtId="0">
      <sharedItems count="6">
        <s v="De acuerdo"/>
        <s v="Totalmente de acuerdo / SI"/>
        <s v="Medianamente de acuerdo"/>
        <s v="Totalmente en desacuerdo / NO"/>
        <s v="No sabe / No puede opinar al respecto"/>
        <s v="En desacuerdo"/>
      </sharedItems>
    </cacheField>
    <cacheField name="5. Considero que el proceso de admisión a la Universidad Distrital Francisco José de Caldas es transparente y equitativo." numFmtId="0">
      <sharedItems count="6">
        <s v="De acuerdo"/>
        <s v="Totalmente de acuerdo / SI"/>
        <s v="No sabe / No puede opinar al respecto"/>
        <s v="En desacuerdo"/>
        <s v="Medianamente de acuerdo"/>
        <s v="Totalmente en desacuerdo / NO"/>
      </sharedItems>
    </cacheField>
    <cacheField name="6. Considero que el proceso de admisión a cada uno de los niveles de formación de los programas por ciclos ofrecidos en la Facultad Tecnológica es apropiado." numFmtId="0">
      <sharedItems count="6">
        <s v="De acuerdo"/>
        <s v="Totalmente de acuerdo / SI"/>
        <s v="Medianamente de acuerdo"/>
        <s v="En desacuerdo"/>
        <s v="No sabe / No puede opinar al respecto"/>
        <s v="Totalmente en desacuerdo / NO" u="1"/>
      </sharedItems>
    </cacheField>
    <cacheField name="7. Cuando fui estudiante, mi programa académico participaba activamente en proyectos dirigidos a la comunidad." numFmtId="0">
      <sharedItems count="6">
        <s v="En desacuerdo"/>
        <s v="Totalmente de acuerdo / SI"/>
        <s v="Medianamente de acuerdo"/>
        <s v="Totalmente en desacuerdo / NO"/>
        <s v="De acuerdo"/>
        <s v="No sabe / No puede opinar al respecto"/>
      </sharedItems>
    </cacheField>
    <cacheField name="8.1. El programa académico al cual pertenecí me brindó las herramientas necesarias para DESARROLLAR PROCESOS DE INVESTIGACIÓN" numFmtId="0">
      <sharedItems count="6">
        <s v="De acuerdo"/>
        <s v="Totalmente de acuerdo / SI"/>
        <s v="Medianamente de acuerdo"/>
        <s v="Totalmente en desacuerdo / NO"/>
        <s v="En desacuerdo"/>
        <s v="No sabe / No puede opinar al respecto"/>
      </sharedItems>
    </cacheField>
    <cacheField name="8.2. El programa académico al cual pertenecí me brindó las herramientas necesarias para FORTALECER MI ESPÍRITU CRÍTICO Y ÉTICO." numFmtId="0">
      <sharedItems count="5">
        <s v="De acuerdo"/>
        <s v="Totalmente de acuerdo / SI"/>
        <s v="Medianamente de acuerdo"/>
        <s v="Totalmente en desacuerdo / NO"/>
        <s v="En desacuerdo"/>
      </sharedItems>
    </cacheField>
    <cacheField name="8.3. El programa académico al cual pertenecí me brindó las herramientas necesarias para OFRECER SOLUCIONES A LOS PROBLEMAS DE LA SOCIEDAD." numFmtId="0">
      <sharedItems count="5">
        <s v="De acuerdo"/>
        <s v="Totalmente de acuerdo / SI"/>
        <s v="Medianamente de acuerdo"/>
        <s v="Totalmente en desacuerdo / NO"/>
        <s v="En desacuerdo"/>
      </sharedItems>
    </cacheField>
    <cacheField name="8.4. El programa académico al cual pertenecí me brindó las herramientas necesarias para SER PARTE ACTIVA Y PARTICIPATIVA EN LA CULTURA CIUDADANA" numFmtId="0">
      <sharedItems count="5">
        <s v="De acuerdo"/>
        <s v="Totalmente de acuerdo / SI"/>
        <s v="Medianamente de acuerdo"/>
        <s v="En desacuerdo"/>
        <s v="Totalmente en desacuerdo / NO"/>
      </sharedItems>
    </cacheField>
    <cacheField name="8.5. El programa académico al cual pertenecí me brindó las herramientas necesarias para PRODUCIR TEXTOS ARGUMENTANDO OPINIONES Y/O CONCEPTOS." numFmtId="0">
      <sharedItems count="5">
        <s v="De acuerdo"/>
        <s v="Totalmente de acuerdo / SI"/>
        <s v="Medianamente de acuerdo"/>
        <s v="En desacuerdo"/>
        <s v="Totalmente en desacuerdo / NO"/>
      </sharedItems>
    </cacheField>
    <cacheField name="9. En la época de culminación de mis estudios, mi programa académico me ofreció modalidades de trabajo de grado suficientemente variadas." numFmtId="0">
      <sharedItems count="5">
        <s v="Medianamente de acuerdo"/>
        <s v="Totalmente de acuerdo / SI"/>
        <s v="En desacuerdo"/>
        <s v="De acuerdo"/>
        <s v="Totalmente en desacuerdo / NO"/>
      </sharedItems>
    </cacheField>
    <cacheField name="10. Las estrategias didácticas empleadas en mi programa académico me permitieron adquirir los conocimientos suficientes y requeridos en la profesión que escogí." numFmtId="0">
      <sharedItems count="5">
        <s v="De acuerdo"/>
        <s v="Totalmente de acuerdo / SI"/>
        <s v="Medianamente de acuerdo"/>
        <s v="Totalmente en desacuerdo / NO"/>
        <s v="En desacuerdo"/>
      </sharedItems>
    </cacheField>
    <cacheField name="11.1. Mi paso por la Facultad Tecnológica de la Universidad Distrital me ayudó a: APROPIARME DE MÉTODOS PARA EL APRENDIZAJE AUTÓNOMO." numFmtId="0">
      <sharedItems count="5">
        <s v="Medianamente de acuerdo"/>
        <s v="Totalmente de acuerdo / SI"/>
        <s v="De acuerdo"/>
        <s v="En desacuerdo"/>
        <s v="Totalmente en desacuerdo / NO" u="1"/>
      </sharedItems>
    </cacheField>
    <cacheField name="11.2. Mi paso por la Facultad Tecnológica de la Universidad Distrital me ayudó a: DESARROLLAR CAPACIDADES PARA LA SOLUCIÓN DE PROBLEMAS" numFmtId="0">
      <sharedItems count="6">
        <s v="De acuerdo"/>
        <s v="Totalmente de acuerdo / SI"/>
        <s v="Medianamente de acuerdo"/>
        <s v="En desacuerdo"/>
        <s v="Totalmente en desacuerdo / NO"/>
        <s v="No sabe / No puede opinar al respecto" u="1"/>
      </sharedItems>
    </cacheField>
    <cacheField name="11.3. Mi paso por la Facultad Tecnológica de la Universidad Distrital me ayudó a: HACER CONSULTAS BIBLIOGRÁFICAS EFECTIVAS" numFmtId="0">
      <sharedItems count="6">
        <s v="Medianamente de acuerdo"/>
        <s v="Totalmente de acuerdo / SI"/>
        <s v="De acuerdo"/>
        <s v="En desacuerdo"/>
        <s v="Totalmente en desacuerdo / NO"/>
        <s v="No sabe / No puede opinar al respecto"/>
      </sharedItems>
    </cacheField>
    <cacheField name="11.4. Mi paso por la Facultad Tecnológica de la Universidad Distrital me ayudó a: UTILIZAR HERRAMIENTAS INFORMÁTICAS ACTUALIZADAS AL SERVICIO DE MI PROFESIÓN." numFmtId="0">
      <sharedItems count="6">
        <s v="De acuerdo"/>
        <s v="Totalmente de acuerdo / SI"/>
        <s v="Medianamente de acuerdo"/>
        <s v="Totalmente en desacuerdo / NO"/>
        <s v="En desacuerdo"/>
        <s v="No sabe / No puede opinar al respecto"/>
      </sharedItems>
    </cacheField>
    <cacheField name="12. Considero que estudiar un programa de ingeniería por ciclos, nivel tecnológico y nivel de Ingeniería, me brindó mejores oportunidades que estudiar una carrera de Ingeniería tradicional." numFmtId="0">
      <sharedItems count="6">
        <s v="De acuerdo"/>
        <s v="Totalmente de acuerdo / SI"/>
        <s v="Medianamente de acuerdo"/>
        <s v="No sabe / No puede opinar al respecto"/>
        <s v="Totalmente en desacuerdo / NO"/>
        <s v="En desacuerdo"/>
      </sharedItems>
    </cacheField>
    <cacheField name="13. Considero que la denominación de mi titulo de tecnólogo me ha abierto posibilidades en el mercado laboral." numFmtId="0">
      <sharedItems count="6">
        <s v="De acuerdo"/>
        <s v="Totalmente de acuerdo / SI"/>
        <s v="Medianamente de acuerdo"/>
        <s v="No sabe / No puede opinar al respecto"/>
        <s v="En desacuerdo"/>
        <s v="Totalmente en desacuerdo / NO"/>
      </sharedItems>
    </cacheField>
    <cacheField name="14. Considero que la denominación de mi título de ingeniero me abre o me abrirá mayores posibilidades en el mercado laboral." numFmtId="0">
      <sharedItems count="6">
        <s v="De acuerdo"/>
        <s v="Medianamente de acuerdo"/>
        <s v="En desacuerdo"/>
        <s v="Totalmente de acuerdo / SI"/>
        <s v="Totalmente en desacuerdo / NO"/>
        <s v="No sabe / No puede opinar al respecto" u="1"/>
      </sharedItems>
    </cacheField>
    <cacheField name="15. Considero que ser ingeniero mejora o mejorará las condiciones laborales del tecnólogo." numFmtId="0">
      <sharedItems count="6">
        <s v="Totalmente de acuerdo / SI"/>
        <s v="No sabe / No puede opinar al respecto"/>
        <s v="Medianamente de acuerdo"/>
        <s v="Totalmente en desacuerdo / NO"/>
        <s v="De acuerdo"/>
        <s v="En desacuerdo" u="1"/>
      </sharedItems>
    </cacheField>
    <cacheField name="16. Considero que mi paso por el nivel de ingeniería mejoró o mejorará las competencias que he desarrollado en el nivel tecnológico." numFmtId="0">
      <sharedItems count="6">
        <s v="De acuerdo"/>
        <s v="No sabe / No puede opinar al respecto"/>
        <s v="Totalmente de acuerdo / SI"/>
        <s v="Totalmente en desacuerdo / NO"/>
        <s v="Medianamente de acuerdo"/>
        <s v="En desacuerdo"/>
      </sharedItems>
    </cacheField>
    <cacheField name="17. Considero que la representación de los egresados en la Universidad Distrital cumple su papel de comunicación entre los directivos y los egresados." numFmtId="0">
      <sharedItems count="6">
        <s v="No sabe / No puede opinar al respecto"/>
        <s v="Totalmente en desacuerdo / NO"/>
        <s v="En desacuerdo"/>
        <s v="Medianamente de acuerdo"/>
        <s v="De acuerdo"/>
        <s v="Totalmente de acuerdo / SI"/>
      </sharedItems>
    </cacheField>
    <cacheField name="18. Considero que los representantes de los egresados que participan en los órganos de dirección de la Universidad Distrital Francisco José de Caldas han liderado propuestas para el mejoramiento del vinculo entre los egresados y la Universidad." numFmtId="0">
      <sharedItems count="6">
        <s v="No sabe / No puede opinar al respecto"/>
        <s v="De acuerdo"/>
        <s v="En desacuerdo"/>
        <s v="Medianamente de acuerdo"/>
        <s v="Totalmente en desacuerdo / NO"/>
        <s v="Totalmente de acuerdo / SI"/>
      </sharedItems>
    </cacheField>
    <cacheField name="19. Considero que mi programa académico me brindó las herramientas necesarias para ejercer mi profesión." numFmtId="0">
      <sharedItems count="6">
        <s v="De acuerdo"/>
        <s v="Medianamente de acuerdo"/>
        <s v="Totalmente de acuerdo / SI"/>
        <s v="En desacuerdo"/>
        <s v="Totalmente en desacuerdo / NO"/>
        <s v="No sabe / No puede opinar al respecto" u="1"/>
      </sharedItems>
    </cacheField>
    <cacheField name="20. Considero que mi programa académico me brindó las habilidades para desempeñarme con suficiencia en proyectos de investigación, asesorías y/o consultorías." numFmtId="0">
      <sharedItems count="6">
        <s v="De acuerdo"/>
        <s v="Totalmente de acuerdo / SI"/>
        <s v="Medianamente de acuerdo"/>
        <s v="En desacuerdo"/>
        <s v="Totalmente en desacuerdo / NO"/>
        <s v="No sabe / No puede opinar al respecto"/>
      </sharedItems>
    </cacheField>
    <cacheField name="21. Considero que la apreciación de mi programa académico en el medio laboral en el que me desempeño es positiva." numFmtId="0">
      <sharedItems count="6">
        <s v="Medianamente de acuerdo"/>
        <s v="Totalmente de acuerdo / SI"/>
        <s v="De acuerdo"/>
        <s v="Totalmente en desacuerdo / NO"/>
        <s v="En desacuerdo"/>
        <s v="No sabe / No puede opinar al respecto"/>
      </sharedItems>
    </cacheField>
    <cacheField name="22. El programa académico que cursé satisfizo mis expectativas personales." numFmtId="0">
      <sharedItems count="5">
        <s v="De acuerdo"/>
        <s v="Totalmente de acuerdo / SI"/>
        <s v="Medianamente de acuerdo"/>
        <s v="No sabe / No puede opinar al respecto"/>
        <s v="Totalmente en desacuerdo / NO" u="1"/>
      </sharedItems>
    </cacheField>
    <cacheField name="23. Considero que la formación profesional recibida ha contribuido en el desarrollo de mi proyecto de vida." numFmtId="0">
      <sharedItems containsBlank="1" count="14" longText="1">
        <s v="Totalmente de acuerdo / SI"/>
        <s v="De acuerdo"/>
        <s v="Medianamente de acuerdo"/>
        <s v="Totalmente en desacuerdo / NO"/>
        <m u="1"/>
        <s v="Los docentes fueron arbitrarios y es evidente que se manejan posiciones radicales de acuerdo a los intereses de unos pocos,  existia desorden en la inscripcion de materias y habian semestre en que no habian cupos; lo que retraso a muchos de los estudiantes. Existen docentes como el profesor Danilo Rairan quien es exigente a la hora de calificar pero hacia unas clases magistrales mientras que otros personajes exigian pero realmente son muy mediocres." u="1"/>
        <s v="Apoyo la iniciativa de la convalidación del Título de Ingeniero Eléctrico" u="1"/>
        <s v="Es importante las materias de profundización estén más orientadas al campo laboral y de ejecución." u="1"/>
        <s v="Falto preguntas como usted esta de acuerdo con la rosca de la UD" u="1"/>
        <s v="gracias UD.." u="1"/>
        <s v="Evaluar la formación en cuanto  , a las tendencias y creación de politicas medio ambientales y su relación con las energéticas en sus diferentes ciclos de generación, transporte, distribución y comercializacion" u="1"/>
        <s v="En los programas de Ingeniería hace falta algo de formación administrativa y gerencial" u="1"/>
        <s v="Evaluar la formación en cuanto las políticas medio ambientales y su relación con la energéticas, en los diferentes ciclos de generación, transporte, distribución y comercialización." u="1"/>
        <s v="Me siento muy contenta de ser parte de esta universidad" u="1"/>
      </sharedItems>
    </cacheField>
    <cacheField name="Observaciones" numFmtId="0">
      <sharedItems/>
    </cacheField>
    <cacheField name="TITULO(S) DE POSGRADO" numFmtId="0">
      <sharedItems containsBlank="1"/>
    </cacheField>
    <cacheField name="¿Estas interesado en adquirir tu carnet de egresad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4">
  <r>
    <d v="2017-04-05T11:22:01"/>
    <s v="Norberto"/>
    <s v=" Novoa Torres"/>
    <n v="19436656"/>
    <s v="Planta"/>
    <s v="Coordinación Proyectos Curriculares"/>
    <d v="2012-01-13T00:00:00"/>
    <s v="nnovoat@udistrital.edu.co"/>
    <x v="0"/>
    <x v="0"/>
    <x v="0"/>
    <x v="0"/>
    <x v="0"/>
    <x v="0"/>
    <x v="0"/>
    <x v="0"/>
    <x v="0"/>
    <x v="0"/>
    <x v="0"/>
    <x v="0"/>
    <x v="0"/>
    <x v="0"/>
    <x v="0"/>
    <x v="0"/>
    <x v="0"/>
    <x v="0"/>
    <x v="0"/>
    <x v="0"/>
    <x v="0"/>
    <x v="0"/>
    <x v="0"/>
    <x v="0"/>
    <x v="0"/>
    <x v="0"/>
    <x v="0"/>
    <x v="0"/>
    <x v="0"/>
    <x v="0"/>
    <x v="0"/>
    <x v="0"/>
    <x v="0"/>
    <x v="0"/>
    <x v="0"/>
    <x v="0"/>
    <x v="0"/>
  </r>
  <r>
    <d v="2017-04-05T11:32:52"/>
    <s v="JENNIFER"/>
    <s v="MEDINA WALTEROS"/>
    <n v="1032378957"/>
    <s v="CPS"/>
    <s v="Coordinación Proyectos Curriculares"/>
    <d v="2009-02-01T00:00:00"/>
    <s v="jmw2586@hotmail.com"/>
    <x v="0"/>
    <x v="0"/>
    <x v="1"/>
    <x v="1"/>
    <x v="0"/>
    <x v="0"/>
    <x v="0"/>
    <x v="0"/>
    <x v="0"/>
    <x v="1"/>
    <x v="1"/>
    <x v="1"/>
    <x v="0"/>
    <x v="1"/>
    <x v="1"/>
    <x v="1"/>
    <x v="0"/>
    <x v="1"/>
    <x v="0"/>
    <x v="1"/>
    <x v="0"/>
    <x v="0"/>
    <x v="0"/>
    <x v="0"/>
    <x v="0"/>
    <x v="1"/>
    <x v="1"/>
    <x v="0"/>
    <x v="1"/>
    <x v="1"/>
    <x v="1"/>
    <x v="1"/>
    <x v="0"/>
    <x v="1"/>
    <x v="1"/>
    <x v="1"/>
    <x v="1"/>
  </r>
  <r>
    <d v="2017-04-05T11:46:00"/>
    <s v="MARIA ANGELICA "/>
    <s v="RODRIGUEZ TRUJILLO"/>
    <n v="52079406"/>
    <s v="CPS"/>
    <s v="Coordinación Proyectos Curriculares"/>
    <d v="2017-01-23T00:00:00"/>
    <s v="m.angelr72@yahoo.com"/>
    <x v="1"/>
    <x v="1"/>
    <x v="0"/>
    <x v="1"/>
    <x v="1"/>
    <x v="1"/>
    <x v="1"/>
    <x v="1"/>
    <x v="1"/>
    <x v="1"/>
    <x v="1"/>
    <x v="2"/>
    <x v="0"/>
    <x v="2"/>
    <x v="1"/>
    <x v="2"/>
    <x v="1"/>
    <x v="1"/>
    <x v="1"/>
    <x v="0"/>
    <x v="1"/>
    <x v="1"/>
    <x v="1"/>
    <x v="1"/>
    <x v="1"/>
    <x v="1"/>
    <x v="1"/>
    <x v="1"/>
    <x v="2"/>
    <x v="2"/>
    <x v="2"/>
    <x v="2"/>
    <x v="1"/>
    <x v="1"/>
    <x v="2"/>
    <x v="2"/>
    <x v="1"/>
  </r>
  <r>
    <d v="2017-04-19T12:07:21"/>
    <s v="JOSÉ VICENTE "/>
    <s v="REYES MOZO"/>
    <n v="7161428"/>
    <s v="Planta"/>
    <s v="Laboratorios"/>
    <d v="2008-08-19T00:00:00"/>
    <s v="jovireyesm@yahoo.com"/>
    <x v="1"/>
    <x v="1"/>
    <x v="1"/>
    <x v="1"/>
    <x v="0"/>
    <x v="1"/>
    <x v="2"/>
    <x v="2"/>
    <x v="0"/>
    <x v="1"/>
    <x v="1"/>
    <x v="1"/>
    <x v="0"/>
    <x v="3"/>
    <x v="1"/>
    <x v="3"/>
    <x v="0"/>
    <x v="0"/>
    <x v="1"/>
    <x v="0"/>
    <x v="1"/>
    <x v="1"/>
    <x v="1"/>
    <x v="1"/>
    <x v="0"/>
    <x v="0"/>
    <x v="2"/>
    <x v="1"/>
    <x v="2"/>
    <x v="3"/>
    <x v="2"/>
    <x v="1"/>
    <x v="1"/>
    <x v="1"/>
    <x v="3"/>
    <x v="1"/>
    <x v="2"/>
  </r>
  <r>
    <d v="2016-08-30T14:16:35"/>
    <s v="jorge"/>
    <s v="Patiño Perez"/>
    <n v="1024538438"/>
    <s v="CPS"/>
    <s v="Laboratorios"/>
    <d v="2014-02-01T00:00:00"/>
    <s v="jorgeptn@gmail.com"/>
    <x v="2"/>
    <x v="2"/>
    <x v="2"/>
    <x v="2"/>
    <x v="2"/>
    <x v="2"/>
    <x v="2"/>
    <x v="2"/>
    <x v="0"/>
    <x v="1"/>
    <x v="1"/>
    <x v="2"/>
    <x v="1"/>
    <x v="3"/>
    <x v="1"/>
    <x v="2"/>
    <x v="2"/>
    <x v="2"/>
    <x v="2"/>
    <x v="2"/>
    <x v="2"/>
    <x v="2"/>
    <x v="2"/>
    <x v="2"/>
    <x v="1"/>
    <x v="2"/>
    <x v="2"/>
    <x v="2"/>
    <x v="3"/>
    <x v="1"/>
    <x v="3"/>
    <x v="3"/>
    <x v="2"/>
    <x v="2"/>
    <x v="3"/>
    <x v="1"/>
    <x v="1"/>
  </r>
  <r>
    <d v="2016-08-30T14:19:27"/>
    <s v="Diana Carolina"/>
    <s v="Bacca Quiroga"/>
    <n v="1024464245"/>
    <s v="CPS"/>
    <s v="Laboratorios"/>
    <d v="2010-01-28T00:00:00"/>
    <s v="dcarobacca@yahoo.es"/>
    <x v="1"/>
    <x v="1"/>
    <x v="0"/>
    <x v="2"/>
    <x v="3"/>
    <x v="0"/>
    <x v="0"/>
    <x v="2"/>
    <x v="2"/>
    <x v="2"/>
    <x v="1"/>
    <x v="2"/>
    <x v="2"/>
    <x v="2"/>
    <x v="2"/>
    <x v="3"/>
    <x v="3"/>
    <x v="2"/>
    <x v="2"/>
    <x v="0"/>
    <x v="2"/>
    <x v="3"/>
    <x v="0"/>
    <x v="0"/>
    <x v="0"/>
    <x v="1"/>
    <x v="0"/>
    <x v="0"/>
    <x v="3"/>
    <x v="4"/>
    <x v="4"/>
    <x v="2"/>
    <x v="1"/>
    <x v="3"/>
    <x v="3"/>
    <x v="3"/>
    <x v="3"/>
  </r>
  <r>
    <d v="2016-08-30T14:23:20"/>
    <s v="HENRY ALBERTO "/>
    <s v="HERNANDEZ MARTINEZ"/>
    <n v="1032408643"/>
    <s v="CPS"/>
    <s v="Laboratorios"/>
    <d v="2014-04-05T00:00:00"/>
    <s v="haguit2@hotmail.com"/>
    <x v="0"/>
    <x v="2"/>
    <x v="2"/>
    <x v="2"/>
    <x v="3"/>
    <x v="3"/>
    <x v="1"/>
    <x v="1"/>
    <x v="0"/>
    <x v="3"/>
    <x v="2"/>
    <x v="2"/>
    <x v="2"/>
    <x v="4"/>
    <x v="3"/>
    <x v="4"/>
    <x v="0"/>
    <x v="3"/>
    <x v="2"/>
    <x v="0"/>
    <x v="3"/>
    <x v="4"/>
    <x v="3"/>
    <x v="3"/>
    <x v="2"/>
    <x v="0"/>
    <x v="0"/>
    <x v="0"/>
    <x v="1"/>
    <x v="2"/>
    <x v="0"/>
    <x v="2"/>
    <x v="3"/>
    <x v="3"/>
    <x v="3"/>
    <x v="1"/>
    <x v="3"/>
  </r>
  <r>
    <d v="2016-08-30T14:34:33"/>
    <s v="KARINA"/>
    <s v="VEGA TOLOSA"/>
    <n v="1121850310"/>
    <s v="CPS"/>
    <s v="Decanatura"/>
    <d v="2011-12-28T00:00:00"/>
    <s v="karinavega1106@hotmail.com"/>
    <x v="1"/>
    <x v="1"/>
    <x v="2"/>
    <x v="2"/>
    <x v="4"/>
    <x v="2"/>
    <x v="3"/>
    <x v="3"/>
    <x v="3"/>
    <x v="4"/>
    <x v="1"/>
    <x v="2"/>
    <x v="0"/>
    <x v="5"/>
    <x v="4"/>
    <x v="5"/>
    <x v="4"/>
    <x v="4"/>
    <x v="3"/>
    <x v="0"/>
    <x v="1"/>
    <x v="1"/>
    <x v="0"/>
    <x v="1"/>
    <x v="1"/>
    <x v="1"/>
    <x v="1"/>
    <x v="0"/>
    <x v="4"/>
    <x v="2"/>
    <x v="1"/>
    <x v="2"/>
    <x v="3"/>
    <x v="3"/>
    <x v="3"/>
    <x v="2"/>
    <x v="1"/>
  </r>
  <r>
    <d v="2016-08-30T14:47:37"/>
    <s v="EDWIN ALEJANDRO"/>
    <s v="AVILA GOMEZ"/>
    <n v="80249915"/>
    <s v="CPS"/>
    <s v="Laboratorios"/>
    <d v="2012-03-01T00:00:00"/>
    <s v="alejandroavila23@yahoo.com"/>
    <x v="2"/>
    <x v="2"/>
    <x v="0"/>
    <x v="1"/>
    <x v="5"/>
    <x v="0"/>
    <x v="1"/>
    <x v="1"/>
    <x v="0"/>
    <x v="2"/>
    <x v="1"/>
    <x v="0"/>
    <x v="3"/>
    <x v="3"/>
    <x v="2"/>
    <x v="3"/>
    <x v="2"/>
    <x v="1"/>
    <x v="2"/>
    <x v="3"/>
    <x v="1"/>
    <x v="1"/>
    <x v="1"/>
    <x v="1"/>
    <x v="1"/>
    <x v="1"/>
    <x v="1"/>
    <x v="1"/>
    <x v="4"/>
    <x v="2"/>
    <x v="1"/>
    <x v="2"/>
    <x v="3"/>
    <x v="3"/>
    <x v="3"/>
    <x v="1"/>
    <x v="1"/>
  </r>
  <r>
    <d v="2016-08-30T14:47:52"/>
    <s v="Diana Carolina"/>
    <s v="ROJA GARCIA"/>
    <n v="1101683667"/>
    <s v="CPS"/>
    <s v="Decanatura"/>
    <d v="2013-02-20T00:00:00"/>
    <s v="dcrojasg@udistrital.edu.co"/>
    <x v="0"/>
    <x v="2"/>
    <x v="1"/>
    <x v="0"/>
    <x v="3"/>
    <x v="1"/>
    <x v="1"/>
    <x v="2"/>
    <x v="2"/>
    <x v="1"/>
    <x v="0"/>
    <x v="1"/>
    <x v="1"/>
    <x v="1"/>
    <x v="2"/>
    <x v="2"/>
    <x v="1"/>
    <x v="0"/>
    <x v="1"/>
    <x v="0"/>
    <x v="1"/>
    <x v="0"/>
    <x v="4"/>
    <x v="0"/>
    <x v="0"/>
    <x v="1"/>
    <x v="1"/>
    <x v="0"/>
    <x v="0"/>
    <x v="3"/>
    <x v="1"/>
    <x v="2"/>
    <x v="1"/>
    <x v="3"/>
    <x v="1"/>
    <x v="1"/>
    <x v="4"/>
  </r>
  <r>
    <d v="2016-08-30T15:20:44"/>
    <s v="LILIANA ANDREA"/>
    <s v="RODRÍGUEZ SARMIENTO"/>
    <n v="1012395682"/>
    <s v="CPS"/>
    <s v="Laboratorios"/>
    <d v="2015-07-01T00:00:00"/>
    <s v="li_andrea13@hotmail.com"/>
    <x v="1"/>
    <x v="1"/>
    <x v="0"/>
    <x v="1"/>
    <x v="3"/>
    <x v="0"/>
    <x v="1"/>
    <x v="1"/>
    <x v="2"/>
    <x v="2"/>
    <x v="1"/>
    <x v="2"/>
    <x v="0"/>
    <x v="2"/>
    <x v="1"/>
    <x v="3"/>
    <x v="2"/>
    <x v="1"/>
    <x v="1"/>
    <x v="0"/>
    <x v="4"/>
    <x v="1"/>
    <x v="5"/>
    <x v="1"/>
    <x v="1"/>
    <x v="1"/>
    <x v="1"/>
    <x v="0"/>
    <x v="5"/>
    <x v="4"/>
    <x v="4"/>
    <x v="4"/>
    <x v="3"/>
    <x v="3"/>
    <x v="3"/>
    <x v="2"/>
    <x v="2"/>
  </r>
  <r>
    <d v="2016-08-30T15:54:02"/>
    <s v="MARTHA"/>
    <s v="CABRA  ROJAS"/>
    <n v="35455980"/>
    <s v="CPS"/>
    <s v="Laboratorios"/>
    <d v="2000-08-08T00:00:00"/>
    <s v="martalucic@yahoo.com"/>
    <x v="0"/>
    <x v="0"/>
    <x v="1"/>
    <x v="2"/>
    <x v="3"/>
    <x v="1"/>
    <x v="1"/>
    <x v="0"/>
    <x v="0"/>
    <x v="4"/>
    <x v="1"/>
    <x v="1"/>
    <x v="0"/>
    <x v="2"/>
    <x v="2"/>
    <x v="2"/>
    <x v="0"/>
    <x v="0"/>
    <x v="0"/>
    <x v="0"/>
    <x v="1"/>
    <x v="1"/>
    <x v="1"/>
    <x v="1"/>
    <x v="0"/>
    <x v="0"/>
    <x v="0"/>
    <x v="0"/>
    <x v="2"/>
    <x v="3"/>
    <x v="2"/>
    <x v="1"/>
    <x v="1"/>
    <x v="1"/>
    <x v="1"/>
    <x v="1"/>
    <x v="1"/>
  </r>
  <r>
    <d v="2016-08-30T17:02:19"/>
    <s v="JULY ANDREA "/>
    <s v="ROCHA HERNANDEZ"/>
    <n v="1022395425"/>
    <s v="CPS"/>
    <s v="Unidad de Extensión"/>
    <d v="2016-04-05T00:00:00"/>
    <s v="andiiroch@hotmail.com"/>
    <x v="1"/>
    <x v="1"/>
    <x v="0"/>
    <x v="2"/>
    <x v="2"/>
    <x v="0"/>
    <x v="0"/>
    <x v="2"/>
    <x v="2"/>
    <x v="2"/>
    <x v="0"/>
    <x v="1"/>
    <x v="0"/>
    <x v="2"/>
    <x v="1"/>
    <x v="5"/>
    <x v="2"/>
    <x v="5"/>
    <x v="0"/>
    <x v="0"/>
    <x v="3"/>
    <x v="1"/>
    <x v="2"/>
    <x v="3"/>
    <x v="0"/>
    <x v="0"/>
    <x v="0"/>
    <x v="0"/>
    <x v="2"/>
    <x v="3"/>
    <x v="4"/>
    <x v="4"/>
    <x v="1"/>
    <x v="1"/>
    <x v="0"/>
    <x v="3"/>
    <x v="2"/>
  </r>
  <r>
    <d v="2016-08-30T17:03:30"/>
    <s v="PAOLA BEATRIZ"/>
    <s v="DURAN UHIA"/>
    <n v="52433444"/>
    <s v="CPS"/>
    <s v="Unidad de Extensión"/>
    <d v="2012-08-26T00:00:00"/>
    <s v="duranuhia@hotmail.com"/>
    <x v="1"/>
    <x v="1"/>
    <x v="0"/>
    <x v="2"/>
    <x v="2"/>
    <x v="0"/>
    <x v="0"/>
    <x v="0"/>
    <x v="0"/>
    <x v="2"/>
    <x v="0"/>
    <x v="0"/>
    <x v="2"/>
    <x v="2"/>
    <x v="1"/>
    <x v="5"/>
    <x v="2"/>
    <x v="5"/>
    <x v="0"/>
    <x v="4"/>
    <x v="3"/>
    <x v="4"/>
    <x v="3"/>
    <x v="3"/>
    <x v="0"/>
    <x v="0"/>
    <x v="0"/>
    <x v="0"/>
    <x v="2"/>
    <x v="3"/>
    <x v="4"/>
    <x v="4"/>
    <x v="1"/>
    <x v="1"/>
    <x v="0"/>
    <x v="3"/>
    <x v="2"/>
  </r>
  <r>
    <d v="2016-08-30T17:09:59"/>
    <s v="JUAN CARLOS "/>
    <s v="BENAVIDES"/>
    <n v="91540280"/>
    <s v="CPS"/>
    <s v="Laboratorios"/>
    <d v="2012-03-22T00:00:00"/>
    <s v="jc11093@gmail.com"/>
    <x v="1"/>
    <x v="2"/>
    <x v="1"/>
    <x v="0"/>
    <x v="1"/>
    <x v="1"/>
    <x v="1"/>
    <x v="0"/>
    <x v="0"/>
    <x v="3"/>
    <x v="2"/>
    <x v="2"/>
    <x v="0"/>
    <x v="2"/>
    <x v="2"/>
    <x v="2"/>
    <x v="0"/>
    <x v="1"/>
    <x v="1"/>
    <x v="0"/>
    <x v="1"/>
    <x v="0"/>
    <x v="0"/>
    <x v="0"/>
    <x v="1"/>
    <x v="1"/>
    <x v="0"/>
    <x v="0"/>
    <x v="0"/>
    <x v="3"/>
    <x v="1"/>
    <x v="1"/>
    <x v="1"/>
    <x v="1"/>
    <x v="1"/>
    <x v="4"/>
    <x v="4"/>
  </r>
  <r>
    <d v="2016-08-30T17:18:08"/>
    <s v="MARIA FERNANDA"/>
    <s v="ECHEVERRY CHABUR"/>
    <n v="51818702"/>
    <s v="CPS"/>
    <s v="Bienestar Institucional"/>
    <d v="2003-02-03T00:00:00"/>
    <s v="mafeche21@yahoo.com"/>
    <x v="0"/>
    <x v="2"/>
    <x v="1"/>
    <x v="1"/>
    <x v="1"/>
    <x v="1"/>
    <x v="2"/>
    <x v="1"/>
    <x v="2"/>
    <x v="4"/>
    <x v="1"/>
    <x v="1"/>
    <x v="0"/>
    <x v="2"/>
    <x v="1"/>
    <x v="2"/>
    <x v="1"/>
    <x v="0"/>
    <x v="0"/>
    <x v="2"/>
    <x v="1"/>
    <x v="1"/>
    <x v="0"/>
    <x v="0"/>
    <x v="0"/>
    <x v="1"/>
    <x v="2"/>
    <x v="0"/>
    <x v="5"/>
    <x v="4"/>
    <x v="2"/>
    <x v="2"/>
    <x v="0"/>
    <x v="3"/>
    <x v="3"/>
    <x v="2"/>
    <x v="1"/>
  </r>
  <r>
    <d v="2016-08-30T17:38:14"/>
    <s v="CARLOS EDUARDO"/>
    <s v="GUZMAN MUÑOZ"/>
    <n v="1032363547"/>
    <s v="CPS"/>
    <s v="Bienestar Institucional"/>
    <d v="2015-08-12T00:00:00"/>
    <s v="guzmancarlos110@gmail.com"/>
    <x v="0"/>
    <x v="0"/>
    <x v="1"/>
    <x v="0"/>
    <x v="0"/>
    <x v="3"/>
    <x v="3"/>
    <x v="2"/>
    <x v="4"/>
    <x v="3"/>
    <x v="2"/>
    <x v="1"/>
    <x v="1"/>
    <x v="2"/>
    <x v="2"/>
    <x v="1"/>
    <x v="2"/>
    <x v="0"/>
    <x v="0"/>
    <x v="2"/>
    <x v="0"/>
    <x v="0"/>
    <x v="4"/>
    <x v="4"/>
    <x v="1"/>
    <x v="1"/>
    <x v="1"/>
    <x v="0"/>
    <x v="2"/>
    <x v="2"/>
    <x v="2"/>
    <x v="1"/>
    <x v="1"/>
    <x v="1"/>
    <x v="1"/>
    <x v="1"/>
    <x v="4"/>
  </r>
  <r>
    <d v="2016-08-30T18:12:09"/>
    <s v="YACIRA"/>
    <s v="ASPRILLA SALAS"/>
    <n v="52885998"/>
    <s v="CPS"/>
    <s v="Bienestar Institucional"/>
    <d v="2016-08-30T00:00:00"/>
    <s v="melao90@hotmail.com"/>
    <x v="1"/>
    <x v="1"/>
    <x v="0"/>
    <x v="1"/>
    <x v="1"/>
    <x v="1"/>
    <x v="1"/>
    <x v="1"/>
    <x v="2"/>
    <x v="3"/>
    <x v="2"/>
    <x v="1"/>
    <x v="1"/>
    <x v="2"/>
    <x v="1"/>
    <x v="2"/>
    <x v="0"/>
    <x v="0"/>
    <x v="0"/>
    <x v="2"/>
    <x v="1"/>
    <x v="0"/>
    <x v="0"/>
    <x v="0"/>
    <x v="1"/>
    <x v="1"/>
    <x v="2"/>
    <x v="0"/>
    <x v="4"/>
    <x v="2"/>
    <x v="2"/>
    <x v="1"/>
    <x v="1"/>
    <x v="3"/>
    <x v="3"/>
    <x v="4"/>
    <x v="1"/>
  </r>
  <r>
    <d v="2016-08-30T22:48:10"/>
    <s v="FRANCY LILIANA"/>
    <s v="LÓPEZ ROJAS"/>
    <n v="52975701"/>
    <s v="CPS"/>
    <s v="Laboratorios"/>
    <d v="2012-03-08T00:00:00"/>
    <s v="francylilo@gmail.com"/>
    <x v="1"/>
    <x v="0"/>
    <x v="1"/>
    <x v="0"/>
    <x v="3"/>
    <x v="0"/>
    <x v="1"/>
    <x v="1"/>
    <x v="2"/>
    <x v="1"/>
    <x v="1"/>
    <x v="2"/>
    <x v="0"/>
    <x v="2"/>
    <x v="1"/>
    <x v="1"/>
    <x v="1"/>
    <x v="1"/>
    <x v="0"/>
    <x v="0"/>
    <x v="1"/>
    <x v="1"/>
    <x v="1"/>
    <x v="1"/>
    <x v="1"/>
    <x v="1"/>
    <x v="1"/>
    <x v="1"/>
    <x v="2"/>
    <x v="3"/>
    <x v="1"/>
    <x v="2"/>
    <x v="1"/>
    <x v="1"/>
    <x v="3"/>
    <x v="1"/>
    <x v="1"/>
  </r>
  <r>
    <d v="2016-08-31T07:22:57"/>
    <s v="DIANA"/>
    <s v="FONTALVO RIVERA"/>
    <n v="39751941"/>
    <s v="Planta"/>
    <s v="Decanatura"/>
    <d v="1988-12-31T00:00:00"/>
    <s v="ddfontalvor@udistrital.edu.co"/>
    <x v="1"/>
    <x v="0"/>
    <x v="1"/>
    <x v="2"/>
    <x v="3"/>
    <x v="2"/>
    <x v="2"/>
    <x v="2"/>
    <x v="5"/>
    <x v="1"/>
    <x v="1"/>
    <x v="2"/>
    <x v="1"/>
    <x v="3"/>
    <x v="3"/>
    <x v="3"/>
    <x v="2"/>
    <x v="1"/>
    <x v="2"/>
    <x v="2"/>
    <x v="4"/>
    <x v="2"/>
    <x v="2"/>
    <x v="5"/>
    <x v="1"/>
    <x v="0"/>
    <x v="3"/>
    <x v="0"/>
    <x v="5"/>
    <x v="4"/>
    <x v="2"/>
    <x v="2"/>
    <x v="3"/>
    <x v="3"/>
    <x v="2"/>
    <x v="2"/>
    <x v="2"/>
  </r>
  <r>
    <d v="2016-08-31T08:41:54"/>
    <s v="GLORIA "/>
    <s v="RAMIREZ SANCHEZ"/>
    <n v="52082587"/>
    <s v="Planta"/>
    <s v="Laboratorios"/>
    <d v="2000-01-20T00:00:00"/>
    <s v="GLORITABIO@GMAIL.COM"/>
    <x v="1"/>
    <x v="1"/>
    <x v="1"/>
    <x v="1"/>
    <x v="3"/>
    <x v="1"/>
    <x v="1"/>
    <x v="1"/>
    <x v="2"/>
    <x v="1"/>
    <x v="1"/>
    <x v="2"/>
    <x v="0"/>
    <x v="2"/>
    <x v="1"/>
    <x v="3"/>
    <x v="1"/>
    <x v="1"/>
    <x v="1"/>
    <x v="0"/>
    <x v="4"/>
    <x v="3"/>
    <x v="5"/>
    <x v="5"/>
    <x v="2"/>
    <x v="3"/>
    <x v="3"/>
    <x v="2"/>
    <x v="3"/>
    <x v="5"/>
    <x v="1"/>
    <x v="2"/>
    <x v="3"/>
    <x v="3"/>
    <x v="3"/>
    <x v="1"/>
    <x v="1"/>
  </r>
  <r>
    <d v="2016-08-31T08:58:14"/>
    <s v="HÉCTOR MANUEL "/>
    <s v="MARIÑO GÓMEZ"/>
    <n v="80437619"/>
    <s v="Planta"/>
    <s v="Laboratorios"/>
    <d v="1998-01-19T00:00:00"/>
    <s v="hmmarinog@udistrital.edu.co"/>
    <x v="1"/>
    <x v="0"/>
    <x v="0"/>
    <x v="1"/>
    <x v="2"/>
    <x v="0"/>
    <x v="0"/>
    <x v="4"/>
    <x v="3"/>
    <x v="2"/>
    <x v="1"/>
    <x v="0"/>
    <x v="0"/>
    <x v="4"/>
    <x v="5"/>
    <x v="4"/>
    <x v="3"/>
    <x v="1"/>
    <x v="1"/>
    <x v="0"/>
    <x v="2"/>
    <x v="3"/>
    <x v="2"/>
    <x v="2"/>
    <x v="0"/>
    <x v="1"/>
    <x v="0"/>
    <x v="0"/>
    <x v="4"/>
    <x v="5"/>
    <x v="5"/>
    <x v="5"/>
    <x v="3"/>
    <x v="4"/>
    <x v="4"/>
    <x v="3"/>
    <x v="2"/>
  </r>
  <r>
    <d v="2016-08-31T09:12:09"/>
    <s v="MICHAEL YESID"/>
    <s v="VELANDIA CASTELBLANCO"/>
    <n v="1013634061"/>
    <s v="CPS"/>
    <s v="Laboratorios"/>
    <d v="2015-07-16T00:00:00"/>
    <s v="velandiamichael@gmail.com"/>
    <x v="1"/>
    <x v="0"/>
    <x v="0"/>
    <x v="0"/>
    <x v="4"/>
    <x v="0"/>
    <x v="0"/>
    <x v="0"/>
    <x v="0"/>
    <x v="1"/>
    <x v="1"/>
    <x v="2"/>
    <x v="2"/>
    <x v="2"/>
    <x v="2"/>
    <x v="1"/>
    <x v="1"/>
    <x v="0"/>
    <x v="0"/>
    <x v="0"/>
    <x v="1"/>
    <x v="0"/>
    <x v="0"/>
    <x v="4"/>
    <x v="0"/>
    <x v="0"/>
    <x v="0"/>
    <x v="0"/>
    <x v="0"/>
    <x v="0"/>
    <x v="0"/>
    <x v="0"/>
    <x v="1"/>
    <x v="0"/>
    <x v="3"/>
    <x v="1"/>
    <x v="1"/>
  </r>
  <r>
    <d v="2016-08-31T09:23:49"/>
    <s v="ANDRÉS MAURICIO"/>
    <s v="RODRÍGUEZ FALLA"/>
    <n v="1031124252"/>
    <s v="CPS"/>
    <s v="Laboratorios"/>
    <d v="2011-03-18T00:00:00"/>
    <s v="and.rof@hotmail.com"/>
    <x v="1"/>
    <x v="0"/>
    <x v="1"/>
    <x v="0"/>
    <x v="3"/>
    <x v="0"/>
    <x v="1"/>
    <x v="3"/>
    <x v="3"/>
    <x v="4"/>
    <x v="1"/>
    <x v="1"/>
    <x v="2"/>
    <x v="2"/>
    <x v="2"/>
    <x v="3"/>
    <x v="3"/>
    <x v="0"/>
    <x v="0"/>
    <x v="1"/>
    <x v="1"/>
    <x v="0"/>
    <x v="5"/>
    <x v="1"/>
    <x v="0"/>
    <x v="3"/>
    <x v="1"/>
    <x v="2"/>
    <x v="3"/>
    <x v="5"/>
    <x v="4"/>
    <x v="4"/>
    <x v="3"/>
    <x v="5"/>
    <x v="3"/>
    <x v="3"/>
    <x v="1"/>
  </r>
  <r>
    <d v="2016-08-31T10:42:29"/>
    <s v="HENRY"/>
    <s v="ABELLO VILLARREAL"/>
    <n v="19283898"/>
    <s v="Planta"/>
    <s v="Decanatura"/>
    <d v="1992-10-13T00:00:00"/>
    <s v="habellov@udistrital.edu.co"/>
    <x v="1"/>
    <x v="1"/>
    <x v="1"/>
    <x v="2"/>
    <x v="2"/>
    <x v="4"/>
    <x v="4"/>
    <x v="5"/>
    <x v="1"/>
    <x v="5"/>
    <x v="3"/>
    <x v="3"/>
    <x v="3"/>
    <x v="5"/>
    <x v="4"/>
    <x v="5"/>
    <x v="4"/>
    <x v="4"/>
    <x v="3"/>
    <x v="3"/>
    <x v="1"/>
    <x v="1"/>
    <x v="1"/>
    <x v="1"/>
    <x v="1"/>
    <x v="1"/>
    <x v="2"/>
    <x v="1"/>
    <x v="2"/>
    <x v="3"/>
    <x v="3"/>
    <x v="3"/>
    <x v="2"/>
    <x v="2"/>
    <x v="3"/>
    <x v="1"/>
    <x v="1"/>
  </r>
  <r>
    <d v="2016-08-31T12:12:20"/>
    <s v="JOHANNA CAROLINA"/>
    <s v="RODRIGUEZ SUAREZ"/>
    <n v="52791823"/>
    <s v="CPS"/>
    <s v="Coordinación Proyectos Curriculares"/>
    <d v="2016-01-28T00:00:00"/>
    <s v="johannacaro2@yahoo.es"/>
    <x v="3"/>
    <x v="3"/>
    <x v="2"/>
    <x v="1"/>
    <x v="2"/>
    <x v="1"/>
    <x v="4"/>
    <x v="5"/>
    <x v="1"/>
    <x v="5"/>
    <x v="3"/>
    <x v="3"/>
    <x v="3"/>
    <x v="5"/>
    <x v="4"/>
    <x v="5"/>
    <x v="0"/>
    <x v="0"/>
    <x v="3"/>
    <x v="3"/>
    <x v="2"/>
    <x v="2"/>
    <x v="2"/>
    <x v="2"/>
    <x v="1"/>
    <x v="3"/>
    <x v="4"/>
    <x v="0"/>
    <x v="3"/>
    <x v="5"/>
    <x v="5"/>
    <x v="3"/>
    <x v="1"/>
    <x v="1"/>
    <x v="1"/>
    <x v="4"/>
    <x v="3"/>
  </r>
  <r>
    <d v="2016-08-31T13:03:25"/>
    <s v="Ronald "/>
    <s v="González Silva"/>
    <n v="79938449"/>
    <s v="CPS"/>
    <s v="Unidad de Investigación"/>
    <d v="2014-02-20T00:00:00"/>
    <s v="ronaldsilvagonzalez@yahoo.es"/>
    <x v="4"/>
    <x v="4"/>
    <x v="3"/>
    <x v="2"/>
    <x v="1"/>
    <x v="4"/>
    <x v="1"/>
    <x v="3"/>
    <x v="4"/>
    <x v="4"/>
    <x v="0"/>
    <x v="2"/>
    <x v="2"/>
    <x v="2"/>
    <x v="0"/>
    <x v="4"/>
    <x v="2"/>
    <x v="5"/>
    <x v="0"/>
    <x v="3"/>
    <x v="4"/>
    <x v="3"/>
    <x v="4"/>
    <x v="0"/>
    <x v="0"/>
    <x v="1"/>
    <x v="0"/>
    <x v="0"/>
    <x v="5"/>
    <x v="4"/>
    <x v="2"/>
    <x v="5"/>
    <x v="3"/>
    <x v="1"/>
    <x v="3"/>
    <x v="2"/>
    <x v="0"/>
  </r>
  <r>
    <d v="2016-08-31T13:24:38"/>
    <s v="FERNANDA "/>
    <s v="ORTIZ ZAMBRANO "/>
    <n v="1024522183"/>
    <s v="CPS"/>
    <s v="Unidad de Extensión"/>
    <d v="2013-03-01T00:00:00"/>
    <s v="jullyfer_1001@hotmail.com"/>
    <x v="0"/>
    <x v="0"/>
    <x v="1"/>
    <x v="1"/>
    <x v="3"/>
    <x v="1"/>
    <x v="1"/>
    <x v="2"/>
    <x v="5"/>
    <x v="3"/>
    <x v="2"/>
    <x v="1"/>
    <x v="0"/>
    <x v="1"/>
    <x v="2"/>
    <x v="2"/>
    <x v="1"/>
    <x v="1"/>
    <x v="1"/>
    <x v="2"/>
    <x v="1"/>
    <x v="1"/>
    <x v="1"/>
    <x v="1"/>
    <x v="1"/>
    <x v="1"/>
    <x v="0"/>
    <x v="0"/>
    <x v="2"/>
    <x v="3"/>
    <x v="2"/>
    <x v="1"/>
    <x v="1"/>
    <x v="1"/>
    <x v="1"/>
    <x v="1"/>
    <x v="1"/>
  </r>
  <r>
    <d v="2016-08-31T14:10:21"/>
    <s v="GLORIA"/>
    <s v="RODRIGUEZ PINZON"/>
    <n v="41774815"/>
    <s v="CPS"/>
    <s v="Coordinación Proyectos Curriculares"/>
    <d v="2016-01-28T00:00:00"/>
    <s v="gloriarodriguez_88@hotmail.com"/>
    <x v="1"/>
    <x v="1"/>
    <x v="1"/>
    <x v="1"/>
    <x v="1"/>
    <x v="4"/>
    <x v="4"/>
    <x v="1"/>
    <x v="2"/>
    <x v="5"/>
    <x v="3"/>
    <x v="3"/>
    <x v="3"/>
    <x v="5"/>
    <x v="4"/>
    <x v="5"/>
    <x v="4"/>
    <x v="4"/>
    <x v="3"/>
    <x v="3"/>
    <x v="4"/>
    <x v="3"/>
    <x v="5"/>
    <x v="5"/>
    <x v="1"/>
    <x v="1"/>
    <x v="1"/>
    <x v="1"/>
    <x v="5"/>
    <x v="4"/>
    <x v="4"/>
    <x v="4"/>
    <x v="4"/>
    <x v="5"/>
    <x v="2"/>
    <x v="2"/>
    <x v="2"/>
  </r>
  <r>
    <d v="2016-08-31T14:15:35"/>
    <s v="EVELYN ROCIO"/>
    <s v="ESCOBAR MONROY"/>
    <n v="51880155"/>
    <s v="CPS"/>
    <s v="Coordinación Proyectos Curriculares"/>
    <d v="2016-08-01T00:00:00"/>
    <s v="evelynroci669@hotmail.com"/>
    <x v="1"/>
    <x v="2"/>
    <x v="1"/>
    <x v="0"/>
    <x v="3"/>
    <x v="0"/>
    <x v="1"/>
    <x v="2"/>
    <x v="2"/>
    <x v="1"/>
    <x v="1"/>
    <x v="1"/>
    <x v="2"/>
    <x v="2"/>
    <x v="1"/>
    <x v="3"/>
    <x v="1"/>
    <x v="1"/>
    <x v="1"/>
    <x v="2"/>
    <x v="1"/>
    <x v="1"/>
    <x v="1"/>
    <x v="2"/>
    <x v="0"/>
    <x v="1"/>
    <x v="3"/>
    <x v="0"/>
    <x v="2"/>
    <x v="4"/>
    <x v="2"/>
    <x v="1"/>
    <x v="1"/>
    <x v="1"/>
    <x v="3"/>
    <x v="1"/>
    <x v="4"/>
  </r>
  <r>
    <d v="2016-08-31T14:17:11"/>
    <s v="Claudia"/>
    <s v="Sanchez Orjuela"/>
    <n v="52219798"/>
    <s v="CPS"/>
    <s v="Coordinación Proyectos Curriculares"/>
    <d v="2002-01-15T00:00:00"/>
    <s v="clauditasa@yahoo.com"/>
    <x v="3"/>
    <x v="3"/>
    <x v="1"/>
    <x v="1"/>
    <x v="2"/>
    <x v="4"/>
    <x v="4"/>
    <x v="2"/>
    <x v="5"/>
    <x v="1"/>
    <x v="1"/>
    <x v="3"/>
    <x v="2"/>
    <x v="5"/>
    <x v="4"/>
    <x v="5"/>
    <x v="2"/>
    <x v="1"/>
    <x v="1"/>
    <x v="1"/>
    <x v="1"/>
    <x v="1"/>
    <x v="1"/>
    <x v="5"/>
    <x v="0"/>
    <x v="3"/>
    <x v="3"/>
    <x v="2"/>
    <x v="5"/>
    <x v="2"/>
    <x v="1"/>
    <x v="2"/>
    <x v="1"/>
    <x v="1"/>
    <x v="3"/>
    <x v="1"/>
    <x v="1"/>
  </r>
  <r>
    <d v="2016-08-31T14:50:09"/>
    <s v="CRISTIAN CAMILO"/>
    <s v="HERRERA VIDAL"/>
    <n v="1031129837"/>
    <s v="CPS"/>
    <s v="Bienestar Institucional"/>
    <d v="2014-02-02T00:00:00"/>
    <s v="cristianherr@hotmail.com"/>
    <x v="1"/>
    <x v="1"/>
    <x v="1"/>
    <x v="1"/>
    <x v="1"/>
    <x v="1"/>
    <x v="1"/>
    <x v="1"/>
    <x v="2"/>
    <x v="3"/>
    <x v="2"/>
    <x v="1"/>
    <x v="0"/>
    <x v="1"/>
    <x v="2"/>
    <x v="1"/>
    <x v="0"/>
    <x v="0"/>
    <x v="0"/>
    <x v="0"/>
    <x v="1"/>
    <x v="0"/>
    <x v="0"/>
    <x v="0"/>
    <x v="1"/>
    <x v="1"/>
    <x v="2"/>
    <x v="1"/>
    <x v="4"/>
    <x v="3"/>
    <x v="2"/>
    <x v="1"/>
    <x v="1"/>
    <x v="1"/>
    <x v="1"/>
    <x v="4"/>
    <x v="4"/>
  </r>
  <r>
    <d v="2016-08-31T14:50:37"/>
    <s v="Juan Carlos"/>
    <s v="Monroy Castro"/>
    <n v="79895031"/>
    <s v="CPS"/>
    <s v="Laboratorios"/>
    <d v="2006-02-06T00:00:00"/>
    <s v="jcmonroycastro@gmail.com"/>
    <x v="1"/>
    <x v="0"/>
    <x v="0"/>
    <x v="0"/>
    <x v="4"/>
    <x v="0"/>
    <x v="0"/>
    <x v="3"/>
    <x v="5"/>
    <x v="1"/>
    <x v="1"/>
    <x v="2"/>
    <x v="0"/>
    <x v="1"/>
    <x v="2"/>
    <x v="2"/>
    <x v="1"/>
    <x v="0"/>
    <x v="0"/>
    <x v="0"/>
    <x v="4"/>
    <x v="3"/>
    <x v="5"/>
    <x v="2"/>
    <x v="0"/>
    <x v="2"/>
    <x v="1"/>
    <x v="0"/>
    <x v="4"/>
    <x v="1"/>
    <x v="1"/>
    <x v="2"/>
    <x v="1"/>
    <x v="1"/>
    <x v="3"/>
    <x v="1"/>
    <x v="2"/>
  </r>
  <r>
    <d v="2016-08-31T15:50:26"/>
    <s v="DIEGO WILMAR"/>
    <s v="ROMERO VILLALOBOS"/>
    <n v="80067605"/>
    <s v="CPS"/>
    <s v="Bienestar Institucional"/>
    <d v="2010-12-15T00:00:00"/>
    <s v="Dwromerov@gmail.com"/>
    <x v="0"/>
    <x v="0"/>
    <x v="0"/>
    <x v="0"/>
    <x v="0"/>
    <x v="0"/>
    <x v="0"/>
    <x v="0"/>
    <x v="2"/>
    <x v="3"/>
    <x v="2"/>
    <x v="0"/>
    <x v="2"/>
    <x v="1"/>
    <x v="2"/>
    <x v="1"/>
    <x v="5"/>
    <x v="0"/>
    <x v="0"/>
    <x v="1"/>
    <x v="0"/>
    <x v="5"/>
    <x v="4"/>
    <x v="4"/>
    <x v="0"/>
    <x v="0"/>
    <x v="1"/>
    <x v="0"/>
    <x v="2"/>
    <x v="3"/>
    <x v="2"/>
    <x v="1"/>
    <x v="1"/>
    <x v="0"/>
    <x v="1"/>
    <x v="4"/>
    <x v="4"/>
  </r>
  <r>
    <d v="2016-08-31T16:19:30"/>
    <s v="JUAN CARLOS "/>
    <s v="CARO LOPEZ"/>
    <n v="79745263"/>
    <s v="CPS"/>
    <s v="Bienestar Institucional"/>
    <d v="2009-07-01T00:00:00"/>
    <s v="rhinosjc@hotmail.com"/>
    <x v="0"/>
    <x v="1"/>
    <x v="1"/>
    <x v="1"/>
    <x v="1"/>
    <x v="2"/>
    <x v="1"/>
    <x v="5"/>
    <x v="5"/>
    <x v="1"/>
    <x v="1"/>
    <x v="4"/>
    <x v="0"/>
    <x v="2"/>
    <x v="1"/>
    <x v="2"/>
    <x v="1"/>
    <x v="1"/>
    <x v="1"/>
    <x v="0"/>
    <x v="1"/>
    <x v="0"/>
    <x v="0"/>
    <x v="4"/>
    <x v="0"/>
    <x v="1"/>
    <x v="1"/>
    <x v="0"/>
    <x v="4"/>
    <x v="2"/>
    <x v="1"/>
    <x v="2"/>
    <x v="3"/>
    <x v="3"/>
    <x v="3"/>
    <x v="2"/>
    <x v="1"/>
  </r>
  <r>
    <d v="2016-08-31T16:32:24"/>
    <s v="MAGDA MILENA "/>
    <s v="ACOSTA RODRIGUEZ"/>
    <n v="52201855"/>
    <s v="CPS"/>
    <s v="Bienestar Institucional"/>
    <d v="2014-02-13T00:00:00"/>
    <s v="fetamaher@hotmail.com"/>
    <x v="1"/>
    <x v="0"/>
    <x v="0"/>
    <x v="0"/>
    <x v="1"/>
    <x v="1"/>
    <x v="0"/>
    <x v="1"/>
    <x v="5"/>
    <x v="1"/>
    <x v="1"/>
    <x v="2"/>
    <x v="0"/>
    <x v="2"/>
    <x v="1"/>
    <x v="2"/>
    <x v="1"/>
    <x v="1"/>
    <x v="1"/>
    <x v="1"/>
    <x v="1"/>
    <x v="1"/>
    <x v="0"/>
    <x v="4"/>
    <x v="0"/>
    <x v="0"/>
    <x v="0"/>
    <x v="0"/>
    <x v="4"/>
    <x v="2"/>
    <x v="1"/>
    <x v="2"/>
    <x v="3"/>
    <x v="3"/>
    <x v="3"/>
    <x v="1"/>
    <x v="1"/>
  </r>
  <r>
    <d v="2016-08-31T16:35:54"/>
    <s v="DORIS"/>
    <s v="SALCEDO GARCIA"/>
    <n v="51709670"/>
    <s v="CPS"/>
    <s v="Bienestar Institucional"/>
    <d v="2007-02-09T00:00:00"/>
    <s v="doris_0227@hot.ail.com"/>
    <x v="1"/>
    <x v="1"/>
    <x v="1"/>
    <x v="2"/>
    <x v="2"/>
    <x v="1"/>
    <x v="1"/>
    <x v="1"/>
    <x v="5"/>
    <x v="1"/>
    <x v="2"/>
    <x v="2"/>
    <x v="1"/>
    <x v="2"/>
    <x v="1"/>
    <x v="1"/>
    <x v="1"/>
    <x v="4"/>
    <x v="3"/>
    <x v="2"/>
    <x v="0"/>
    <x v="0"/>
    <x v="4"/>
    <x v="0"/>
    <x v="1"/>
    <x v="1"/>
    <x v="1"/>
    <x v="0"/>
    <x v="4"/>
    <x v="3"/>
    <x v="1"/>
    <x v="2"/>
    <x v="3"/>
    <x v="2"/>
    <x v="3"/>
    <x v="1"/>
    <x v="5"/>
  </r>
  <r>
    <d v="2016-08-31T17:08:42"/>
    <s v="HELEN JOHANNA "/>
    <s v="PARRA SALGADO"/>
    <n v="52960788"/>
    <s v="CPS"/>
    <s v="Bienestar Institucional"/>
    <d v="2015-02-24T00:00:00"/>
    <s v="Maheny25@hotmail.com"/>
    <x v="0"/>
    <x v="0"/>
    <x v="0"/>
    <x v="0"/>
    <x v="0"/>
    <x v="0"/>
    <x v="1"/>
    <x v="1"/>
    <x v="5"/>
    <x v="3"/>
    <x v="1"/>
    <x v="1"/>
    <x v="0"/>
    <x v="1"/>
    <x v="2"/>
    <x v="2"/>
    <x v="1"/>
    <x v="0"/>
    <x v="0"/>
    <x v="0"/>
    <x v="1"/>
    <x v="1"/>
    <x v="4"/>
    <x v="0"/>
    <x v="2"/>
    <x v="1"/>
    <x v="2"/>
    <x v="0"/>
    <x v="2"/>
    <x v="3"/>
    <x v="2"/>
    <x v="1"/>
    <x v="1"/>
    <x v="3"/>
    <x v="1"/>
    <x v="4"/>
    <x v="4"/>
  </r>
  <r>
    <d v="2016-09-01T09:37:11"/>
    <s v="OLGA LUCIA"/>
    <s v="MONTILLA RODRIGUEZ"/>
    <n v="40417711"/>
    <s v="CPS"/>
    <s v="Quejas y Reclamos"/>
    <d v="2008-08-03T00:00:00"/>
    <s v="olgalmontillar@hotmail.com"/>
    <x v="0"/>
    <x v="1"/>
    <x v="1"/>
    <x v="1"/>
    <x v="1"/>
    <x v="0"/>
    <x v="0"/>
    <x v="5"/>
    <x v="1"/>
    <x v="5"/>
    <x v="3"/>
    <x v="3"/>
    <x v="3"/>
    <x v="5"/>
    <x v="4"/>
    <x v="5"/>
    <x v="4"/>
    <x v="4"/>
    <x v="3"/>
    <x v="3"/>
    <x v="0"/>
    <x v="0"/>
    <x v="0"/>
    <x v="0"/>
    <x v="3"/>
    <x v="4"/>
    <x v="1"/>
    <x v="0"/>
    <x v="2"/>
    <x v="3"/>
    <x v="3"/>
    <x v="3"/>
    <x v="2"/>
    <x v="2"/>
    <x v="5"/>
    <x v="5"/>
    <x v="5"/>
  </r>
  <r>
    <d v="2016-09-01T11:13:27"/>
    <s v="FREDY"/>
    <s v="GARZÓN CARREÑO"/>
    <n v="7333770"/>
    <s v="CPS"/>
    <s v="Laboratorios"/>
    <d v="2016-02-10T00:00:00"/>
    <s v="fg_garagoa@yahoo.com"/>
    <x v="1"/>
    <x v="1"/>
    <x v="2"/>
    <x v="2"/>
    <x v="3"/>
    <x v="2"/>
    <x v="2"/>
    <x v="1"/>
    <x v="5"/>
    <x v="2"/>
    <x v="4"/>
    <x v="5"/>
    <x v="2"/>
    <x v="3"/>
    <x v="1"/>
    <x v="4"/>
    <x v="2"/>
    <x v="2"/>
    <x v="2"/>
    <x v="1"/>
    <x v="0"/>
    <x v="0"/>
    <x v="0"/>
    <x v="0"/>
    <x v="2"/>
    <x v="2"/>
    <x v="2"/>
    <x v="2"/>
    <x v="1"/>
    <x v="1"/>
    <x v="3"/>
    <x v="2"/>
    <x v="3"/>
    <x v="3"/>
    <x v="2"/>
    <x v="3"/>
    <x v="4"/>
  </r>
  <r>
    <d v="2016-09-01T13:02:58"/>
    <s v="DAVID ALEJANDRO"/>
    <s v="AGUILAR ARÉVALO"/>
    <n v="1024557661"/>
    <s v="CPS"/>
    <s v="Laboratorios"/>
    <d v="2014-09-15T00:00:00"/>
    <s v="davidalejandroaguilar@outlook.com"/>
    <x v="2"/>
    <x v="2"/>
    <x v="0"/>
    <x v="1"/>
    <x v="1"/>
    <x v="0"/>
    <x v="0"/>
    <x v="2"/>
    <x v="0"/>
    <x v="3"/>
    <x v="0"/>
    <x v="0"/>
    <x v="2"/>
    <x v="2"/>
    <x v="2"/>
    <x v="0"/>
    <x v="1"/>
    <x v="1"/>
    <x v="1"/>
    <x v="0"/>
    <x v="4"/>
    <x v="1"/>
    <x v="5"/>
    <x v="5"/>
    <x v="0"/>
    <x v="1"/>
    <x v="1"/>
    <x v="2"/>
    <x v="4"/>
    <x v="4"/>
    <x v="1"/>
    <x v="4"/>
    <x v="4"/>
    <x v="3"/>
    <x v="3"/>
    <x v="1"/>
    <x v="1"/>
  </r>
  <r>
    <d v="2016-09-01T15:17:59"/>
    <s v="LUISA FERNANDA"/>
    <s v="VÁSQUEZ OTAVO"/>
    <n v="1024488493"/>
    <s v="CPS"/>
    <s v="Decanatura"/>
    <d v="2013-02-02T00:00:00"/>
    <s v="fernandav_5@hotmail.com"/>
    <x v="0"/>
    <x v="0"/>
    <x v="0"/>
    <x v="0"/>
    <x v="0"/>
    <x v="0"/>
    <x v="0"/>
    <x v="0"/>
    <x v="0"/>
    <x v="3"/>
    <x v="0"/>
    <x v="0"/>
    <x v="2"/>
    <x v="0"/>
    <x v="2"/>
    <x v="0"/>
    <x v="1"/>
    <x v="5"/>
    <x v="4"/>
    <x v="1"/>
    <x v="0"/>
    <x v="5"/>
    <x v="4"/>
    <x v="4"/>
    <x v="0"/>
    <x v="0"/>
    <x v="1"/>
    <x v="0"/>
    <x v="2"/>
    <x v="3"/>
    <x v="0"/>
    <x v="0"/>
    <x v="1"/>
    <x v="1"/>
    <x v="0"/>
    <x v="1"/>
    <x v="0"/>
  </r>
  <r>
    <d v="2016-09-01T17:14:05"/>
    <s v="MARIAM ELIZABETH"/>
    <s v="VERA MORALES"/>
    <n v="52522772"/>
    <s v="CPS"/>
    <s v="Laboratorios"/>
    <d v="2014-01-07T00:00:00"/>
    <s v="milam24.05@gmail.com"/>
    <x v="2"/>
    <x v="2"/>
    <x v="1"/>
    <x v="0"/>
    <x v="5"/>
    <x v="5"/>
    <x v="5"/>
    <x v="4"/>
    <x v="3"/>
    <x v="1"/>
    <x v="2"/>
    <x v="2"/>
    <x v="3"/>
    <x v="5"/>
    <x v="2"/>
    <x v="5"/>
    <x v="1"/>
    <x v="1"/>
    <x v="1"/>
    <x v="3"/>
    <x v="3"/>
    <x v="4"/>
    <x v="3"/>
    <x v="3"/>
    <x v="1"/>
    <x v="1"/>
    <x v="1"/>
    <x v="1"/>
    <x v="1"/>
    <x v="1"/>
    <x v="1"/>
    <x v="1"/>
    <x v="1"/>
    <x v="1"/>
    <x v="3"/>
    <x v="1"/>
    <x v="0"/>
  </r>
  <r>
    <d v="2016-09-02T11:04:17"/>
    <s v="Diana Carolina"/>
    <s v="Rentería Melo"/>
    <n v="1023864551"/>
    <s v="CPS"/>
    <s v="Bienestar Institucional"/>
    <d v="2011-03-28T00:00:00"/>
    <s v="dianarenteria1508@gmail.com"/>
    <x v="2"/>
    <x v="2"/>
    <x v="1"/>
    <x v="0"/>
    <x v="3"/>
    <x v="2"/>
    <x v="2"/>
    <x v="1"/>
    <x v="4"/>
    <x v="1"/>
    <x v="1"/>
    <x v="2"/>
    <x v="1"/>
    <x v="1"/>
    <x v="2"/>
    <x v="1"/>
    <x v="1"/>
    <x v="1"/>
    <x v="1"/>
    <x v="2"/>
    <x v="1"/>
    <x v="0"/>
    <x v="0"/>
    <x v="1"/>
    <x v="0"/>
    <x v="1"/>
    <x v="1"/>
    <x v="0"/>
    <x v="4"/>
    <x v="2"/>
    <x v="1"/>
    <x v="2"/>
    <x v="3"/>
    <x v="3"/>
    <x v="3"/>
    <x v="1"/>
    <x v="4"/>
  </r>
  <r>
    <d v="2016-09-03T15:29:25"/>
    <s v="DIANA ROCIO"/>
    <s v="RAMIREZ LEGUIZAMON"/>
    <n v="53003215"/>
    <s v="CPS"/>
    <s v="Unidad de Extensión"/>
    <d v="2014-11-04T00:00:00"/>
    <s v="dianarramirezl15@gmail.com"/>
    <x v="0"/>
    <x v="0"/>
    <x v="0"/>
    <x v="1"/>
    <x v="3"/>
    <x v="0"/>
    <x v="0"/>
    <x v="2"/>
    <x v="3"/>
    <x v="3"/>
    <x v="2"/>
    <x v="1"/>
    <x v="1"/>
    <x v="2"/>
    <x v="1"/>
    <x v="2"/>
    <x v="2"/>
    <x v="2"/>
    <x v="1"/>
    <x v="2"/>
    <x v="4"/>
    <x v="1"/>
    <x v="5"/>
    <x v="5"/>
    <x v="0"/>
    <x v="0"/>
    <x v="0"/>
    <x v="0"/>
    <x v="4"/>
    <x v="2"/>
    <x v="1"/>
    <x v="2"/>
    <x v="3"/>
    <x v="3"/>
    <x v="3"/>
    <x v="2"/>
    <x v="2"/>
  </r>
  <r>
    <d v="2016-09-08T16:50:16"/>
    <s v="Mónica Patricia"/>
    <s v="Vargas Guarnizo"/>
    <n v="53088941"/>
    <s v="CPS"/>
    <s v="Coordinación Proyectos Curriculares"/>
    <d v="2016-02-01T00:00:00"/>
    <s v="vargasmonica87@gmail.com"/>
    <x v="0"/>
    <x v="1"/>
    <x v="4"/>
    <x v="1"/>
    <x v="0"/>
    <x v="1"/>
    <x v="0"/>
    <x v="1"/>
    <x v="2"/>
    <x v="1"/>
    <x v="1"/>
    <x v="4"/>
    <x v="0"/>
    <x v="2"/>
    <x v="1"/>
    <x v="1"/>
    <x v="1"/>
    <x v="1"/>
    <x v="1"/>
    <x v="0"/>
    <x v="1"/>
    <x v="1"/>
    <x v="5"/>
    <x v="5"/>
    <x v="1"/>
    <x v="1"/>
    <x v="3"/>
    <x v="1"/>
    <x v="1"/>
    <x v="1"/>
    <x v="2"/>
    <x v="1"/>
    <x v="3"/>
    <x v="3"/>
    <x v="3"/>
    <x v="2"/>
    <x v="1"/>
  </r>
  <r>
    <d v="2016-09-12T17:53:02"/>
    <s v="JENNIFER"/>
    <s v="MEDINA WALTEROS"/>
    <n v="1032378957"/>
    <s v="CPS"/>
    <s v="Coordinación Proyectos Curriculares"/>
    <d v="2009-02-02T00:00:00"/>
    <s v="jmw2586@hotmail.com"/>
    <x v="1"/>
    <x v="0"/>
    <x v="0"/>
    <x v="0"/>
    <x v="0"/>
    <x v="0"/>
    <x v="0"/>
    <x v="0"/>
    <x v="0"/>
    <x v="3"/>
    <x v="2"/>
    <x v="1"/>
    <x v="2"/>
    <x v="2"/>
    <x v="1"/>
    <x v="2"/>
    <x v="0"/>
    <x v="0"/>
    <x v="0"/>
    <x v="1"/>
    <x v="0"/>
    <x v="0"/>
    <x v="1"/>
    <x v="0"/>
    <x v="1"/>
    <x v="0"/>
    <x v="1"/>
    <x v="0"/>
    <x v="1"/>
    <x v="1"/>
    <x v="2"/>
    <x v="0"/>
    <x v="1"/>
    <x v="1"/>
    <x v="3"/>
    <x v="2"/>
    <x v="2"/>
  </r>
  <r>
    <d v="2016-09-13T13:41:11"/>
    <s v="PATRICIA "/>
    <s v="ORTIZ FOGLIA"/>
    <n v="39700943"/>
    <s v="CPS"/>
    <s v="Biblioteca"/>
    <d v="1998-07-25T00:00:00"/>
    <s v="patofoglia2@hotmail.com"/>
    <x v="0"/>
    <x v="0"/>
    <x v="0"/>
    <x v="0"/>
    <x v="3"/>
    <x v="2"/>
    <x v="4"/>
    <x v="2"/>
    <x v="5"/>
    <x v="2"/>
    <x v="3"/>
    <x v="2"/>
    <x v="3"/>
    <x v="5"/>
    <x v="2"/>
    <x v="0"/>
    <x v="0"/>
    <x v="0"/>
    <x v="1"/>
    <x v="2"/>
    <x v="3"/>
    <x v="4"/>
    <x v="4"/>
    <x v="1"/>
    <x v="0"/>
    <x v="0"/>
    <x v="0"/>
    <x v="0"/>
    <x v="4"/>
    <x v="2"/>
    <x v="3"/>
    <x v="2"/>
    <x v="2"/>
    <x v="2"/>
    <x v="3"/>
    <x v="3"/>
    <x v="0"/>
  </r>
  <r>
    <d v="2016-09-13T13:47:54"/>
    <s v="lina"/>
    <s v="vargas"/>
    <n v="1015996262"/>
    <s v="CPS"/>
    <s v="Biblioteca"/>
    <d v="2014-04-14T00:00:00"/>
    <s v="lmvargasm@udistrital.edu.co"/>
    <x v="0"/>
    <x v="0"/>
    <x v="0"/>
    <x v="0"/>
    <x v="0"/>
    <x v="0"/>
    <x v="0"/>
    <x v="2"/>
    <x v="2"/>
    <x v="0"/>
    <x v="0"/>
    <x v="0"/>
    <x v="2"/>
    <x v="0"/>
    <x v="0"/>
    <x v="0"/>
    <x v="5"/>
    <x v="5"/>
    <x v="4"/>
    <x v="1"/>
    <x v="5"/>
    <x v="5"/>
    <x v="4"/>
    <x v="4"/>
    <x v="0"/>
    <x v="0"/>
    <x v="0"/>
    <x v="0"/>
    <x v="0"/>
    <x v="0"/>
    <x v="0"/>
    <x v="0"/>
    <x v="0"/>
    <x v="0"/>
    <x v="0"/>
    <x v="0"/>
    <x v="0"/>
  </r>
  <r>
    <d v="2016-09-13T15:09:59"/>
    <s v="ELIZABETH"/>
    <s v="BERMUDEZ RODRIGUEZ"/>
    <n v="52879417"/>
    <s v="CPS"/>
    <s v="Coordinación Proyectos Curriculares"/>
    <d v="2016-01-28T00:00:00"/>
    <s v="bermudez41@hotmail.com"/>
    <x v="1"/>
    <x v="1"/>
    <x v="1"/>
    <x v="0"/>
    <x v="1"/>
    <x v="0"/>
    <x v="0"/>
    <x v="1"/>
    <x v="2"/>
    <x v="1"/>
    <x v="2"/>
    <x v="1"/>
    <x v="2"/>
    <x v="1"/>
    <x v="2"/>
    <x v="1"/>
    <x v="0"/>
    <x v="5"/>
    <x v="0"/>
    <x v="1"/>
    <x v="0"/>
    <x v="0"/>
    <x v="0"/>
    <x v="0"/>
    <x v="0"/>
    <x v="1"/>
    <x v="0"/>
    <x v="1"/>
    <x v="0"/>
    <x v="0"/>
    <x v="2"/>
    <x v="2"/>
    <x v="1"/>
    <x v="1"/>
    <x v="3"/>
    <x v="1"/>
    <x v="4"/>
  </r>
  <r>
    <d v="2016-09-13T15:11:51"/>
    <s v="RAFAEL ENRIQUE"/>
    <s v="FERNÁNDEZ CASTILLO"/>
    <n v="79769053"/>
    <s v="CPS"/>
    <s v="Coordinación Proyectos Curriculares"/>
    <d v="2004-10-01T00:00:00"/>
    <s v="RAFEC28@GMAIL.COM"/>
    <x v="0"/>
    <x v="2"/>
    <x v="0"/>
    <x v="0"/>
    <x v="1"/>
    <x v="0"/>
    <x v="0"/>
    <x v="0"/>
    <x v="0"/>
    <x v="1"/>
    <x v="1"/>
    <x v="2"/>
    <x v="0"/>
    <x v="2"/>
    <x v="1"/>
    <x v="1"/>
    <x v="2"/>
    <x v="2"/>
    <x v="1"/>
    <x v="0"/>
    <x v="4"/>
    <x v="3"/>
    <x v="1"/>
    <x v="1"/>
    <x v="0"/>
    <x v="0"/>
    <x v="1"/>
    <x v="0"/>
    <x v="3"/>
    <x v="5"/>
    <x v="2"/>
    <x v="1"/>
    <x v="1"/>
    <x v="1"/>
    <x v="2"/>
    <x v="2"/>
    <x v="2"/>
  </r>
  <r>
    <d v="2016-09-13T15:22:47"/>
    <s v="CLAUDIA MILENA"/>
    <s v="PINZON GOMEZ"/>
    <n v="52488447"/>
    <s v="CPS"/>
    <s v="Bienestar Institucional"/>
    <d v="2015-03-01T00:00:00"/>
    <s v="claumilena02@gmail.com"/>
    <x v="4"/>
    <x v="4"/>
    <x v="1"/>
    <x v="1"/>
    <x v="2"/>
    <x v="5"/>
    <x v="5"/>
    <x v="5"/>
    <x v="1"/>
    <x v="5"/>
    <x v="3"/>
    <x v="3"/>
    <x v="3"/>
    <x v="5"/>
    <x v="4"/>
    <x v="5"/>
    <x v="4"/>
    <x v="0"/>
    <x v="0"/>
    <x v="0"/>
    <x v="1"/>
    <x v="0"/>
    <x v="0"/>
    <x v="0"/>
    <x v="1"/>
    <x v="4"/>
    <x v="4"/>
    <x v="3"/>
    <x v="5"/>
    <x v="4"/>
    <x v="4"/>
    <x v="4"/>
    <x v="3"/>
    <x v="1"/>
    <x v="3"/>
    <x v="1"/>
    <x v="1"/>
  </r>
  <r>
    <d v="2016-09-13T15:25:58"/>
    <s v="LUIS ANTONIO"/>
    <s v="CASTRO RODRÍGUEZ"/>
    <n v="1032386966"/>
    <s v="CPS"/>
    <s v="Laboratorios"/>
    <d v="8201-09-05T00:00:00"/>
    <s v="INDIOLUI@GMAIL.COM"/>
    <x v="0"/>
    <x v="2"/>
    <x v="0"/>
    <x v="3"/>
    <x v="0"/>
    <x v="0"/>
    <x v="0"/>
    <x v="0"/>
    <x v="0"/>
    <x v="2"/>
    <x v="0"/>
    <x v="0"/>
    <x v="4"/>
    <x v="4"/>
    <x v="0"/>
    <x v="4"/>
    <x v="1"/>
    <x v="3"/>
    <x v="5"/>
    <x v="3"/>
    <x v="5"/>
    <x v="5"/>
    <x v="2"/>
    <x v="2"/>
    <x v="2"/>
    <x v="2"/>
    <x v="2"/>
    <x v="0"/>
    <x v="1"/>
    <x v="1"/>
    <x v="5"/>
    <x v="5"/>
    <x v="0"/>
    <x v="0"/>
    <x v="3"/>
    <x v="3"/>
    <x v="1"/>
  </r>
  <r>
    <d v="2016-09-13T15:25:46"/>
    <s v="CAMILO"/>
    <s v="RODRIGUEZ GOMEZ"/>
    <n v="79741766"/>
    <s v="CPS"/>
    <s v="Laboratorios"/>
    <d v="2014-02-06T00:00:00"/>
    <s v="KOKOL_UD@HOTMAIL.COM"/>
    <x v="1"/>
    <x v="2"/>
    <x v="0"/>
    <x v="2"/>
    <x v="1"/>
    <x v="1"/>
    <x v="0"/>
    <x v="1"/>
    <x v="0"/>
    <x v="1"/>
    <x v="2"/>
    <x v="1"/>
    <x v="2"/>
    <x v="1"/>
    <x v="2"/>
    <x v="1"/>
    <x v="1"/>
    <x v="0"/>
    <x v="1"/>
    <x v="1"/>
    <x v="1"/>
    <x v="1"/>
    <x v="0"/>
    <x v="4"/>
    <x v="0"/>
    <x v="1"/>
    <x v="1"/>
    <x v="1"/>
    <x v="4"/>
    <x v="2"/>
    <x v="1"/>
    <x v="2"/>
    <x v="3"/>
    <x v="3"/>
    <x v="3"/>
    <x v="1"/>
    <x v="4"/>
  </r>
  <r>
    <d v="2016-09-13T15:30:03"/>
    <s v="Milton "/>
    <s v="Mena"/>
    <n v="94379661"/>
    <s v="Planta"/>
    <s v="Laboratorios"/>
    <d v="2011-01-11T00:00:00"/>
    <s v="miltonmenas@yahoo.es"/>
    <x v="0"/>
    <x v="0"/>
    <x v="1"/>
    <x v="1"/>
    <x v="3"/>
    <x v="1"/>
    <x v="1"/>
    <x v="1"/>
    <x v="2"/>
    <x v="1"/>
    <x v="1"/>
    <x v="2"/>
    <x v="0"/>
    <x v="1"/>
    <x v="2"/>
    <x v="2"/>
    <x v="1"/>
    <x v="1"/>
    <x v="2"/>
    <x v="2"/>
    <x v="1"/>
    <x v="1"/>
    <x v="0"/>
    <x v="1"/>
    <x v="1"/>
    <x v="1"/>
    <x v="2"/>
    <x v="1"/>
    <x v="4"/>
    <x v="2"/>
    <x v="1"/>
    <x v="1"/>
    <x v="1"/>
    <x v="1"/>
    <x v="3"/>
    <x v="1"/>
    <x v="1"/>
  </r>
  <r>
    <d v="2016-09-13T15:39:09"/>
    <s v="JUAN PABLO "/>
    <s v="CASTRO BONILLA"/>
    <n v="79736150"/>
    <s v="CPS"/>
    <s v="Laboratorios"/>
    <d v="2014-02-10T00:00:00"/>
    <s v="jotacastro1973@gmail.com"/>
    <x v="0"/>
    <x v="0"/>
    <x v="1"/>
    <x v="1"/>
    <x v="3"/>
    <x v="0"/>
    <x v="0"/>
    <x v="1"/>
    <x v="0"/>
    <x v="4"/>
    <x v="4"/>
    <x v="4"/>
    <x v="2"/>
    <x v="0"/>
    <x v="0"/>
    <x v="1"/>
    <x v="3"/>
    <x v="1"/>
    <x v="1"/>
    <x v="1"/>
    <x v="1"/>
    <x v="1"/>
    <x v="4"/>
    <x v="1"/>
    <x v="0"/>
    <x v="0"/>
    <x v="0"/>
    <x v="0"/>
    <x v="5"/>
    <x v="2"/>
    <x v="2"/>
    <x v="1"/>
    <x v="1"/>
    <x v="1"/>
    <x v="2"/>
    <x v="2"/>
    <x v="2"/>
  </r>
  <r>
    <d v="2016-09-13T15:51:30"/>
    <s v="Judy Marcela "/>
    <s v="Moreno Ospina"/>
    <n v="1024471035"/>
    <s v="CPS"/>
    <s v="Laboratorios"/>
    <d v="2012-03-20T00:00:00"/>
    <s v="maye156@gmail.com"/>
    <x v="0"/>
    <x v="0"/>
    <x v="0"/>
    <x v="1"/>
    <x v="1"/>
    <x v="0"/>
    <x v="0"/>
    <x v="1"/>
    <x v="0"/>
    <x v="4"/>
    <x v="1"/>
    <x v="4"/>
    <x v="2"/>
    <x v="2"/>
    <x v="0"/>
    <x v="2"/>
    <x v="1"/>
    <x v="1"/>
    <x v="1"/>
    <x v="1"/>
    <x v="1"/>
    <x v="5"/>
    <x v="0"/>
    <x v="0"/>
    <x v="0"/>
    <x v="0"/>
    <x v="0"/>
    <x v="0"/>
    <x v="2"/>
    <x v="3"/>
    <x v="0"/>
    <x v="1"/>
    <x v="3"/>
    <x v="0"/>
    <x v="3"/>
    <x v="2"/>
    <x v="1"/>
  </r>
  <r>
    <d v="2016-09-13T15:59:55"/>
    <s v="Ingrid Julieth"/>
    <s v="Velásquez Artunduaga"/>
    <n v="1024501542"/>
    <s v="CPS"/>
    <s v="Laboratorios"/>
    <d v="2015-12-01T00:00:00"/>
    <s v="ingridjulieth20@gmail.com"/>
    <x v="1"/>
    <x v="1"/>
    <x v="0"/>
    <x v="0"/>
    <x v="3"/>
    <x v="0"/>
    <x v="0"/>
    <x v="1"/>
    <x v="2"/>
    <x v="3"/>
    <x v="2"/>
    <x v="1"/>
    <x v="0"/>
    <x v="1"/>
    <x v="2"/>
    <x v="1"/>
    <x v="0"/>
    <x v="0"/>
    <x v="0"/>
    <x v="0"/>
    <x v="1"/>
    <x v="0"/>
    <x v="0"/>
    <x v="0"/>
    <x v="0"/>
    <x v="1"/>
    <x v="1"/>
    <x v="1"/>
    <x v="2"/>
    <x v="3"/>
    <x v="2"/>
    <x v="1"/>
    <x v="1"/>
    <x v="1"/>
    <x v="1"/>
    <x v="4"/>
    <x v="4"/>
  </r>
  <r>
    <d v="2016-09-13T16:04:08"/>
    <s v="WILSON EDUARDO"/>
    <s v="GUEVARA MEJÍA"/>
    <n v="79807540"/>
    <s v="CPS"/>
    <s v="Unidad de Extensión"/>
    <d v="2012-02-16T00:00:00"/>
    <s v="wegm.udistrital@gmail.com"/>
    <x v="2"/>
    <x v="2"/>
    <x v="2"/>
    <x v="2"/>
    <x v="2"/>
    <x v="1"/>
    <x v="2"/>
    <x v="1"/>
    <x v="5"/>
    <x v="3"/>
    <x v="2"/>
    <x v="2"/>
    <x v="0"/>
    <x v="1"/>
    <x v="2"/>
    <x v="1"/>
    <x v="1"/>
    <x v="1"/>
    <x v="1"/>
    <x v="0"/>
    <x v="0"/>
    <x v="0"/>
    <x v="0"/>
    <x v="0"/>
    <x v="1"/>
    <x v="1"/>
    <x v="1"/>
    <x v="1"/>
    <x v="2"/>
    <x v="3"/>
    <x v="2"/>
    <x v="1"/>
    <x v="1"/>
    <x v="1"/>
    <x v="1"/>
    <x v="4"/>
    <x v="1"/>
  </r>
  <r>
    <d v="2016-09-13T16:05:34"/>
    <s v="Jorge Enrique"/>
    <s v="Muñoz Barragán"/>
    <n v="1069738168"/>
    <s v="CPS"/>
    <s v="Laboratorios"/>
    <d v="2014-02-02T00:00:00"/>
    <s v="jemunozb@gmail.com"/>
    <x v="1"/>
    <x v="1"/>
    <x v="1"/>
    <x v="1"/>
    <x v="3"/>
    <x v="0"/>
    <x v="1"/>
    <x v="0"/>
    <x v="2"/>
    <x v="1"/>
    <x v="1"/>
    <x v="2"/>
    <x v="2"/>
    <x v="1"/>
    <x v="2"/>
    <x v="2"/>
    <x v="1"/>
    <x v="1"/>
    <x v="0"/>
    <x v="1"/>
    <x v="1"/>
    <x v="1"/>
    <x v="1"/>
    <x v="1"/>
    <x v="1"/>
    <x v="1"/>
    <x v="1"/>
    <x v="0"/>
    <x v="2"/>
    <x v="3"/>
    <x v="2"/>
    <x v="1"/>
    <x v="1"/>
    <x v="1"/>
    <x v="1"/>
    <x v="4"/>
    <x v="4"/>
  </r>
  <r>
    <d v="2016-09-13T16:11:53"/>
    <s v="WILSON"/>
    <s v="VASQUEZ"/>
    <n v="80161326"/>
    <s v="CPS"/>
    <s v="Recursos Físicos"/>
    <d v="2008-05-05T00:00:00"/>
    <s v="willand_v@hotmail.com"/>
    <x v="1"/>
    <x v="1"/>
    <x v="1"/>
    <x v="1"/>
    <x v="1"/>
    <x v="1"/>
    <x v="1"/>
    <x v="1"/>
    <x v="2"/>
    <x v="4"/>
    <x v="1"/>
    <x v="2"/>
    <x v="2"/>
    <x v="2"/>
    <x v="1"/>
    <x v="4"/>
    <x v="3"/>
    <x v="2"/>
    <x v="1"/>
    <x v="2"/>
    <x v="1"/>
    <x v="3"/>
    <x v="5"/>
    <x v="5"/>
    <x v="2"/>
    <x v="3"/>
    <x v="2"/>
    <x v="1"/>
    <x v="4"/>
    <x v="2"/>
    <x v="1"/>
    <x v="2"/>
    <x v="3"/>
    <x v="1"/>
    <x v="3"/>
    <x v="2"/>
    <x v="2"/>
  </r>
  <r>
    <d v="2016-09-13T16:13:45"/>
    <s v="CRISTIAN CAMILO "/>
    <s v="CUELLAR TEJADA"/>
    <n v="1033737698"/>
    <s v="CPS"/>
    <s v="Laboratorios"/>
    <d v="2016-02-02T00:00:00"/>
    <s v="cristianccuellar@gmail.com"/>
    <x v="0"/>
    <x v="0"/>
    <x v="1"/>
    <x v="2"/>
    <x v="1"/>
    <x v="0"/>
    <x v="1"/>
    <x v="2"/>
    <x v="0"/>
    <x v="1"/>
    <x v="1"/>
    <x v="2"/>
    <x v="2"/>
    <x v="2"/>
    <x v="2"/>
    <x v="1"/>
    <x v="1"/>
    <x v="1"/>
    <x v="1"/>
    <x v="1"/>
    <x v="3"/>
    <x v="1"/>
    <x v="1"/>
    <x v="1"/>
    <x v="1"/>
    <x v="1"/>
    <x v="1"/>
    <x v="0"/>
    <x v="0"/>
    <x v="0"/>
    <x v="1"/>
    <x v="2"/>
    <x v="1"/>
    <x v="3"/>
    <x v="3"/>
    <x v="1"/>
    <x v="1"/>
  </r>
  <r>
    <d v="2016-09-14T11:40:06"/>
    <s v="CARLOS FERNANDO "/>
    <s v="WILCHES CAÑON"/>
    <n v="1031126420"/>
    <s v="CPS"/>
    <s v="Unidad de Extensión"/>
    <d v="2014-10-08T00:00:00"/>
    <s v="wilches2355@gmail.com"/>
    <x v="5"/>
    <x v="2"/>
    <x v="1"/>
    <x v="1"/>
    <x v="4"/>
    <x v="3"/>
    <x v="3"/>
    <x v="3"/>
    <x v="3"/>
    <x v="5"/>
    <x v="3"/>
    <x v="3"/>
    <x v="3"/>
    <x v="5"/>
    <x v="4"/>
    <x v="5"/>
    <x v="4"/>
    <x v="4"/>
    <x v="3"/>
    <x v="3"/>
    <x v="3"/>
    <x v="4"/>
    <x v="0"/>
    <x v="3"/>
    <x v="2"/>
    <x v="4"/>
    <x v="1"/>
    <x v="0"/>
    <x v="2"/>
    <x v="1"/>
    <x v="3"/>
    <x v="3"/>
    <x v="2"/>
    <x v="2"/>
    <x v="5"/>
    <x v="5"/>
    <x v="5"/>
  </r>
  <r>
    <d v="2016-09-14T13:48:08"/>
    <s v="PATRICIA"/>
    <s v="ORTIZ FOGLIA"/>
    <n v="39700943"/>
    <s v="CPS"/>
    <s v="Biblioteca"/>
    <d v="2016-09-14T00:00:00"/>
    <s v="portizf@udistrital.edu.co"/>
    <x v="0"/>
    <x v="0"/>
    <x v="0"/>
    <x v="0"/>
    <x v="3"/>
    <x v="2"/>
    <x v="2"/>
    <x v="2"/>
    <x v="5"/>
    <x v="1"/>
    <x v="3"/>
    <x v="3"/>
    <x v="1"/>
    <x v="0"/>
    <x v="0"/>
    <x v="2"/>
    <x v="3"/>
    <x v="1"/>
    <x v="1"/>
    <x v="1"/>
    <x v="1"/>
    <x v="1"/>
    <x v="1"/>
    <x v="4"/>
    <x v="0"/>
    <x v="0"/>
    <x v="0"/>
    <x v="0"/>
    <x v="4"/>
    <x v="1"/>
    <x v="1"/>
    <x v="2"/>
    <x v="2"/>
    <x v="2"/>
    <x v="3"/>
    <x v="1"/>
    <x v="1"/>
  </r>
  <r>
    <d v="2016-09-14T13:54:57"/>
    <s v="HECTOR IVAN"/>
    <s v="TANGARIFE"/>
    <n v="3013802211"/>
    <s v="CPS"/>
    <s v="Laboratorios"/>
    <d v="2015-08-01T00:00:00"/>
    <s v="hte343@gmail.com"/>
    <x v="2"/>
    <x v="1"/>
    <x v="0"/>
    <x v="2"/>
    <x v="1"/>
    <x v="0"/>
    <x v="0"/>
    <x v="3"/>
    <x v="3"/>
    <x v="2"/>
    <x v="1"/>
    <x v="2"/>
    <x v="1"/>
    <x v="3"/>
    <x v="3"/>
    <x v="3"/>
    <x v="1"/>
    <x v="2"/>
    <x v="0"/>
    <x v="2"/>
    <x v="4"/>
    <x v="3"/>
    <x v="5"/>
    <x v="5"/>
    <x v="2"/>
    <x v="1"/>
    <x v="1"/>
    <x v="1"/>
    <x v="4"/>
    <x v="4"/>
    <x v="4"/>
    <x v="1"/>
    <x v="1"/>
    <x v="3"/>
    <x v="3"/>
    <x v="1"/>
    <x v="1"/>
  </r>
  <r>
    <d v="2016-09-15T13:58:52"/>
    <s v="Maria Alejandra"/>
    <s v="Bonilla Díaz"/>
    <n v="1024543666"/>
    <s v="CPS"/>
    <s v="Laboratorios"/>
    <d v="2015-09-03T00:00:00"/>
    <s v="malejabonillad@gmail.com"/>
    <x v="1"/>
    <x v="1"/>
    <x v="2"/>
    <x v="2"/>
    <x v="3"/>
    <x v="1"/>
    <x v="1"/>
    <x v="2"/>
    <x v="5"/>
    <x v="3"/>
    <x v="2"/>
    <x v="1"/>
    <x v="0"/>
    <x v="1"/>
    <x v="2"/>
    <x v="2"/>
    <x v="5"/>
    <x v="5"/>
    <x v="0"/>
    <x v="0"/>
    <x v="1"/>
    <x v="1"/>
    <x v="1"/>
    <x v="0"/>
    <x v="2"/>
    <x v="1"/>
    <x v="1"/>
    <x v="0"/>
    <x v="5"/>
    <x v="4"/>
    <x v="2"/>
    <x v="1"/>
    <x v="1"/>
    <x v="1"/>
    <x v="1"/>
    <x v="4"/>
    <x v="4"/>
  </r>
  <r>
    <d v="2016-09-15T14:46:32"/>
    <s v="GLORIA M. "/>
    <s v="ARANGUREN YAZO"/>
    <n v="20470593"/>
    <s v="Planta"/>
    <s v="Biblioteca"/>
    <d v="1996-10-02T00:00:00"/>
    <s v="garangureny@udistrital.edu.co"/>
    <x v="1"/>
    <x v="1"/>
    <x v="1"/>
    <x v="1"/>
    <x v="3"/>
    <x v="2"/>
    <x v="2"/>
    <x v="2"/>
    <x v="5"/>
    <x v="1"/>
    <x v="1"/>
    <x v="2"/>
    <x v="1"/>
    <x v="2"/>
    <x v="1"/>
    <x v="2"/>
    <x v="1"/>
    <x v="1"/>
    <x v="1"/>
    <x v="2"/>
    <x v="1"/>
    <x v="1"/>
    <x v="1"/>
    <x v="1"/>
    <x v="2"/>
    <x v="2"/>
    <x v="2"/>
    <x v="2"/>
    <x v="4"/>
    <x v="2"/>
    <x v="1"/>
    <x v="2"/>
    <x v="3"/>
    <x v="3"/>
    <x v="3"/>
    <x v="1"/>
    <x v="1"/>
  </r>
  <r>
    <d v="2016-09-15T20:52:33"/>
    <s v="WILLIAM "/>
    <s v="RIOS RODRIGUEZ"/>
    <n v="80026180"/>
    <s v="CPS"/>
    <s v="Bienestar Institucional"/>
    <d v="2016-02-04T00:00:00"/>
    <s v="wrios10@yahoo.es"/>
    <x v="0"/>
    <x v="0"/>
    <x v="2"/>
    <x v="2"/>
    <x v="0"/>
    <x v="2"/>
    <x v="2"/>
    <x v="2"/>
    <x v="2"/>
    <x v="5"/>
    <x v="3"/>
    <x v="3"/>
    <x v="3"/>
    <x v="5"/>
    <x v="4"/>
    <x v="1"/>
    <x v="0"/>
    <x v="0"/>
    <x v="1"/>
    <x v="0"/>
    <x v="5"/>
    <x v="5"/>
    <x v="4"/>
    <x v="4"/>
    <x v="0"/>
    <x v="0"/>
    <x v="0"/>
    <x v="0"/>
    <x v="4"/>
    <x v="2"/>
    <x v="1"/>
    <x v="2"/>
    <x v="1"/>
    <x v="1"/>
    <x v="3"/>
    <x v="1"/>
    <x v="4"/>
  </r>
  <r>
    <d v="2016-09-16T09:03:27"/>
    <s v="john jairo "/>
    <s v="sanchez"/>
    <n v="79409532"/>
    <s v="CPS"/>
    <s v="Laboratorios"/>
    <d v="2010-08-10T00:00:00"/>
    <s v="johnsons302000@gmail.con"/>
    <x v="1"/>
    <x v="1"/>
    <x v="0"/>
    <x v="1"/>
    <x v="3"/>
    <x v="0"/>
    <x v="2"/>
    <x v="1"/>
    <x v="2"/>
    <x v="4"/>
    <x v="4"/>
    <x v="2"/>
    <x v="2"/>
    <x v="3"/>
    <x v="1"/>
    <x v="2"/>
    <x v="1"/>
    <x v="1"/>
    <x v="1"/>
    <x v="1"/>
    <x v="1"/>
    <x v="1"/>
    <x v="0"/>
    <x v="1"/>
    <x v="1"/>
    <x v="0"/>
    <x v="0"/>
    <x v="0"/>
    <x v="2"/>
    <x v="3"/>
    <x v="2"/>
    <x v="2"/>
    <x v="3"/>
    <x v="1"/>
    <x v="3"/>
    <x v="1"/>
    <x v="1"/>
  </r>
  <r>
    <d v="2016-09-16T10:32:10"/>
    <s v="Raúl Ernesto"/>
    <s v="Montaña Parra"/>
    <n v="1013622686"/>
    <s v="CPS"/>
    <s v="Laboratorios"/>
    <d v="2015-09-15T00:00:00"/>
    <s v="raermonpa@hotmail.com"/>
    <x v="2"/>
    <x v="3"/>
    <x v="0"/>
    <x v="1"/>
    <x v="1"/>
    <x v="0"/>
    <x v="1"/>
    <x v="1"/>
    <x v="2"/>
    <x v="1"/>
    <x v="0"/>
    <x v="1"/>
    <x v="2"/>
    <x v="1"/>
    <x v="0"/>
    <x v="2"/>
    <x v="1"/>
    <x v="1"/>
    <x v="0"/>
    <x v="1"/>
    <x v="3"/>
    <x v="0"/>
    <x v="0"/>
    <x v="3"/>
    <x v="0"/>
    <x v="0"/>
    <x v="0"/>
    <x v="0"/>
    <x v="2"/>
    <x v="2"/>
    <x v="1"/>
    <x v="2"/>
    <x v="3"/>
    <x v="1"/>
    <x v="1"/>
    <x v="1"/>
    <x v="1"/>
  </r>
  <r>
    <d v="2016-09-16T12:32:25"/>
    <s v="HECTOR P. "/>
    <s v="SANCHEZ SANCHEZ"/>
    <n v="17016362"/>
    <s v="CPS"/>
    <s v="Laboratorios"/>
    <d v="1997-01-15T00:00:00"/>
    <s v="labtecmecanica@udistrital.edu.co"/>
    <x v="0"/>
    <x v="0"/>
    <x v="0"/>
    <x v="0"/>
    <x v="0"/>
    <x v="0"/>
    <x v="0"/>
    <x v="0"/>
    <x v="0"/>
    <x v="3"/>
    <x v="2"/>
    <x v="2"/>
    <x v="2"/>
    <x v="0"/>
    <x v="0"/>
    <x v="1"/>
    <x v="5"/>
    <x v="5"/>
    <x v="4"/>
    <x v="1"/>
    <x v="5"/>
    <x v="5"/>
    <x v="4"/>
    <x v="4"/>
    <x v="0"/>
    <x v="0"/>
    <x v="0"/>
    <x v="0"/>
    <x v="0"/>
    <x v="0"/>
    <x v="0"/>
    <x v="0"/>
    <x v="0"/>
    <x v="0"/>
    <x v="0"/>
    <x v="4"/>
    <x v="0"/>
  </r>
  <r>
    <d v="2016-09-16T14:49:34"/>
    <s v="ROSA ISABEL "/>
    <s v="CORTES P."/>
    <n v="20885480"/>
    <s v="Planta"/>
    <s v="Biblioteca"/>
    <d v="1997-06-19T00:00:00"/>
    <s v="biblioteca-tecnologica@udistrital.edu.co"/>
    <x v="3"/>
    <x v="3"/>
    <x v="4"/>
    <x v="3"/>
    <x v="2"/>
    <x v="4"/>
    <x v="4"/>
    <x v="0"/>
    <x v="1"/>
    <x v="5"/>
    <x v="5"/>
    <x v="3"/>
    <x v="4"/>
    <x v="4"/>
    <x v="5"/>
    <x v="4"/>
    <x v="4"/>
    <x v="0"/>
    <x v="3"/>
    <x v="5"/>
    <x v="0"/>
    <x v="1"/>
    <x v="4"/>
    <x v="2"/>
    <x v="4"/>
    <x v="5"/>
    <x v="4"/>
    <x v="4"/>
    <x v="4"/>
    <x v="1"/>
    <x v="2"/>
    <x v="0"/>
    <x v="1"/>
    <x v="1"/>
    <x v="1"/>
    <x v="4"/>
    <x v="4"/>
  </r>
  <r>
    <d v="2016-09-16T14:59:50"/>
    <s v="RAFAEL FERNANDO"/>
    <s v="POLO GARCÍA"/>
    <n v="19376389"/>
    <s v="Planta"/>
    <s v="Biblioteca"/>
    <d v="1990-03-22T00:00:00"/>
    <s v="rfpolog@udistrital.edu.co"/>
    <x v="1"/>
    <x v="1"/>
    <x v="4"/>
    <x v="3"/>
    <x v="2"/>
    <x v="4"/>
    <x v="4"/>
    <x v="5"/>
    <x v="1"/>
    <x v="3"/>
    <x v="2"/>
    <x v="1"/>
    <x v="0"/>
    <x v="1"/>
    <x v="2"/>
    <x v="1"/>
    <x v="0"/>
    <x v="0"/>
    <x v="0"/>
    <x v="0"/>
    <x v="0"/>
    <x v="0"/>
    <x v="0"/>
    <x v="0"/>
    <x v="1"/>
    <x v="3"/>
    <x v="1"/>
    <x v="0"/>
    <x v="2"/>
    <x v="3"/>
    <x v="2"/>
    <x v="1"/>
    <x v="1"/>
    <x v="1"/>
    <x v="1"/>
    <x v="4"/>
    <x v="4"/>
  </r>
  <r>
    <d v="2016-09-16T15:07:32"/>
    <s v="CARLOS ANDRES"/>
    <s v="ROMERO ARIZA"/>
    <n v="1016003847"/>
    <s v="CPS"/>
    <s v="Laboratorios"/>
    <d v="2012-03-15T00:00:00"/>
    <s v="CA-ROMERO-A@HOTMAIL.COM"/>
    <x v="2"/>
    <x v="1"/>
    <x v="2"/>
    <x v="2"/>
    <x v="2"/>
    <x v="0"/>
    <x v="0"/>
    <x v="3"/>
    <x v="4"/>
    <x v="4"/>
    <x v="1"/>
    <x v="4"/>
    <x v="0"/>
    <x v="2"/>
    <x v="2"/>
    <x v="3"/>
    <x v="2"/>
    <x v="2"/>
    <x v="2"/>
    <x v="0"/>
    <x v="4"/>
    <x v="3"/>
    <x v="5"/>
    <x v="0"/>
    <x v="1"/>
    <x v="2"/>
    <x v="1"/>
    <x v="0"/>
    <x v="0"/>
    <x v="1"/>
    <x v="2"/>
    <x v="1"/>
    <x v="1"/>
    <x v="0"/>
    <x v="1"/>
    <x v="2"/>
    <x v="4"/>
  </r>
  <r>
    <d v="2016-09-16T15:11:55"/>
    <s v="EDGAR"/>
    <s v="RONCANCIO "/>
    <n v="79728604"/>
    <s v="CPS"/>
    <s v="Laboratorios"/>
    <d v="2013-08-01T00:00:00"/>
    <s v="tafur79@gmail.com"/>
    <x v="2"/>
    <x v="3"/>
    <x v="1"/>
    <x v="2"/>
    <x v="5"/>
    <x v="5"/>
    <x v="5"/>
    <x v="1"/>
    <x v="0"/>
    <x v="4"/>
    <x v="1"/>
    <x v="2"/>
    <x v="3"/>
    <x v="2"/>
    <x v="1"/>
    <x v="3"/>
    <x v="1"/>
    <x v="1"/>
    <x v="1"/>
    <x v="2"/>
    <x v="1"/>
    <x v="1"/>
    <x v="0"/>
    <x v="3"/>
    <x v="0"/>
    <x v="2"/>
    <x v="1"/>
    <x v="1"/>
    <x v="4"/>
    <x v="3"/>
    <x v="1"/>
    <x v="2"/>
    <x v="1"/>
    <x v="1"/>
    <x v="3"/>
    <x v="1"/>
    <x v="1"/>
  </r>
  <r>
    <d v="2016-09-16T15:18:59"/>
    <s v="NICOLAS GABRIEL"/>
    <s v="MUÑOZ BELLO"/>
    <n v="1024498949"/>
    <s v="CPS"/>
    <s v="Unidad de Extensión"/>
    <d v="2011-09-15T00:00:00"/>
    <s v="labresistenciaud@gmail.com"/>
    <x v="1"/>
    <x v="0"/>
    <x v="0"/>
    <x v="0"/>
    <x v="1"/>
    <x v="0"/>
    <x v="0"/>
    <x v="1"/>
    <x v="0"/>
    <x v="0"/>
    <x v="0"/>
    <x v="1"/>
    <x v="2"/>
    <x v="1"/>
    <x v="2"/>
    <x v="1"/>
    <x v="0"/>
    <x v="0"/>
    <x v="0"/>
    <x v="0"/>
    <x v="0"/>
    <x v="0"/>
    <x v="0"/>
    <x v="0"/>
    <x v="1"/>
    <x v="1"/>
    <x v="1"/>
    <x v="0"/>
    <x v="2"/>
    <x v="3"/>
    <x v="2"/>
    <x v="1"/>
    <x v="1"/>
    <x v="1"/>
    <x v="1"/>
    <x v="4"/>
    <x v="4"/>
  </r>
  <r>
    <d v="2016-09-16T16:33:12"/>
    <s v="CHRISTIAN CAMILO"/>
    <s v="RODRIGUEZ LOMBANA"/>
    <n v="1022974804"/>
    <s v="CPS"/>
    <s v="Laboratorios"/>
    <d v="2015-02-08T00:00:00"/>
    <s v="christianwaffengh@gmail.com"/>
    <x v="0"/>
    <x v="0"/>
    <x v="0"/>
    <x v="0"/>
    <x v="3"/>
    <x v="0"/>
    <x v="2"/>
    <x v="1"/>
    <x v="3"/>
    <x v="1"/>
    <x v="0"/>
    <x v="2"/>
    <x v="2"/>
    <x v="3"/>
    <x v="4"/>
    <x v="0"/>
    <x v="1"/>
    <x v="1"/>
    <x v="0"/>
    <x v="1"/>
    <x v="4"/>
    <x v="1"/>
    <x v="1"/>
    <x v="5"/>
    <x v="0"/>
    <x v="0"/>
    <x v="0"/>
    <x v="5"/>
    <x v="3"/>
    <x v="0"/>
    <x v="0"/>
    <x v="0"/>
    <x v="0"/>
    <x v="0"/>
    <x v="0"/>
    <x v="0"/>
    <x v="2"/>
  </r>
  <r>
    <d v="2016-09-16T16:33:47"/>
    <s v="LUIS EDGAR "/>
    <s v="JIMÉNEZ "/>
    <n v="19444537"/>
    <s v="Planta"/>
    <s v="Recursos Físicos"/>
    <d v="1999-08-04T00:00:00"/>
    <s v="rfisicos@udistrital.edu.co"/>
    <x v="1"/>
    <x v="1"/>
    <x v="2"/>
    <x v="2"/>
    <x v="4"/>
    <x v="2"/>
    <x v="5"/>
    <x v="4"/>
    <x v="3"/>
    <x v="2"/>
    <x v="4"/>
    <x v="4"/>
    <x v="4"/>
    <x v="3"/>
    <x v="1"/>
    <x v="3"/>
    <x v="3"/>
    <x v="2"/>
    <x v="2"/>
    <x v="5"/>
    <x v="2"/>
    <x v="2"/>
    <x v="2"/>
    <x v="2"/>
    <x v="2"/>
    <x v="2"/>
    <x v="2"/>
    <x v="1"/>
    <x v="5"/>
    <x v="5"/>
    <x v="4"/>
    <x v="4"/>
    <x v="4"/>
    <x v="5"/>
    <x v="2"/>
    <x v="2"/>
    <x v="1"/>
  </r>
  <r>
    <d v="2016-09-16T16:41:20"/>
    <s v="JORGE ADELMO "/>
    <s v="CHAVARRO BELTRAN "/>
    <n v="79205591"/>
    <s v="CPS"/>
    <s v="Recursos Físicos"/>
    <d v="2013-03-18T00:00:00"/>
    <s v="jchavarro@gmail.com"/>
    <x v="1"/>
    <x v="1"/>
    <x v="1"/>
    <x v="1"/>
    <x v="1"/>
    <x v="1"/>
    <x v="4"/>
    <x v="5"/>
    <x v="1"/>
    <x v="1"/>
    <x v="2"/>
    <x v="1"/>
    <x v="0"/>
    <x v="1"/>
    <x v="2"/>
    <x v="1"/>
    <x v="0"/>
    <x v="0"/>
    <x v="1"/>
    <x v="0"/>
    <x v="0"/>
    <x v="0"/>
    <x v="0"/>
    <x v="0"/>
    <x v="1"/>
    <x v="1"/>
    <x v="1"/>
    <x v="1"/>
    <x v="2"/>
    <x v="3"/>
    <x v="2"/>
    <x v="1"/>
    <x v="2"/>
    <x v="2"/>
    <x v="1"/>
    <x v="4"/>
    <x v="4"/>
  </r>
  <r>
    <d v="2016-09-16T16:49:00"/>
    <s v="LUIS ALBERTO "/>
    <s v="SANCHEZ R."/>
    <n v="79273199"/>
    <s v="Planta"/>
    <s v="Recursos Físicos"/>
    <d v="2001-12-03T00:00:00"/>
    <s v="alberto_lucho_sanrro@hotmail.com"/>
    <x v="1"/>
    <x v="1"/>
    <x v="2"/>
    <x v="2"/>
    <x v="4"/>
    <x v="2"/>
    <x v="5"/>
    <x v="4"/>
    <x v="3"/>
    <x v="2"/>
    <x v="4"/>
    <x v="4"/>
    <x v="4"/>
    <x v="3"/>
    <x v="1"/>
    <x v="3"/>
    <x v="3"/>
    <x v="2"/>
    <x v="2"/>
    <x v="5"/>
    <x v="2"/>
    <x v="2"/>
    <x v="2"/>
    <x v="2"/>
    <x v="2"/>
    <x v="2"/>
    <x v="2"/>
    <x v="1"/>
    <x v="5"/>
    <x v="5"/>
    <x v="4"/>
    <x v="4"/>
    <x v="4"/>
    <x v="5"/>
    <x v="2"/>
    <x v="3"/>
    <x v="1"/>
  </r>
  <r>
    <d v="2016-09-16T16:56:22"/>
    <s v="WILSON "/>
    <s v="BENAVIDEZ VILLAMARIN"/>
    <n v="79468749"/>
    <s v="CPS"/>
    <s v="Recursos Físicos"/>
    <d v="2013-02-01T00:00:00"/>
    <s v="wilbena@hotmail.com"/>
    <x v="1"/>
    <x v="1"/>
    <x v="1"/>
    <x v="1"/>
    <x v="1"/>
    <x v="1"/>
    <x v="4"/>
    <x v="1"/>
    <x v="2"/>
    <x v="3"/>
    <x v="2"/>
    <x v="1"/>
    <x v="0"/>
    <x v="1"/>
    <x v="2"/>
    <x v="1"/>
    <x v="0"/>
    <x v="0"/>
    <x v="0"/>
    <x v="0"/>
    <x v="0"/>
    <x v="0"/>
    <x v="0"/>
    <x v="0"/>
    <x v="1"/>
    <x v="0"/>
    <x v="1"/>
    <x v="1"/>
    <x v="2"/>
    <x v="3"/>
    <x v="2"/>
    <x v="1"/>
    <x v="2"/>
    <x v="2"/>
    <x v="1"/>
    <x v="4"/>
    <x v="4"/>
  </r>
  <r>
    <d v="2016-09-16T20:29:14"/>
    <s v="ALFONSO"/>
    <s v="GIRALDO TORO"/>
    <n v="75002333"/>
    <s v="CPS"/>
    <s v="Laboratorios"/>
    <d v="2016-01-15T00:00:00"/>
    <s v="giraldotoro1@hotmail.com"/>
    <x v="1"/>
    <x v="1"/>
    <x v="0"/>
    <x v="3"/>
    <x v="0"/>
    <x v="3"/>
    <x v="5"/>
    <x v="4"/>
    <x v="3"/>
    <x v="2"/>
    <x v="5"/>
    <x v="5"/>
    <x v="2"/>
    <x v="0"/>
    <x v="0"/>
    <x v="1"/>
    <x v="3"/>
    <x v="3"/>
    <x v="5"/>
    <x v="0"/>
    <x v="3"/>
    <x v="4"/>
    <x v="3"/>
    <x v="3"/>
    <x v="0"/>
    <x v="5"/>
    <x v="0"/>
    <x v="0"/>
    <x v="3"/>
    <x v="5"/>
    <x v="1"/>
    <x v="2"/>
    <x v="3"/>
    <x v="1"/>
    <x v="3"/>
    <x v="3"/>
    <x v="1"/>
  </r>
  <r>
    <d v="2016-09-17T06:41:22"/>
    <s v="JHON NELSON"/>
    <s v="SUAN MARTINEZ"/>
    <n v="1055272879"/>
    <s v="CPS"/>
    <s v="Decanatura"/>
    <d v="2012-01-12T00:00:00"/>
    <s v="JHONSUAN@HOTMAIL.ES"/>
    <x v="1"/>
    <x v="2"/>
    <x v="0"/>
    <x v="0"/>
    <x v="3"/>
    <x v="0"/>
    <x v="0"/>
    <x v="2"/>
    <x v="3"/>
    <x v="2"/>
    <x v="5"/>
    <x v="2"/>
    <x v="2"/>
    <x v="1"/>
    <x v="0"/>
    <x v="1"/>
    <x v="3"/>
    <x v="0"/>
    <x v="2"/>
    <x v="1"/>
    <x v="1"/>
    <x v="5"/>
    <x v="4"/>
    <x v="4"/>
    <x v="1"/>
    <x v="0"/>
    <x v="0"/>
    <x v="0"/>
    <x v="4"/>
    <x v="4"/>
    <x v="2"/>
    <x v="0"/>
    <x v="0"/>
    <x v="1"/>
    <x v="3"/>
    <x v="1"/>
    <x v="4"/>
  </r>
  <r>
    <d v="2016-09-19T09:35:49"/>
    <s v="MARIA CRISTINA"/>
    <s v="GÁMEZ BOHÓRQUEZ"/>
    <n v="51719299"/>
    <s v="Planta"/>
    <s v="Decanatura"/>
    <d v="1992-11-05T00:00:00"/>
    <s v="cgamezb@udistrital.edu.co"/>
    <x v="0"/>
    <x v="0"/>
    <x v="0"/>
    <x v="0"/>
    <x v="1"/>
    <x v="1"/>
    <x v="1"/>
    <x v="1"/>
    <x v="5"/>
    <x v="5"/>
    <x v="3"/>
    <x v="3"/>
    <x v="0"/>
    <x v="5"/>
    <x v="4"/>
    <x v="2"/>
    <x v="1"/>
    <x v="4"/>
    <x v="3"/>
    <x v="2"/>
    <x v="2"/>
    <x v="2"/>
    <x v="1"/>
    <x v="5"/>
    <x v="0"/>
    <x v="0"/>
    <x v="1"/>
    <x v="0"/>
    <x v="4"/>
    <x v="2"/>
    <x v="5"/>
    <x v="5"/>
    <x v="3"/>
    <x v="3"/>
    <x v="3"/>
    <x v="1"/>
    <x v="1"/>
  </r>
  <r>
    <d v="2016-09-19T16:24:04"/>
    <s v="LUISA FERNANDA "/>
    <s v="MELO CORTES"/>
    <n v="1022385097"/>
    <s v="CPS"/>
    <s v="Coordinación Proyectos Curriculares"/>
    <d v="2013-09-16T00:00:00"/>
    <s v="LUFERMC@GMAIL.COM"/>
    <x v="1"/>
    <x v="1"/>
    <x v="1"/>
    <x v="0"/>
    <x v="3"/>
    <x v="0"/>
    <x v="0"/>
    <x v="0"/>
    <x v="2"/>
    <x v="1"/>
    <x v="2"/>
    <x v="1"/>
    <x v="0"/>
    <x v="1"/>
    <x v="2"/>
    <x v="1"/>
    <x v="1"/>
    <x v="0"/>
    <x v="0"/>
    <x v="0"/>
    <x v="0"/>
    <x v="0"/>
    <x v="1"/>
    <x v="1"/>
    <x v="0"/>
    <x v="1"/>
    <x v="1"/>
    <x v="0"/>
    <x v="4"/>
    <x v="2"/>
    <x v="2"/>
    <x v="1"/>
    <x v="0"/>
    <x v="0"/>
    <x v="1"/>
    <x v="2"/>
    <x v="1"/>
  </r>
  <r>
    <d v="2016-09-19T18:01:33"/>
    <s v="Manuel Gilberto"/>
    <s v="Barrero Solano"/>
    <n v="19063971"/>
    <s v="Planta"/>
    <s v="Decanatura"/>
    <d v="2001-02-20T00:00:00"/>
    <s v="m.barrero@yahoo.com"/>
    <x v="0"/>
    <x v="0"/>
    <x v="0"/>
    <x v="0"/>
    <x v="0"/>
    <x v="0"/>
    <x v="0"/>
    <x v="0"/>
    <x v="0"/>
    <x v="1"/>
    <x v="2"/>
    <x v="1"/>
    <x v="2"/>
    <x v="1"/>
    <x v="2"/>
    <x v="1"/>
    <x v="1"/>
    <x v="1"/>
    <x v="1"/>
    <x v="1"/>
    <x v="1"/>
    <x v="0"/>
    <x v="0"/>
    <x v="1"/>
    <x v="0"/>
    <x v="0"/>
    <x v="0"/>
    <x v="0"/>
    <x v="2"/>
    <x v="3"/>
    <x v="2"/>
    <x v="1"/>
    <x v="0"/>
    <x v="0"/>
    <x v="2"/>
    <x v="2"/>
    <x v="1"/>
  </r>
  <r>
    <d v="2016-09-19T19:34:06"/>
    <s v="Fernely"/>
    <s v="Barranco"/>
    <n v="79573660"/>
    <s v="CPS"/>
    <s v="Laboratorios"/>
    <d v="2016-01-05T00:00:00"/>
    <s v="fernely_b@yahoo.es"/>
    <x v="1"/>
    <x v="1"/>
    <x v="1"/>
    <x v="1"/>
    <x v="3"/>
    <x v="0"/>
    <x v="0"/>
    <x v="0"/>
    <x v="0"/>
    <x v="0"/>
    <x v="0"/>
    <x v="1"/>
    <x v="2"/>
    <x v="1"/>
    <x v="2"/>
    <x v="1"/>
    <x v="1"/>
    <x v="1"/>
    <x v="1"/>
    <x v="1"/>
    <x v="4"/>
    <x v="3"/>
    <x v="0"/>
    <x v="1"/>
    <x v="0"/>
    <x v="0"/>
    <x v="0"/>
    <x v="0"/>
    <x v="5"/>
    <x v="2"/>
    <x v="2"/>
    <x v="1"/>
    <x v="0"/>
    <x v="0"/>
    <x v="3"/>
    <x v="1"/>
    <x v="2"/>
  </r>
  <r>
    <d v="2016-09-19T23:46:43"/>
    <s v="GERSON AUGUSTO"/>
    <s v="GOMEZ GIL"/>
    <n v="88221997"/>
    <s v="CPS"/>
    <s v="Recursos Físicos"/>
    <d v="2013-05-13T00:00:00"/>
    <s v="gagomezg@udistrital.edu.co"/>
    <x v="0"/>
    <x v="1"/>
    <x v="0"/>
    <x v="0"/>
    <x v="0"/>
    <x v="2"/>
    <x v="2"/>
    <x v="1"/>
    <x v="0"/>
    <x v="3"/>
    <x v="1"/>
    <x v="2"/>
    <x v="0"/>
    <x v="2"/>
    <x v="2"/>
    <x v="3"/>
    <x v="5"/>
    <x v="5"/>
    <x v="0"/>
    <x v="1"/>
    <x v="4"/>
    <x v="1"/>
    <x v="1"/>
    <x v="1"/>
    <x v="0"/>
    <x v="0"/>
    <x v="0"/>
    <x v="0"/>
    <x v="2"/>
    <x v="3"/>
    <x v="2"/>
    <x v="2"/>
    <x v="3"/>
    <x v="1"/>
    <x v="1"/>
    <x v="1"/>
    <x v="4"/>
  </r>
  <r>
    <d v="2016-09-20T06:51:56"/>
    <s v="MICHAEL JAIR"/>
    <s v="VELASQUEZ GARZON"/>
    <n v="1022398396"/>
    <s v="CPS"/>
    <s v="Laboratorios"/>
    <d v="2016-02-15T00:00:00"/>
    <s v="michaeljairvg@gmail.com"/>
    <x v="1"/>
    <x v="1"/>
    <x v="0"/>
    <x v="1"/>
    <x v="3"/>
    <x v="0"/>
    <x v="0"/>
    <x v="1"/>
    <x v="2"/>
    <x v="4"/>
    <x v="0"/>
    <x v="0"/>
    <x v="2"/>
    <x v="1"/>
    <x v="0"/>
    <x v="1"/>
    <x v="4"/>
    <x v="4"/>
    <x v="3"/>
    <x v="3"/>
    <x v="4"/>
    <x v="3"/>
    <x v="0"/>
    <x v="1"/>
    <x v="0"/>
    <x v="0"/>
    <x v="0"/>
    <x v="0"/>
    <x v="2"/>
    <x v="0"/>
    <x v="0"/>
    <x v="0"/>
    <x v="0"/>
    <x v="0"/>
    <x v="1"/>
    <x v="2"/>
    <x v="0"/>
  </r>
  <r>
    <d v="2016-09-20T09:07:58"/>
    <s v="BEATRIZ MARLENY"/>
    <s v="UNDAGMA BIRRI"/>
    <n v="43522069"/>
    <s v="Planta"/>
    <s v="Biblioteca"/>
    <d v="1993-01-06T00:00:00"/>
    <s v="marleny_beatriz1217@hotmail.com"/>
    <x v="1"/>
    <x v="1"/>
    <x v="1"/>
    <x v="1"/>
    <x v="3"/>
    <x v="4"/>
    <x v="4"/>
    <x v="1"/>
    <x v="5"/>
    <x v="3"/>
    <x v="2"/>
    <x v="3"/>
    <x v="1"/>
    <x v="1"/>
    <x v="2"/>
    <x v="2"/>
    <x v="0"/>
    <x v="0"/>
    <x v="3"/>
    <x v="3"/>
    <x v="3"/>
    <x v="4"/>
    <x v="3"/>
    <x v="3"/>
    <x v="1"/>
    <x v="1"/>
    <x v="5"/>
    <x v="1"/>
    <x v="1"/>
    <x v="1"/>
    <x v="3"/>
    <x v="1"/>
    <x v="1"/>
    <x v="2"/>
    <x v="2"/>
    <x v="2"/>
    <x v="5"/>
  </r>
  <r>
    <d v="2016-09-20T10:54:25"/>
    <s v="WILSON"/>
    <s v="ROMERO SUÁREZ"/>
    <n v="80232942"/>
    <s v="CPS"/>
    <s v="Secretaría Académica"/>
    <d v="2009-10-01T00:00:00"/>
    <s v="wilroms@gmail.com"/>
    <x v="2"/>
    <x v="2"/>
    <x v="2"/>
    <x v="2"/>
    <x v="1"/>
    <x v="0"/>
    <x v="0"/>
    <x v="0"/>
    <x v="0"/>
    <x v="1"/>
    <x v="1"/>
    <x v="2"/>
    <x v="0"/>
    <x v="2"/>
    <x v="1"/>
    <x v="2"/>
    <x v="2"/>
    <x v="1"/>
    <x v="1"/>
    <x v="0"/>
    <x v="4"/>
    <x v="1"/>
    <x v="1"/>
    <x v="5"/>
    <x v="1"/>
    <x v="2"/>
    <x v="2"/>
    <x v="0"/>
    <x v="4"/>
    <x v="4"/>
    <x v="1"/>
    <x v="2"/>
    <x v="3"/>
    <x v="3"/>
    <x v="3"/>
    <x v="1"/>
    <x v="1"/>
  </r>
  <r>
    <d v="2016-09-20T12:23:59"/>
    <s v="YENNY MARGOT"/>
    <s v="TOVAR CUELLAR"/>
    <n v="65768125"/>
    <s v="CPS"/>
    <s v="Decanatura"/>
    <d v="2014-11-18T00:00:00"/>
    <s v="ymtovarc@udistrital.edu.co"/>
    <x v="3"/>
    <x v="3"/>
    <x v="2"/>
    <x v="1"/>
    <x v="2"/>
    <x v="4"/>
    <x v="1"/>
    <x v="5"/>
    <x v="1"/>
    <x v="4"/>
    <x v="3"/>
    <x v="3"/>
    <x v="3"/>
    <x v="5"/>
    <x v="4"/>
    <x v="5"/>
    <x v="4"/>
    <x v="1"/>
    <x v="3"/>
    <x v="0"/>
    <x v="2"/>
    <x v="2"/>
    <x v="0"/>
    <x v="2"/>
    <x v="0"/>
    <x v="0"/>
    <x v="0"/>
    <x v="0"/>
    <x v="0"/>
    <x v="1"/>
    <x v="2"/>
    <x v="1"/>
    <x v="0"/>
    <x v="0"/>
    <x v="2"/>
    <x v="2"/>
    <x v="4"/>
  </r>
  <r>
    <d v="2016-09-20T13:51:37"/>
    <s v="ROQUE"/>
    <s v="REINA FAJARDO"/>
    <n v="79360420"/>
    <s v="Planta"/>
    <s v="Biblioteca"/>
    <d v="1994-10-31T00:00:00"/>
    <s v="RREINAF@UDISTRITAL.EDU.CO"/>
    <x v="1"/>
    <x v="1"/>
    <x v="1"/>
    <x v="1"/>
    <x v="2"/>
    <x v="4"/>
    <x v="4"/>
    <x v="5"/>
    <x v="1"/>
    <x v="5"/>
    <x v="3"/>
    <x v="3"/>
    <x v="3"/>
    <x v="5"/>
    <x v="4"/>
    <x v="5"/>
    <x v="4"/>
    <x v="4"/>
    <x v="3"/>
    <x v="3"/>
    <x v="0"/>
    <x v="0"/>
    <x v="0"/>
    <x v="0"/>
    <x v="1"/>
    <x v="1"/>
    <x v="1"/>
    <x v="1"/>
    <x v="4"/>
    <x v="2"/>
    <x v="2"/>
    <x v="1"/>
    <x v="1"/>
    <x v="1"/>
    <x v="1"/>
    <x v="1"/>
    <x v="4"/>
  </r>
  <r>
    <d v="2016-09-20T13:51:57"/>
    <s v="MARY STELLA"/>
    <s v="DAZA ARDILA"/>
    <n v="39645089"/>
    <s v="CPS"/>
    <s v="Secretaría Académica"/>
    <d v="2013-02-13T00:00:00"/>
    <s v="msdazaa@udistrital.edu.co"/>
    <x v="1"/>
    <x v="1"/>
    <x v="1"/>
    <x v="2"/>
    <x v="2"/>
    <x v="0"/>
    <x v="0"/>
    <x v="5"/>
    <x v="1"/>
    <x v="5"/>
    <x v="3"/>
    <x v="3"/>
    <x v="0"/>
    <x v="5"/>
    <x v="4"/>
    <x v="5"/>
    <x v="4"/>
    <x v="4"/>
    <x v="3"/>
    <x v="0"/>
    <x v="1"/>
    <x v="1"/>
    <x v="0"/>
    <x v="1"/>
    <x v="0"/>
    <x v="0"/>
    <x v="0"/>
    <x v="0"/>
    <x v="2"/>
    <x v="3"/>
    <x v="2"/>
    <x v="1"/>
    <x v="1"/>
    <x v="1"/>
    <x v="1"/>
    <x v="4"/>
    <x v="4"/>
  </r>
  <r>
    <d v="2016-09-20T14:23:47"/>
    <s v="LUIS GUILLERMO "/>
    <s v="LARROTA PULIDO"/>
    <n v="79746009"/>
    <s v="CPS"/>
    <s v="Laboratorios"/>
    <d v="2016-02-17T00:00:00"/>
    <s v="guille_larrota@yahoo.es"/>
    <x v="3"/>
    <x v="3"/>
    <x v="3"/>
    <x v="4"/>
    <x v="2"/>
    <x v="4"/>
    <x v="4"/>
    <x v="5"/>
    <x v="1"/>
    <x v="5"/>
    <x v="3"/>
    <x v="3"/>
    <x v="3"/>
    <x v="5"/>
    <x v="4"/>
    <x v="5"/>
    <x v="4"/>
    <x v="4"/>
    <x v="3"/>
    <x v="3"/>
    <x v="3"/>
    <x v="4"/>
    <x v="3"/>
    <x v="3"/>
    <x v="3"/>
    <x v="4"/>
    <x v="5"/>
    <x v="5"/>
    <x v="1"/>
    <x v="1"/>
    <x v="3"/>
    <x v="3"/>
    <x v="2"/>
    <x v="2"/>
    <x v="5"/>
    <x v="5"/>
    <x v="5"/>
  </r>
  <r>
    <d v="2016-09-20T15:07:13"/>
    <s v="Genys"/>
    <s v="Guzman"/>
    <n v="5089162"/>
    <s v="CPS"/>
    <s v="Biblioteca"/>
    <d v="2007-06-15T00:00:00"/>
    <s v="genys03@hotmail.com"/>
    <x v="0"/>
    <x v="2"/>
    <x v="0"/>
    <x v="0"/>
    <x v="1"/>
    <x v="4"/>
    <x v="4"/>
    <x v="2"/>
    <x v="5"/>
    <x v="5"/>
    <x v="3"/>
    <x v="3"/>
    <x v="3"/>
    <x v="5"/>
    <x v="4"/>
    <x v="5"/>
    <x v="1"/>
    <x v="0"/>
    <x v="1"/>
    <x v="1"/>
    <x v="1"/>
    <x v="1"/>
    <x v="1"/>
    <x v="1"/>
    <x v="1"/>
    <x v="1"/>
    <x v="1"/>
    <x v="2"/>
    <x v="2"/>
    <x v="1"/>
    <x v="2"/>
    <x v="2"/>
    <x v="3"/>
    <x v="3"/>
    <x v="3"/>
    <x v="1"/>
    <x v="1"/>
  </r>
  <r>
    <d v="2016-09-20T19:39:48"/>
    <s v="SANDRA MARILUZ "/>
    <s v="HERNANDEZ BRAVO"/>
    <n v="52901786"/>
    <s v="Planta"/>
    <s v="Coordinación Proyectos Curriculares"/>
    <d v="2008-03-07T00:00:00"/>
    <s v="smhernandezb@udistrital.edu.co"/>
    <x v="0"/>
    <x v="0"/>
    <x v="0"/>
    <x v="0"/>
    <x v="3"/>
    <x v="1"/>
    <x v="1"/>
    <x v="0"/>
    <x v="5"/>
    <x v="1"/>
    <x v="0"/>
    <x v="1"/>
    <x v="2"/>
    <x v="0"/>
    <x v="0"/>
    <x v="0"/>
    <x v="0"/>
    <x v="0"/>
    <x v="4"/>
    <x v="1"/>
    <x v="1"/>
    <x v="0"/>
    <x v="1"/>
    <x v="4"/>
    <x v="0"/>
    <x v="0"/>
    <x v="0"/>
    <x v="0"/>
    <x v="0"/>
    <x v="0"/>
    <x v="0"/>
    <x v="0"/>
    <x v="0"/>
    <x v="0"/>
    <x v="0"/>
    <x v="0"/>
    <x v="0"/>
  </r>
  <r>
    <d v="2016-09-21T10:00:10"/>
    <s v="JOSÉ DE JESÚS "/>
    <s v="GIL MOLINA "/>
    <n v="79514044"/>
    <s v="CPS"/>
    <s v="Decanatura"/>
    <d v="2004-01-12T00:00:00"/>
    <s v="jjgilmolina@hotmail.com"/>
    <x v="2"/>
    <x v="1"/>
    <x v="0"/>
    <x v="0"/>
    <x v="3"/>
    <x v="2"/>
    <x v="5"/>
    <x v="4"/>
    <x v="5"/>
    <x v="1"/>
    <x v="2"/>
    <x v="1"/>
    <x v="0"/>
    <x v="1"/>
    <x v="2"/>
    <x v="1"/>
    <x v="1"/>
    <x v="0"/>
    <x v="0"/>
    <x v="2"/>
    <x v="2"/>
    <x v="1"/>
    <x v="0"/>
    <x v="2"/>
    <x v="1"/>
    <x v="1"/>
    <x v="1"/>
    <x v="0"/>
    <x v="2"/>
    <x v="3"/>
    <x v="2"/>
    <x v="2"/>
    <x v="1"/>
    <x v="1"/>
    <x v="3"/>
    <x v="4"/>
    <x v="1"/>
  </r>
  <r>
    <d v="2016-09-21T10:07:02"/>
    <s v="LIGIA"/>
    <s v="ROJAS MORALES"/>
    <n v="41651785"/>
    <s v="Planta"/>
    <s v="Decanatura"/>
    <d v="2000-02-16T00:00:00"/>
    <s v="lrojasm@udistrital.edu.co"/>
    <x v="1"/>
    <x v="1"/>
    <x v="1"/>
    <x v="2"/>
    <x v="2"/>
    <x v="1"/>
    <x v="1"/>
    <x v="5"/>
    <x v="1"/>
    <x v="5"/>
    <x v="3"/>
    <x v="3"/>
    <x v="1"/>
    <x v="5"/>
    <x v="2"/>
    <x v="5"/>
    <x v="1"/>
    <x v="1"/>
    <x v="1"/>
    <x v="0"/>
    <x v="4"/>
    <x v="3"/>
    <x v="1"/>
    <x v="0"/>
    <x v="1"/>
    <x v="2"/>
    <x v="3"/>
    <x v="3"/>
    <x v="2"/>
    <x v="3"/>
    <x v="1"/>
    <x v="2"/>
    <x v="3"/>
    <x v="3"/>
    <x v="3"/>
    <x v="1"/>
    <x v="1"/>
  </r>
  <r>
    <d v="2016-09-21T10:14:33"/>
    <s v="GILDARDO MARIN "/>
    <s v="OSPINA "/>
    <n v="10225290"/>
    <s v="Planta"/>
    <s v="Recursos Físicos"/>
    <d v="2001-12-03T00:00:00"/>
    <s v="rfisicos@udistrital.edu.co"/>
    <x v="2"/>
    <x v="1"/>
    <x v="0"/>
    <x v="1"/>
    <x v="1"/>
    <x v="4"/>
    <x v="4"/>
    <x v="5"/>
    <x v="2"/>
    <x v="3"/>
    <x v="2"/>
    <x v="1"/>
    <x v="2"/>
    <x v="0"/>
    <x v="0"/>
    <x v="0"/>
    <x v="5"/>
    <x v="5"/>
    <x v="4"/>
    <x v="1"/>
    <x v="0"/>
    <x v="0"/>
    <x v="0"/>
    <x v="0"/>
    <x v="0"/>
    <x v="0"/>
    <x v="0"/>
    <x v="0"/>
    <x v="2"/>
    <x v="0"/>
    <x v="2"/>
    <x v="1"/>
    <x v="1"/>
    <x v="0"/>
    <x v="0"/>
    <x v="0"/>
    <x v="0"/>
  </r>
  <r>
    <d v="2016-09-21T10:26:12"/>
    <s v="YUDY MARCELA "/>
    <s v="RODRIGUEZ TEQUI"/>
    <n v="52716494"/>
    <s v="CPS"/>
    <s v="Secretaría Académica"/>
    <d v="2008-02-05T00:00:00"/>
    <s v="yudyrodriguezt@gmail.com"/>
    <x v="1"/>
    <x v="1"/>
    <x v="0"/>
    <x v="0"/>
    <x v="3"/>
    <x v="1"/>
    <x v="1"/>
    <x v="1"/>
    <x v="2"/>
    <x v="0"/>
    <x v="2"/>
    <x v="1"/>
    <x v="0"/>
    <x v="1"/>
    <x v="2"/>
    <x v="1"/>
    <x v="2"/>
    <x v="2"/>
    <x v="0"/>
    <x v="0"/>
    <x v="1"/>
    <x v="1"/>
    <x v="1"/>
    <x v="0"/>
    <x v="1"/>
    <x v="1"/>
    <x v="1"/>
    <x v="1"/>
    <x v="4"/>
    <x v="2"/>
    <x v="1"/>
    <x v="2"/>
    <x v="1"/>
    <x v="1"/>
    <x v="1"/>
    <x v="1"/>
    <x v="1"/>
  </r>
  <r>
    <d v="2016-09-21T10:30:15"/>
    <s v="JUAN CARLOS "/>
    <s v="OSPINA "/>
    <n v="80068080"/>
    <s v="Planta"/>
    <s v="Recursos Físicos"/>
    <d v="2003-09-30T00:00:00"/>
    <s v="jcospinav@udistrital.edu.co"/>
    <x v="1"/>
    <x v="1"/>
    <x v="1"/>
    <x v="1"/>
    <x v="1"/>
    <x v="1"/>
    <x v="1"/>
    <x v="0"/>
    <x v="0"/>
    <x v="0"/>
    <x v="0"/>
    <x v="0"/>
    <x v="2"/>
    <x v="0"/>
    <x v="0"/>
    <x v="0"/>
    <x v="0"/>
    <x v="0"/>
    <x v="0"/>
    <x v="1"/>
    <x v="0"/>
    <x v="0"/>
    <x v="0"/>
    <x v="0"/>
    <x v="1"/>
    <x v="1"/>
    <x v="1"/>
    <x v="1"/>
    <x v="2"/>
    <x v="3"/>
    <x v="2"/>
    <x v="1"/>
    <x v="0"/>
    <x v="0"/>
    <x v="0"/>
    <x v="0"/>
    <x v="0"/>
  </r>
  <r>
    <d v="2016-09-21T11:05:08"/>
    <s v="ALEXANDER"/>
    <s v="BEDOYA MONTALVO"/>
    <n v="15675720"/>
    <s v="Planta"/>
    <s v="Bienestar Institucional"/>
    <d v="2016-09-21T00:00:00"/>
    <s v="abedoyam@gmail.com"/>
    <x v="0"/>
    <x v="0"/>
    <x v="4"/>
    <x v="1"/>
    <x v="4"/>
    <x v="3"/>
    <x v="1"/>
    <x v="3"/>
    <x v="4"/>
    <x v="2"/>
    <x v="5"/>
    <x v="5"/>
    <x v="1"/>
    <x v="2"/>
    <x v="2"/>
    <x v="2"/>
    <x v="3"/>
    <x v="2"/>
    <x v="5"/>
    <x v="2"/>
    <x v="1"/>
    <x v="1"/>
    <x v="0"/>
    <x v="0"/>
    <x v="1"/>
    <x v="2"/>
    <x v="1"/>
    <x v="1"/>
    <x v="5"/>
    <x v="3"/>
    <x v="2"/>
    <x v="4"/>
    <x v="4"/>
    <x v="5"/>
    <x v="4"/>
    <x v="3"/>
    <x v="1"/>
  </r>
  <r>
    <d v="2016-09-21T11:14:35"/>
    <s v="Jesús Enrique"/>
    <s v="Rojas Niño"/>
    <n v="79636743"/>
    <s v="Planta"/>
    <s v="Decanatura"/>
    <d v="2009-02-01T00:00:00"/>
    <s v="jerojasn@hotmail.com"/>
    <x v="0"/>
    <x v="0"/>
    <x v="2"/>
    <x v="0"/>
    <x v="1"/>
    <x v="0"/>
    <x v="0"/>
    <x v="0"/>
    <x v="0"/>
    <x v="1"/>
    <x v="2"/>
    <x v="2"/>
    <x v="2"/>
    <x v="0"/>
    <x v="0"/>
    <x v="1"/>
    <x v="2"/>
    <x v="5"/>
    <x v="1"/>
    <x v="1"/>
    <x v="4"/>
    <x v="0"/>
    <x v="1"/>
    <x v="1"/>
    <x v="0"/>
    <x v="0"/>
    <x v="0"/>
    <x v="0"/>
    <x v="1"/>
    <x v="1"/>
    <x v="2"/>
    <x v="1"/>
    <x v="1"/>
    <x v="1"/>
    <x v="0"/>
    <x v="4"/>
    <x v="4"/>
  </r>
  <r>
    <d v="2016-09-21T12:28:57"/>
    <s v="Maximiliano"/>
    <s v="Meléndez Suárez"/>
    <n v="79860443"/>
    <s v="Planta"/>
    <s v="Laboratorios"/>
    <d v="2001-05-11T00:00:00"/>
    <s v="chinomax@gmail.com"/>
    <x v="1"/>
    <x v="0"/>
    <x v="1"/>
    <x v="0"/>
    <x v="1"/>
    <x v="2"/>
    <x v="2"/>
    <x v="1"/>
    <x v="2"/>
    <x v="3"/>
    <x v="2"/>
    <x v="2"/>
    <x v="2"/>
    <x v="2"/>
    <x v="2"/>
    <x v="3"/>
    <x v="1"/>
    <x v="0"/>
    <x v="1"/>
    <x v="0"/>
    <x v="1"/>
    <x v="0"/>
    <x v="0"/>
    <x v="1"/>
    <x v="1"/>
    <x v="0"/>
    <x v="0"/>
    <x v="0"/>
    <x v="0"/>
    <x v="0"/>
    <x v="2"/>
    <x v="1"/>
    <x v="1"/>
    <x v="0"/>
    <x v="1"/>
    <x v="4"/>
    <x v="4"/>
  </r>
  <r>
    <d v="2016-09-21T16:42:15"/>
    <s v="JAIME ALBERTO"/>
    <s v="GARCIA RONCANCIO"/>
    <n v="79560356"/>
    <s v="CPS"/>
    <s v="Decanatura"/>
    <d v="2016-01-28T00:00:00"/>
    <s v="jaimeagr7@gmail.com"/>
    <x v="1"/>
    <x v="0"/>
    <x v="0"/>
    <x v="0"/>
    <x v="1"/>
    <x v="2"/>
    <x v="2"/>
    <x v="2"/>
    <x v="2"/>
    <x v="1"/>
    <x v="2"/>
    <x v="2"/>
    <x v="2"/>
    <x v="1"/>
    <x v="2"/>
    <x v="1"/>
    <x v="1"/>
    <x v="0"/>
    <x v="0"/>
    <x v="1"/>
    <x v="0"/>
    <x v="0"/>
    <x v="0"/>
    <x v="0"/>
    <x v="0"/>
    <x v="0"/>
    <x v="0"/>
    <x v="0"/>
    <x v="2"/>
    <x v="3"/>
    <x v="2"/>
    <x v="1"/>
    <x v="1"/>
    <x v="1"/>
    <x v="1"/>
    <x v="1"/>
    <x v="1"/>
  </r>
  <r>
    <d v="2016-09-22T11:21:18"/>
    <s v="DIANA CAROLINA "/>
    <s v="CASTRO GARCÍA"/>
    <n v="28537823"/>
    <s v="CPS"/>
    <s v="Autoevalución y Acreditación"/>
    <d v="2015-02-12T00:00:00"/>
    <s v="dicas37@gmail.com"/>
    <x v="0"/>
    <x v="0"/>
    <x v="1"/>
    <x v="2"/>
    <x v="1"/>
    <x v="0"/>
    <x v="0"/>
    <x v="1"/>
    <x v="2"/>
    <x v="2"/>
    <x v="2"/>
    <x v="4"/>
    <x v="2"/>
    <x v="1"/>
    <x v="2"/>
    <x v="1"/>
    <x v="3"/>
    <x v="1"/>
    <x v="5"/>
    <x v="1"/>
    <x v="1"/>
    <x v="0"/>
    <x v="1"/>
    <x v="5"/>
    <x v="0"/>
    <x v="1"/>
    <x v="1"/>
    <x v="0"/>
    <x v="3"/>
    <x v="5"/>
    <x v="2"/>
    <x v="2"/>
    <x v="1"/>
    <x v="1"/>
    <x v="1"/>
    <x v="3"/>
    <x v="4"/>
  </r>
  <r>
    <d v="2016-09-26T11:15:04"/>
    <s v="MAX "/>
    <s v="DUARTE"/>
    <n v="79755308"/>
    <s v="CPS"/>
    <s v="Bienestar Institucional"/>
    <d v="2011-02-01T00:00:00"/>
    <s v="xamdo27@gmail.com"/>
    <x v="2"/>
    <x v="2"/>
    <x v="2"/>
    <x v="2"/>
    <x v="3"/>
    <x v="2"/>
    <x v="2"/>
    <x v="2"/>
    <x v="5"/>
    <x v="4"/>
    <x v="4"/>
    <x v="4"/>
    <x v="5"/>
    <x v="3"/>
    <x v="3"/>
    <x v="3"/>
    <x v="2"/>
    <x v="2"/>
    <x v="2"/>
    <x v="4"/>
    <x v="0"/>
    <x v="0"/>
    <x v="0"/>
    <x v="0"/>
    <x v="1"/>
    <x v="1"/>
    <x v="1"/>
    <x v="1"/>
    <x v="2"/>
    <x v="3"/>
    <x v="0"/>
    <x v="2"/>
    <x v="1"/>
    <x v="3"/>
    <x v="1"/>
    <x v="1"/>
    <x v="1"/>
  </r>
  <r>
    <d v="2016-09-30T11:25:24"/>
    <s v="ADRIANA"/>
    <s v="VALIENTE CRISTANCHO"/>
    <n v="52128254"/>
    <s v="CPS"/>
    <s v="Coordinación Proyectos Curriculares"/>
    <d v="2000-02-16T00:00:00"/>
    <s v="avcristancho@gmail.com"/>
    <x v="0"/>
    <x v="0"/>
    <x v="0"/>
    <x v="1"/>
    <x v="1"/>
    <x v="1"/>
    <x v="0"/>
    <x v="1"/>
    <x v="2"/>
    <x v="3"/>
    <x v="2"/>
    <x v="1"/>
    <x v="0"/>
    <x v="2"/>
    <x v="2"/>
    <x v="5"/>
    <x v="1"/>
    <x v="1"/>
    <x v="1"/>
    <x v="0"/>
    <x v="0"/>
    <x v="0"/>
    <x v="0"/>
    <x v="1"/>
    <x v="1"/>
    <x v="1"/>
    <x v="2"/>
    <x v="1"/>
    <x v="4"/>
    <x v="2"/>
    <x v="2"/>
    <x v="1"/>
    <x v="1"/>
    <x v="1"/>
    <x v="1"/>
    <x v="4"/>
    <x v="4"/>
  </r>
  <r>
    <d v="2016-10-07T10:41:26"/>
    <s v="ELIZABETH "/>
    <s v="MANOSALVA QUINTERO"/>
    <n v="49742748"/>
    <s v="CPS"/>
    <s v="Bienestar Institucional"/>
    <d v="2016-02-12T00:00:00"/>
    <s v="elyza96@hotmail.es"/>
    <x v="0"/>
    <x v="1"/>
    <x v="1"/>
    <x v="1"/>
    <x v="1"/>
    <x v="3"/>
    <x v="3"/>
    <x v="1"/>
    <x v="4"/>
    <x v="3"/>
    <x v="2"/>
    <x v="4"/>
    <x v="0"/>
    <x v="1"/>
    <x v="2"/>
    <x v="1"/>
    <x v="0"/>
    <x v="0"/>
    <x v="0"/>
    <x v="0"/>
    <x v="0"/>
    <x v="0"/>
    <x v="0"/>
    <x v="0"/>
    <x v="1"/>
    <x v="1"/>
    <x v="1"/>
    <x v="1"/>
    <x v="2"/>
    <x v="3"/>
    <x v="2"/>
    <x v="1"/>
    <x v="1"/>
    <x v="1"/>
    <x v="1"/>
    <x v="4"/>
    <x v="4"/>
  </r>
  <r>
    <d v="2016-10-11T16:37:27"/>
    <s v="DORIS GUISELA"/>
    <s v="CAVANZO NISSO"/>
    <n v="52114561"/>
    <s v="Planta"/>
    <s v="Coordinación Proyectos Curriculares"/>
    <d v="2001-02-22T00:00:00"/>
    <s v="dogris@hotmial.com"/>
    <x v="1"/>
    <x v="0"/>
    <x v="2"/>
    <x v="1"/>
    <x v="3"/>
    <x v="0"/>
    <x v="0"/>
    <x v="1"/>
    <x v="2"/>
    <x v="1"/>
    <x v="2"/>
    <x v="2"/>
    <x v="0"/>
    <x v="2"/>
    <x v="1"/>
    <x v="3"/>
    <x v="2"/>
    <x v="2"/>
    <x v="2"/>
    <x v="0"/>
    <x v="1"/>
    <x v="1"/>
    <x v="0"/>
    <x v="1"/>
    <x v="0"/>
    <x v="0"/>
    <x v="0"/>
    <x v="0"/>
    <x v="4"/>
    <x v="0"/>
    <x v="2"/>
    <x v="1"/>
    <x v="1"/>
    <x v="1"/>
    <x v="3"/>
    <x v="1"/>
    <x v="2"/>
  </r>
  <r>
    <d v="2016-10-21T16:17:49"/>
    <s v="PEDRO ELISEO"/>
    <s v="DUARTE BUITRAGO"/>
    <n v="79313253"/>
    <s v="Planta"/>
    <s v="Recursos Físicos"/>
    <d v="2002-06-15T00:00:00"/>
    <s v="piterdb@hotmail.com"/>
    <x v="2"/>
    <x v="2"/>
    <x v="2"/>
    <x v="2"/>
    <x v="0"/>
    <x v="1"/>
    <x v="1"/>
    <x v="1"/>
    <x v="2"/>
    <x v="1"/>
    <x v="1"/>
    <x v="2"/>
    <x v="1"/>
    <x v="2"/>
    <x v="1"/>
    <x v="2"/>
    <x v="0"/>
    <x v="0"/>
    <x v="0"/>
    <x v="1"/>
    <x v="0"/>
    <x v="0"/>
    <x v="0"/>
    <x v="0"/>
    <x v="0"/>
    <x v="0"/>
    <x v="1"/>
    <x v="1"/>
    <x v="0"/>
    <x v="3"/>
    <x v="0"/>
    <x v="0"/>
    <x v="1"/>
    <x v="1"/>
    <x v="1"/>
    <x v="4"/>
    <x v="4"/>
  </r>
  <r>
    <d v="2016-10-28T16:38:24"/>
    <s v="Guillermo Eduardo "/>
    <s v="Alfonso Gutierrez"/>
    <n v="79464398"/>
    <s v="Planta"/>
    <s v="Decanatura"/>
    <d v="1989-07-10T00:00:00"/>
    <s v="udfjc_guillermo@yahoo.com"/>
    <x v="1"/>
    <x v="1"/>
    <x v="0"/>
    <x v="1"/>
    <x v="1"/>
    <x v="1"/>
    <x v="1"/>
    <x v="2"/>
    <x v="4"/>
    <x v="1"/>
    <x v="1"/>
    <x v="2"/>
    <x v="1"/>
    <x v="1"/>
    <x v="2"/>
    <x v="3"/>
    <x v="1"/>
    <x v="1"/>
    <x v="0"/>
    <x v="0"/>
    <x v="4"/>
    <x v="3"/>
    <x v="1"/>
    <x v="5"/>
    <x v="2"/>
    <x v="2"/>
    <x v="2"/>
    <x v="2"/>
    <x v="5"/>
    <x v="4"/>
    <x v="1"/>
    <x v="2"/>
    <x v="3"/>
    <x v="3"/>
    <x v="3"/>
    <x v="1"/>
    <x v="1"/>
  </r>
  <r>
    <d v="2016-12-13T09:35:17"/>
    <s v="GLORIA"/>
    <s v="RAMIREZ SANCHEZ"/>
    <n v="52082587"/>
    <s v="Planta"/>
    <s v="Laboratorios"/>
    <d v="2001-02-13T00:00:00"/>
    <s v="GLORITABIO@GMAIL.COM"/>
    <x v="0"/>
    <x v="0"/>
    <x v="1"/>
    <x v="1"/>
    <x v="1"/>
    <x v="1"/>
    <x v="1"/>
    <x v="5"/>
    <x v="1"/>
    <x v="1"/>
    <x v="1"/>
    <x v="2"/>
    <x v="0"/>
    <x v="2"/>
    <x v="1"/>
    <x v="3"/>
    <x v="1"/>
    <x v="1"/>
    <x v="1"/>
    <x v="0"/>
    <x v="2"/>
    <x v="2"/>
    <x v="2"/>
    <x v="2"/>
    <x v="1"/>
    <x v="1"/>
    <x v="3"/>
    <x v="3"/>
    <x v="3"/>
    <x v="5"/>
    <x v="1"/>
    <x v="2"/>
    <x v="3"/>
    <x v="3"/>
    <x v="3"/>
    <x v="1"/>
    <x v="1"/>
  </r>
</pivotCacheRecords>
</file>

<file path=xl/pivotCache/pivotCacheRecords2.xml><?xml version="1.0" encoding="utf-8"?>
<pivotCacheRecords xmlns="http://schemas.openxmlformats.org/spreadsheetml/2006/main" xmlns:r="http://schemas.openxmlformats.org/officeDocument/2006/relationships" count="214">
  <r>
    <d v="2017-03-14T14:36:48"/>
    <s v="spartan.sura@gmail.com"/>
    <s v="TECNOLOGÍA EN ELECTRICIDAD"/>
    <n v="5"/>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m/>
    <n v="20151578010"/>
  </r>
  <r>
    <d v="2017-05-18T09:31:00"/>
    <s v="danielklderondaniel@gmail.com"/>
    <s v="TECNOLOGÍA EN SISTEMAS ELÉCTRICOS DE MEDIA Y BAJA TENSIÓN POR CICLOS PROPEDÉUTICOS"/>
    <n v="1"/>
    <x v="1"/>
    <x v="0"/>
    <x v="1"/>
    <x v="0"/>
    <x v="0"/>
    <x v="1"/>
    <x v="1"/>
    <x v="1"/>
    <x v="1"/>
    <x v="1"/>
    <x v="1"/>
    <x v="1"/>
    <x v="1"/>
    <x v="1"/>
    <x v="1"/>
    <x v="1"/>
    <x v="1"/>
    <x v="1"/>
    <x v="1"/>
    <x v="1"/>
    <x v="1"/>
    <x v="1"/>
    <x v="1"/>
    <x v="1"/>
    <x v="1"/>
    <x v="1"/>
    <x v="0"/>
    <x v="1"/>
    <x v="0"/>
    <x v="0"/>
    <x v="1"/>
    <x v="0"/>
    <x v="0"/>
    <x v="1"/>
    <x v="1"/>
    <x v="1"/>
    <x v="1"/>
    <x v="1"/>
    <x v="1"/>
    <x v="1"/>
    <x v="1"/>
    <x v="1"/>
    <x v="0"/>
    <x v="1"/>
    <x v="0"/>
    <x v="1"/>
    <x v="1"/>
    <x v="1"/>
    <x v="1"/>
    <x v="1"/>
    <x v="1"/>
    <x v="1"/>
    <x v="1"/>
    <x v="1"/>
    <x v="0"/>
    <x v="1"/>
    <x v="1"/>
    <x v="1"/>
    <x v="1"/>
    <x v="1"/>
    <x v="1"/>
    <x v="0"/>
    <x v="1"/>
    <x v="0"/>
    <x v="1"/>
    <x v="1"/>
    <x v="1"/>
    <x v="0"/>
    <x v="1"/>
    <x v="0"/>
    <x v="1"/>
    <x v="1"/>
    <x v="1"/>
    <x v="1"/>
    <x v="0"/>
    <x v="1"/>
    <x v="0"/>
    <x v="0"/>
    <x v="0"/>
    <x v="0"/>
    <x v="1"/>
    <x v="1"/>
    <x v="0"/>
    <x v="1"/>
    <x v="0"/>
    <x v="1"/>
    <x v="1"/>
    <x v="1"/>
    <x v="1"/>
    <x v="0"/>
    <x v="1"/>
    <x v="0"/>
    <x v="0"/>
    <x v="1"/>
    <x v="1"/>
    <x v="1"/>
    <x v="0"/>
    <m/>
    <n v="20171572048"/>
  </r>
  <r>
    <d v="2017-05-18T09:31:37"/>
    <s v="fercho934418@hotmail.com"/>
    <s v="TECNOLOGÍA EN SISTEMAS ELÉCTRICOS DE MEDIA Y BAJA TENSIÓN POR CICLOS PROPEDÉUTICOS"/>
    <n v="1"/>
    <x v="2"/>
    <x v="0"/>
    <x v="2"/>
    <x v="1"/>
    <x v="1"/>
    <x v="0"/>
    <x v="1"/>
    <x v="1"/>
    <x v="1"/>
    <x v="2"/>
    <x v="2"/>
    <x v="2"/>
    <x v="2"/>
    <x v="2"/>
    <x v="2"/>
    <x v="1"/>
    <x v="2"/>
    <x v="1"/>
    <x v="1"/>
    <x v="1"/>
    <x v="1"/>
    <x v="2"/>
    <x v="1"/>
    <x v="2"/>
    <x v="2"/>
    <x v="1"/>
    <x v="1"/>
    <x v="1"/>
    <x v="1"/>
    <x v="1"/>
    <x v="2"/>
    <x v="1"/>
    <x v="0"/>
    <x v="0"/>
    <x v="2"/>
    <x v="1"/>
    <x v="2"/>
    <x v="1"/>
    <x v="2"/>
    <x v="1"/>
    <x v="1"/>
    <x v="0"/>
    <x v="1"/>
    <x v="2"/>
    <x v="1"/>
    <x v="0"/>
    <x v="0"/>
    <x v="2"/>
    <x v="2"/>
    <x v="2"/>
    <x v="2"/>
    <x v="2"/>
    <x v="1"/>
    <x v="2"/>
    <x v="1"/>
    <x v="2"/>
    <x v="2"/>
    <x v="2"/>
    <x v="2"/>
    <x v="1"/>
    <x v="2"/>
    <x v="1"/>
    <x v="2"/>
    <x v="1"/>
    <x v="2"/>
    <x v="2"/>
    <x v="2"/>
    <x v="1"/>
    <x v="2"/>
    <x v="1"/>
    <x v="2"/>
    <x v="1"/>
    <x v="1"/>
    <x v="1"/>
    <x v="1"/>
    <x v="2"/>
    <x v="1"/>
    <x v="1"/>
    <x v="1"/>
    <x v="1"/>
    <x v="0"/>
    <x v="2"/>
    <x v="1"/>
    <x v="0"/>
    <x v="1"/>
    <x v="2"/>
    <x v="0"/>
    <x v="2"/>
    <x v="2"/>
    <x v="1"/>
    <x v="2"/>
    <x v="1"/>
    <x v="1"/>
    <x v="2"/>
    <x v="1"/>
    <x v="1"/>
    <x v="0"/>
    <m/>
    <n v="20171572035"/>
  </r>
  <r>
    <d v="2017-05-18T09:31:41"/>
    <s v="lngonzalezh@correo.udistrital.edu.co"/>
    <s v="TECNOLOGÍA EN SISTEMAS ELÉCTRICOS DE MEDIA Y BAJA TENSIÓN POR CICLOS PROPEDÉUTICOS"/>
    <n v="1"/>
    <x v="3"/>
    <x v="0"/>
    <x v="2"/>
    <x v="0"/>
    <x v="2"/>
    <x v="2"/>
    <x v="2"/>
    <x v="2"/>
    <x v="2"/>
    <x v="0"/>
    <x v="0"/>
    <x v="3"/>
    <x v="3"/>
    <x v="0"/>
    <x v="3"/>
    <x v="2"/>
    <x v="3"/>
    <x v="2"/>
    <x v="2"/>
    <x v="1"/>
    <x v="2"/>
    <x v="2"/>
    <x v="2"/>
    <x v="3"/>
    <x v="3"/>
    <x v="2"/>
    <x v="2"/>
    <x v="2"/>
    <x v="2"/>
    <x v="0"/>
    <x v="1"/>
    <x v="2"/>
    <x v="1"/>
    <x v="1"/>
    <x v="1"/>
    <x v="0"/>
    <x v="0"/>
    <x v="2"/>
    <x v="2"/>
    <x v="1"/>
    <x v="1"/>
    <x v="0"/>
    <x v="2"/>
    <x v="0"/>
    <x v="0"/>
    <x v="1"/>
    <x v="2"/>
    <x v="1"/>
    <x v="3"/>
    <x v="1"/>
    <x v="1"/>
    <x v="3"/>
    <x v="2"/>
    <x v="0"/>
    <x v="2"/>
    <x v="3"/>
    <x v="3"/>
    <x v="1"/>
    <x v="1"/>
    <x v="0"/>
    <x v="1"/>
    <x v="0"/>
    <x v="1"/>
    <x v="0"/>
    <x v="1"/>
    <x v="1"/>
    <x v="1"/>
    <x v="0"/>
    <x v="1"/>
    <x v="1"/>
    <x v="1"/>
    <x v="2"/>
    <x v="2"/>
    <x v="2"/>
    <x v="1"/>
    <x v="0"/>
    <x v="1"/>
    <x v="2"/>
    <x v="1"/>
    <x v="1"/>
    <x v="1"/>
    <x v="0"/>
    <x v="0"/>
    <x v="2"/>
    <x v="0"/>
    <x v="0"/>
    <x v="2"/>
    <x v="0"/>
    <x v="3"/>
    <x v="2"/>
    <x v="3"/>
    <x v="0"/>
    <x v="2"/>
    <x v="0"/>
    <x v="2"/>
    <x v="0"/>
    <x v="1"/>
    <m/>
    <n v="20171572051"/>
  </r>
  <r>
    <d v="2017-05-18T09:32:08"/>
    <s v="brayanverdeoz@hotmail.com"/>
    <s v="TECNOLOGÍA EN SISTEMAS ELÉCTRICOS DE MEDIA Y BAJA TENSIÓN POR CICLOS PROPEDÉUTICOS"/>
    <n v="1"/>
    <x v="1"/>
    <x v="0"/>
    <x v="1"/>
    <x v="2"/>
    <x v="1"/>
    <x v="3"/>
    <x v="1"/>
    <x v="0"/>
    <x v="1"/>
    <x v="2"/>
    <x v="1"/>
    <x v="2"/>
    <x v="4"/>
    <x v="2"/>
    <x v="3"/>
    <x v="2"/>
    <x v="3"/>
    <x v="1"/>
    <x v="1"/>
    <x v="1"/>
    <x v="1"/>
    <x v="1"/>
    <x v="3"/>
    <x v="2"/>
    <x v="2"/>
    <x v="1"/>
    <x v="1"/>
    <x v="1"/>
    <x v="2"/>
    <x v="1"/>
    <x v="2"/>
    <x v="2"/>
    <x v="0"/>
    <x v="0"/>
    <x v="2"/>
    <x v="1"/>
    <x v="2"/>
    <x v="1"/>
    <x v="1"/>
    <x v="1"/>
    <x v="1"/>
    <x v="0"/>
    <x v="1"/>
    <x v="2"/>
    <x v="1"/>
    <x v="0"/>
    <x v="0"/>
    <x v="2"/>
    <x v="4"/>
    <x v="3"/>
    <x v="3"/>
    <x v="2"/>
    <x v="3"/>
    <x v="2"/>
    <x v="1"/>
    <x v="2"/>
    <x v="2"/>
    <x v="2"/>
    <x v="2"/>
    <x v="2"/>
    <x v="2"/>
    <x v="1"/>
    <x v="2"/>
    <x v="1"/>
    <x v="2"/>
    <x v="2"/>
    <x v="2"/>
    <x v="1"/>
    <x v="2"/>
    <x v="1"/>
    <x v="3"/>
    <x v="1"/>
    <x v="1"/>
    <x v="1"/>
    <x v="1"/>
    <x v="3"/>
    <x v="1"/>
    <x v="1"/>
    <x v="1"/>
    <x v="2"/>
    <x v="1"/>
    <x v="0"/>
    <x v="1"/>
    <x v="0"/>
    <x v="1"/>
    <x v="0"/>
    <x v="3"/>
    <x v="2"/>
    <x v="3"/>
    <x v="2"/>
    <x v="3"/>
    <x v="2"/>
    <x v="0"/>
    <x v="1"/>
    <x v="1"/>
    <x v="1"/>
    <x v="0"/>
    <m/>
    <n v="20171572049"/>
  </r>
  <r>
    <d v="2017-05-18T09:32:32"/>
    <s v="fracreyes123@gmail.com"/>
    <s v="TECNOLOGÍA EN SISTEMAS ELÉCTRICOS DE MEDIA Y BAJA TENSIÓN POR CICLOS PROPEDÉUTICOS"/>
    <n v="1"/>
    <x v="2"/>
    <x v="1"/>
    <x v="0"/>
    <x v="1"/>
    <x v="2"/>
    <x v="4"/>
    <x v="1"/>
    <x v="2"/>
    <x v="3"/>
    <x v="1"/>
    <x v="3"/>
    <x v="2"/>
    <x v="2"/>
    <x v="2"/>
    <x v="3"/>
    <x v="2"/>
    <x v="3"/>
    <x v="3"/>
    <x v="3"/>
    <x v="1"/>
    <x v="2"/>
    <x v="3"/>
    <x v="1"/>
    <x v="1"/>
    <x v="3"/>
    <x v="3"/>
    <x v="3"/>
    <x v="3"/>
    <x v="1"/>
    <x v="1"/>
    <x v="3"/>
    <x v="0"/>
    <x v="1"/>
    <x v="1"/>
    <x v="3"/>
    <x v="1"/>
    <x v="1"/>
    <x v="3"/>
    <x v="3"/>
    <x v="1"/>
    <x v="1"/>
    <x v="0"/>
    <x v="1"/>
    <x v="2"/>
    <x v="1"/>
    <x v="1"/>
    <x v="1"/>
    <x v="3"/>
    <x v="2"/>
    <x v="2"/>
    <x v="3"/>
    <x v="2"/>
    <x v="2"/>
    <x v="0"/>
    <x v="2"/>
    <x v="0"/>
    <x v="4"/>
    <x v="3"/>
    <x v="3"/>
    <x v="0"/>
    <x v="3"/>
    <x v="2"/>
    <x v="3"/>
    <x v="0"/>
    <x v="0"/>
    <x v="1"/>
    <x v="1"/>
    <x v="0"/>
    <x v="1"/>
    <x v="0"/>
    <x v="1"/>
    <x v="2"/>
    <x v="3"/>
    <x v="1"/>
    <x v="2"/>
    <x v="3"/>
    <x v="2"/>
    <x v="0"/>
    <x v="1"/>
    <x v="1"/>
    <x v="1"/>
    <x v="0"/>
    <x v="0"/>
    <x v="1"/>
    <x v="2"/>
    <x v="3"/>
    <x v="4"/>
    <x v="2"/>
    <x v="4"/>
    <x v="2"/>
    <x v="3"/>
    <x v="2"/>
    <x v="2"/>
    <x v="0"/>
    <x v="2"/>
    <x v="0"/>
    <x v="1"/>
    <m/>
    <n v="20171572047"/>
  </r>
  <r>
    <d v="2017-05-18T09:33:22"/>
    <s v="cmavendanoj@correo.udistrital.edu.co"/>
    <s v="TECNOLOGÍA EN SISTEMAS ELÉCTRICOS DE MEDIA Y BAJA TENSIÓN POR CICLOS PROPEDÉUTICOS"/>
    <n v="1"/>
    <x v="2"/>
    <x v="0"/>
    <x v="1"/>
    <x v="2"/>
    <x v="0"/>
    <x v="1"/>
    <x v="3"/>
    <x v="2"/>
    <x v="0"/>
    <x v="2"/>
    <x v="0"/>
    <x v="1"/>
    <x v="5"/>
    <x v="1"/>
    <x v="3"/>
    <x v="2"/>
    <x v="1"/>
    <x v="1"/>
    <x v="1"/>
    <x v="1"/>
    <x v="1"/>
    <x v="1"/>
    <x v="2"/>
    <x v="2"/>
    <x v="2"/>
    <x v="3"/>
    <x v="2"/>
    <x v="1"/>
    <x v="3"/>
    <x v="0"/>
    <x v="1"/>
    <x v="2"/>
    <x v="0"/>
    <x v="1"/>
    <x v="1"/>
    <x v="2"/>
    <x v="1"/>
    <x v="3"/>
    <x v="1"/>
    <x v="1"/>
    <x v="1"/>
    <x v="0"/>
    <x v="0"/>
    <x v="0"/>
    <x v="2"/>
    <x v="1"/>
    <x v="1"/>
    <x v="4"/>
    <x v="1"/>
    <x v="1"/>
    <x v="4"/>
    <x v="3"/>
    <x v="2"/>
    <x v="0"/>
    <x v="0"/>
    <x v="1"/>
    <x v="1"/>
    <x v="1"/>
    <x v="1"/>
    <x v="1"/>
    <x v="2"/>
    <x v="1"/>
    <x v="2"/>
    <x v="1"/>
    <x v="1"/>
    <x v="1"/>
    <x v="1"/>
    <x v="2"/>
    <x v="0"/>
    <x v="2"/>
    <x v="3"/>
    <x v="2"/>
    <x v="2"/>
    <x v="3"/>
    <x v="0"/>
    <x v="1"/>
    <x v="0"/>
    <x v="3"/>
    <x v="1"/>
    <x v="0"/>
    <x v="1"/>
    <x v="1"/>
    <x v="2"/>
    <x v="1"/>
    <x v="0"/>
    <x v="0"/>
    <x v="2"/>
    <x v="0"/>
    <x v="1"/>
    <x v="0"/>
    <x v="1"/>
    <x v="0"/>
    <x v="2"/>
    <x v="0"/>
    <x v="2"/>
    <x v="0"/>
    <x v="1"/>
    <m/>
    <n v="20171572066"/>
  </r>
  <r>
    <d v="2017-05-18T09:33:41"/>
    <s v="diegocast26@live.com"/>
    <s v="TECNOLOGÍA EN SISTEMAS ELÉCTRICOS DE MEDIA Y BAJA TENSIÓN POR CICLOS PROPEDÉUTICOS"/>
    <n v="1"/>
    <x v="2"/>
    <x v="1"/>
    <x v="1"/>
    <x v="0"/>
    <x v="2"/>
    <x v="4"/>
    <x v="4"/>
    <x v="2"/>
    <x v="0"/>
    <x v="1"/>
    <x v="1"/>
    <x v="3"/>
    <x v="1"/>
    <x v="0"/>
    <x v="3"/>
    <x v="3"/>
    <x v="4"/>
    <x v="3"/>
    <x v="3"/>
    <x v="2"/>
    <x v="2"/>
    <x v="3"/>
    <x v="3"/>
    <x v="1"/>
    <x v="1"/>
    <x v="3"/>
    <x v="0"/>
    <x v="0"/>
    <x v="3"/>
    <x v="2"/>
    <x v="4"/>
    <x v="0"/>
    <x v="1"/>
    <x v="2"/>
    <x v="3"/>
    <x v="0"/>
    <x v="0"/>
    <x v="3"/>
    <x v="4"/>
    <x v="0"/>
    <x v="0"/>
    <x v="0"/>
    <x v="2"/>
    <x v="1"/>
    <x v="0"/>
    <x v="1"/>
    <x v="2"/>
    <x v="1"/>
    <x v="1"/>
    <x v="4"/>
    <x v="1"/>
    <x v="2"/>
    <x v="2"/>
    <x v="0"/>
    <x v="0"/>
    <x v="0"/>
    <x v="4"/>
    <x v="4"/>
    <x v="4"/>
    <x v="2"/>
    <x v="1"/>
    <x v="0"/>
    <x v="3"/>
    <x v="2"/>
    <x v="0"/>
    <x v="1"/>
    <x v="3"/>
    <x v="3"/>
    <x v="0"/>
    <x v="2"/>
    <x v="0"/>
    <x v="2"/>
    <x v="4"/>
    <x v="4"/>
    <x v="2"/>
    <x v="3"/>
    <x v="2"/>
    <x v="0"/>
    <x v="2"/>
    <x v="0"/>
    <x v="1"/>
    <x v="1"/>
    <x v="0"/>
    <x v="1"/>
    <x v="0"/>
    <x v="1"/>
    <x v="2"/>
    <x v="1"/>
    <x v="3"/>
    <x v="2"/>
    <x v="1"/>
    <x v="2"/>
    <x v="0"/>
    <x v="0"/>
    <x v="2"/>
    <x v="2"/>
    <x v="1"/>
    <m/>
    <n v="20171572019"/>
  </r>
  <r>
    <d v="2017-05-18T09:33:57"/>
    <s v="luisafernanda12hernandez@gmail.com"/>
    <s v="TECNOLOGÍA EN SISTEMAS ELÉCTRICOS DE MEDIA Y BAJA TENSIÓN POR CICLOS PROPEDÉUTICOS"/>
    <n v="1"/>
    <x v="1"/>
    <x v="0"/>
    <x v="1"/>
    <x v="1"/>
    <x v="3"/>
    <x v="5"/>
    <x v="1"/>
    <x v="1"/>
    <x v="1"/>
    <x v="2"/>
    <x v="4"/>
    <x v="4"/>
    <x v="2"/>
    <x v="2"/>
    <x v="1"/>
    <x v="1"/>
    <x v="5"/>
    <x v="1"/>
    <x v="1"/>
    <x v="1"/>
    <x v="1"/>
    <x v="1"/>
    <x v="1"/>
    <x v="0"/>
    <x v="2"/>
    <x v="1"/>
    <x v="1"/>
    <x v="3"/>
    <x v="1"/>
    <x v="2"/>
    <x v="1"/>
    <x v="3"/>
    <x v="2"/>
    <x v="1"/>
    <x v="2"/>
    <x v="1"/>
    <x v="1"/>
    <x v="3"/>
    <x v="4"/>
    <x v="0"/>
    <x v="1"/>
    <x v="0"/>
    <x v="3"/>
    <x v="1"/>
    <x v="3"/>
    <x v="0"/>
    <x v="0"/>
    <x v="3"/>
    <x v="1"/>
    <x v="4"/>
    <x v="4"/>
    <x v="0"/>
    <x v="1"/>
    <x v="1"/>
    <x v="0"/>
    <x v="1"/>
    <x v="4"/>
    <x v="1"/>
    <x v="1"/>
    <x v="1"/>
    <x v="2"/>
    <x v="1"/>
    <x v="2"/>
    <x v="1"/>
    <x v="2"/>
    <x v="2"/>
    <x v="2"/>
    <x v="1"/>
    <x v="2"/>
    <x v="1"/>
    <x v="3"/>
    <x v="1"/>
    <x v="1"/>
    <x v="2"/>
    <x v="1"/>
    <x v="2"/>
    <x v="1"/>
    <x v="1"/>
    <x v="3"/>
    <x v="1"/>
    <x v="0"/>
    <x v="2"/>
    <x v="1"/>
    <x v="0"/>
    <x v="1"/>
    <x v="2"/>
    <x v="0"/>
    <x v="3"/>
    <x v="4"/>
    <x v="3"/>
    <x v="0"/>
    <x v="1"/>
    <x v="1"/>
    <x v="2"/>
    <x v="1"/>
    <x v="1"/>
    <x v="0"/>
    <m/>
    <n v="20171572024"/>
  </r>
  <r>
    <d v="2017-05-18T09:34:16"/>
    <s v="jhonfajardo@gmail.com"/>
    <s v="TECNOLOGÍA EN SISTEMAS ELÉCTRICOS DE MEDIA Y BAJA TENSIÓN POR CICLOS PROPEDÉUTICOS"/>
    <n v="1"/>
    <x v="2"/>
    <x v="0"/>
    <x v="1"/>
    <x v="2"/>
    <x v="1"/>
    <x v="4"/>
    <x v="4"/>
    <x v="1"/>
    <x v="3"/>
    <x v="2"/>
    <x v="2"/>
    <x v="3"/>
    <x v="3"/>
    <x v="2"/>
    <x v="1"/>
    <x v="1"/>
    <x v="1"/>
    <x v="1"/>
    <x v="3"/>
    <x v="2"/>
    <x v="1"/>
    <x v="3"/>
    <x v="2"/>
    <x v="2"/>
    <x v="3"/>
    <x v="0"/>
    <x v="3"/>
    <x v="1"/>
    <x v="4"/>
    <x v="1"/>
    <x v="2"/>
    <x v="2"/>
    <x v="0"/>
    <x v="2"/>
    <x v="3"/>
    <x v="1"/>
    <x v="2"/>
    <x v="1"/>
    <x v="2"/>
    <x v="1"/>
    <x v="1"/>
    <x v="0"/>
    <x v="3"/>
    <x v="0"/>
    <x v="1"/>
    <x v="0"/>
    <x v="3"/>
    <x v="2"/>
    <x v="1"/>
    <x v="4"/>
    <x v="5"/>
    <x v="2"/>
    <x v="4"/>
    <x v="1"/>
    <x v="0"/>
    <x v="2"/>
    <x v="2"/>
    <x v="2"/>
    <x v="2"/>
    <x v="1"/>
    <x v="2"/>
    <x v="1"/>
    <x v="2"/>
    <x v="1"/>
    <x v="3"/>
    <x v="2"/>
    <x v="1"/>
    <x v="3"/>
    <x v="3"/>
    <x v="3"/>
    <x v="4"/>
    <x v="0"/>
    <x v="3"/>
    <x v="1"/>
    <x v="1"/>
    <x v="4"/>
    <x v="3"/>
    <x v="3"/>
    <x v="1"/>
    <x v="0"/>
    <x v="1"/>
    <x v="1"/>
    <x v="0"/>
    <x v="1"/>
    <x v="0"/>
    <x v="4"/>
    <x v="4"/>
    <x v="3"/>
    <x v="4"/>
    <x v="3"/>
    <x v="1"/>
    <x v="3"/>
    <x v="2"/>
    <x v="3"/>
    <x v="3"/>
    <x v="2"/>
    <x v="2"/>
    <m/>
    <n v="20171572034"/>
  </r>
  <r>
    <d v="2017-05-18T09:36:50"/>
    <s v="cristianalfredo_09@hotmail.com"/>
    <s v="TECNOLOGÍA EN ELECTRICIDAD"/>
    <n v="1"/>
    <x v="1"/>
    <x v="0"/>
    <x v="1"/>
    <x v="2"/>
    <x v="1"/>
    <x v="2"/>
    <x v="1"/>
    <x v="1"/>
    <x v="4"/>
    <x v="2"/>
    <x v="2"/>
    <x v="2"/>
    <x v="3"/>
    <x v="3"/>
    <x v="3"/>
    <x v="2"/>
    <x v="2"/>
    <x v="1"/>
    <x v="1"/>
    <x v="1"/>
    <x v="1"/>
    <x v="1"/>
    <x v="1"/>
    <x v="2"/>
    <x v="3"/>
    <x v="1"/>
    <x v="1"/>
    <x v="1"/>
    <x v="1"/>
    <x v="3"/>
    <x v="2"/>
    <x v="1"/>
    <x v="0"/>
    <x v="2"/>
    <x v="1"/>
    <x v="1"/>
    <x v="2"/>
    <x v="0"/>
    <x v="1"/>
    <x v="1"/>
    <x v="1"/>
    <x v="0"/>
    <x v="4"/>
    <x v="0"/>
    <x v="1"/>
    <x v="0"/>
    <x v="0"/>
    <x v="2"/>
    <x v="4"/>
    <x v="4"/>
    <x v="2"/>
    <x v="2"/>
    <x v="0"/>
    <x v="3"/>
    <x v="2"/>
    <x v="1"/>
    <x v="3"/>
    <x v="1"/>
    <x v="1"/>
    <x v="1"/>
    <x v="4"/>
    <x v="1"/>
    <x v="2"/>
    <x v="1"/>
    <x v="2"/>
    <x v="2"/>
    <x v="2"/>
    <x v="1"/>
    <x v="2"/>
    <x v="1"/>
    <x v="3"/>
    <x v="1"/>
    <x v="1"/>
    <x v="2"/>
    <x v="1"/>
    <x v="2"/>
    <x v="1"/>
    <x v="1"/>
    <x v="1"/>
    <x v="1"/>
    <x v="0"/>
    <x v="2"/>
    <x v="1"/>
    <x v="1"/>
    <x v="0"/>
    <x v="2"/>
    <x v="0"/>
    <x v="4"/>
    <x v="2"/>
    <x v="1"/>
    <x v="2"/>
    <x v="1"/>
    <x v="1"/>
    <x v="2"/>
    <x v="3"/>
    <x v="3"/>
    <x v="3"/>
    <m/>
    <n v="20171572013"/>
  </r>
  <r>
    <d v="2017-05-18T09:37:20"/>
    <s v="nicolas08131@outlook.es"/>
    <s v="TECNOLOGÍA EN SISTEMAS ELÉCTRICOS DE MEDIA Y BAJA TENSIÓN POR CICLOS PROPEDÉUTICOS"/>
    <n v="1"/>
    <x v="2"/>
    <x v="0"/>
    <x v="1"/>
    <x v="2"/>
    <x v="0"/>
    <x v="4"/>
    <x v="4"/>
    <x v="1"/>
    <x v="1"/>
    <x v="2"/>
    <x v="3"/>
    <x v="1"/>
    <x v="5"/>
    <x v="2"/>
    <x v="1"/>
    <x v="2"/>
    <x v="3"/>
    <x v="3"/>
    <x v="3"/>
    <x v="1"/>
    <x v="1"/>
    <x v="1"/>
    <x v="1"/>
    <x v="1"/>
    <x v="1"/>
    <x v="3"/>
    <x v="0"/>
    <x v="0"/>
    <x v="1"/>
    <x v="0"/>
    <x v="1"/>
    <x v="1"/>
    <x v="0"/>
    <x v="1"/>
    <x v="2"/>
    <x v="1"/>
    <x v="1"/>
    <x v="1"/>
    <x v="1"/>
    <x v="1"/>
    <x v="1"/>
    <x v="0"/>
    <x v="1"/>
    <x v="1"/>
    <x v="0"/>
    <x v="0"/>
    <x v="0"/>
    <x v="1"/>
    <x v="4"/>
    <x v="1"/>
    <x v="4"/>
    <x v="3"/>
    <x v="1"/>
    <x v="2"/>
    <x v="1"/>
    <x v="2"/>
    <x v="1"/>
    <x v="2"/>
    <x v="2"/>
    <x v="1"/>
    <x v="1"/>
    <x v="1"/>
    <x v="2"/>
    <x v="1"/>
    <x v="1"/>
    <x v="2"/>
    <x v="2"/>
    <x v="1"/>
    <x v="2"/>
    <x v="1"/>
    <x v="3"/>
    <x v="2"/>
    <x v="2"/>
    <x v="1"/>
    <x v="0"/>
    <x v="1"/>
    <x v="0"/>
    <x v="0"/>
    <x v="0"/>
    <x v="1"/>
    <x v="1"/>
    <x v="2"/>
    <x v="1"/>
    <x v="0"/>
    <x v="1"/>
    <x v="1"/>
    <x v="1"/>
    <x v="1"/>
    <x v="2"/>
    <x v="1"/>
    <x v="2"/>
    <x v="1"/>
    <x v="0"/>
    <x v="2"/>
    <x v="2"/>
    <x v="2"/>
    <x v="1"/>
    <m/>
    <n v="20171572045"/>
  </r>
  <r>
    <d v="2017-05-18T09:37:28"/>
    <s v="berodriguezr@correo.udistrital.edu.co"/>
    <s v="TECNOLOGÍA EN SISTEMAS ELÉCTRICOS DE MEDIA Y BAJA TENSIÓN POR CICLOS PROPEDÉUTICOS"/>
    <n v="1"/>
    <x v="2"/>
    <x v="1"/>
    <x v="0"/>
    <x v="1"/>
    <x v="2"/>
    <x v="2"/>
    <x v="3"/>
    <x v="3"/>
    <x v="2"/>
    <x v="0"/>
    <x v="0"/>
    <x v="5"/>
    <x v="5"/>
    <x v="0"/>
    <x v="4"/>
    <x v="1"/>
    <x v="3"/>
    <x v="4"/>
    <x v="4"/>
    <x v="3"/>
    <x v="3"/>
    <x v="3"/>
    <x v="3"/>
    <x v="4"/>
    <x v="4"/>
    <x v="4"/>
    <x v="4"/>
    <x v="2"/>
    <x v="3"/>
    <x v="4"/>
    <x v="4"/>
    <x v="4"/>
    <x v="3"/>
    <x v="0"/>
    <x v="4"/>
    <x v="0"/>
    <x v="0"/>
    <x v="4"/>
    <x v="2"/>
    <x v="2"/>
    <x v="2"/>
    <x v="2"/>
    <x v="3"/>
    <x v="0"/>
    <x v="2"/>
    <x v="2"/>
    <x v="2"/>
    <x v="5"/>
    <x v="0"/>
    <x v="3"/>
    <x v="4"/>
    <x v="1"/>
    <x v="0"/>
    <x v="1"/>
    <x v="0"/>
    <x v="1"/>
    <x v="1"/>
    <x v="2"/>
    <x v="1"/>
    <x v="2"/>
    <x v="3"/>
    <x v="0"/>
    <x v="4"/>
    <x v="2"/>
    <x v="0"/>
    <x v="3"/>
    <x v="3"/>
    <x v="2"/>
    <x v="0"/>
    <x v="2"/>
    <x v="0"/>
    <x v="0"/>
    <x v="4"/>
    <x v="4"/>
    <x v="2"/>
    <x v="3"/>
    <x v="2"/>
    <x v="3"/>
    <x v="2"/>
    <x v="3"/>
    <x v="2"/>
    <x v="0"/>
    <x v="0"/>
    <x v="2"/>
    <x v="2"/>
    <x v="0"/>
    <x v="2"/>
    <x v="0"/>
    <x v="3"/>
    <x v="2"/>
    <x v="4"/>
    <x v="2"/>
    <x v="0"/>
    <x v="4"/>
    <x v="3"/>
    <x v="2"/>
    <x v="2"/>
    <m/>
    <n v="20171572001"/>
  </r>
  <r>
    <d v="2017-05-18T09:38:02"/>
    <s v="yerismora99@gmail.com"/>
    <s v="TECNOLOGÍA EN SISTEMAS ELÉCTRICOS DE MEDIA Y BAJA TENSIÓN POR CICLOS PROPEDÉUTICOS"/>
    <n v="1"/>
    <x v="3"/>
    <x v="0"/>
    <x v="1"/>
    <x v="2"/>
    <x v="0"/>
    <x v="4"/>
    <x v="3"/>
    <x v="3"/>
    <x v="0"/>
    <x v="1"/>
    <x v="4"/>
    <x v="1"/>
    <x v="1"/>
    <x v="1"/>
    <x v="1"/>
    <x v="2"/>
    <x v="3"/>
    <x v="1"/>
    <x v="3"/>
    <x v="1"/>
    <x v="1"/>
    <x v="1"/>
    <x v="1"/>
    <x v="1"/>
    <x v="2"/>
    <x v="1"/>
    <x v="1"/>
    <x v="0"/>
    <x v="0"/>
    <x v="1"/>
    <x v="1"/>
    <x v="1"/>
    <x v="0"/>
    <x v="0"/>
    <x v="2"/>
    <x v="2"/>
    <x v="0"/>
    <x v="3"/>
    <x v="4"/>
    <x v="1"/>
    <x v="1"/>
    <x v="0"/>
    <x v="2"/>
    <x v="1"/>
    <x v="0"/>
    <x v="1"/>
    <x v="1"/>
    <x v="1"/>
    <x v="4"/>
    <x v="1"/>
    <x v="4"/>
    <x v="3"/>
    <x v="2"/>
    <x v="1"/>
    <x v="0"/>
    <x v="1"/>
    <x v="1"/>
    <x v="1"/>
    <x v="1"/>
    <x v="1"/>
    <x v="1"/>
    <x v="0"/>
    <x v="2"/>
    <x v="1"/>
    <x v="2"/>
    <x v="2"/>
    <x v="1"/>
    <x v="0"/>
    <x v="1"/>
    <x v="1"/>
    <x v="3"/>
    <x v="2"/>
    <x v="1"/>
    <x v="2"/>
    <x v="1"/>
    <x v="2"/>
    <x v="1"/>
    <x v="0"/>
    <x v="1"/>
    <x v="1"/>
    <x v="1"/>
    <x v="1"/>
    <x v="0"/>
    <x v="1"/>
    <x v="0"/>
    <x v="2"/>
    <x v="1"/>
    <x v="1"/>
    <x v="1"/>
    <x v="0"/>
    <x v="1"/>
    <x v="0"/>
    <x v="0"/>
    <x v="1"/>
    <x v="1"/>
    <x v="1"/>
    <x v="0"/>
    <m/>
    <n v="20171572072"/>
  </r>
  <r>
    <d v="2017-05-18T09:38:45"/>
    <s v="corderolaura9.2@gmail.com"/>
    <s v="TECNOLOGÍA EN SISTEMAS ELÉCTRICOS DE MEDIA Y BAJA TENSIÓN POR CICLOS PROPEDÉUTICOS"/>
    <n v="1"/>
    <x v="3"/>
    <x v="0"/>
    <x v="2"/>
    <x v="0"/>
    <x v="1"/>
    <x v="0"/>
    <x v="3"/>
    <x v="1"/>
    <x v="1"/>
    <x v="2"/>
    <x v="2"/>
    <x v="2"/>
    <x v="4"/>
    <x v="2"/>
    <x v="3"/>
    <x v="4"/>
    <x v="2"/>
    <x v="3"/>
    <x v="3"/>
    <x v="1"/>
    <x v="2"/>
    <x v="3"/>
    <x v="2"/>
    <x v="0"/>
    <x v="0"/>
    <x v="1"/>
    <x v="1"/>
    <x v="1"/>
    <x v="4"/>
    <x v="3"/>
    <x v="5"/>
    <x v="3"/>
    <x v="2"/>
    <x v="3"/>
    <x v="4"/>
    <x v="2"/>
    <x v="3"/>
    <x v="0"/>
    <x v="3"/>
    <x v="1"/>
    <x v="1"/>
    <x v="0"/>
    <x v="1"/>
    <x v="0"/>
    <x v="2"/>
    <x v="0"/>
    <x v="0"/>
    <x v="1"/>
    <x v="2"/>
    <x v="4"/>
    <x v="3"/>
    <x v="2"/>
    <x v="4"/>
    <x v="4"/>
    <x v="1"/>
    <x v="4"/>
    <x v="3"/>
    <x v="0"/>
    <x v="0"/>
    <x v="2"/>
    <x v="2"/>
    <x v="0"/>
    <x v="0"/>
    <x v="1"/>
    <x v="0"/>
    <x v="2"/>
    <x v="2"/>
    <x v="4"/>
    <x v="1"/>
    <x v="4"/>
    <x v="3"/>
    <x v="1"/>
    <x v="3"/>
    <x v="1"/>
    <x v="1"/>
    <x v="1"/>
    <x v="1"/>
    <x v="1"/>
    <x v="1"/>
    <x v="0"/>
    <x v="3"/>
    <x v="1"/>
    <x v="0"/>
    <x v="3"/>
    <x v="3"/>
    <x v="4"/>
    <x v="5"/>
    <x v="3"/>
    <x v="1"/>
    <x v="0"/>
    <x v="5"/>
    <x v="3"/>
    <x v="3"/>
    <x v="3"/>
    <x v="1"/>
    <x v="4"/>
    <x v="4"/>
    <m/>
    <n v="20171572038"/>
  </r>
  <r>
    <d v="2017-05-18T09:39:18"/>
    <s v="reyden0000@gmail.com"/>
    <s v="TECNOLOGÍA EN ELECTRICIDAD"/>
    <n v="1"/>
    <x v="2"/>
    <x v="0"/>
    <x v="1"/>
    <x v="1"/>
    <x v="3"/>
    <x v="2"/>
    <x v="2"/>
    <x v="0"/>
    <x v="2"/>
    <x v="1"/>
    <x v="0"/>
    <x v="2"/>
    <x v="1"/>
    <x v="1"/>
    <x v="3"/>
    <x v="3"/>
    <x v="0"/>
    <x v="1"/>
    <x v="1"/>
    <x v="1"/>
    <x v="1"/>
    <x v="3"/>
    <x v="1"/>
    <x v="2"/>
    <x v="0"/>
    <x v="0"/>
    <x v="3"/>
    <x v="0"/>
    <x v="0"/>
    <x v="0"/>
    <x v="1"/>
    <x v="0"/>
    <x v="4"/>
    <x v="3"/>
    <x v="1"/>
    <x v="0"/>
    <x v="0"/>
    <x v="2"/>
    <x v="4"/>
    <x v="0"/>
    <x v="1"/>
    <x v="3"/>
    <x v="5"/>
    <x v="2"/>
    <x v="1"/>
    <x v="0"/>
    <x v="0"/>
    <x v="2"/>
    <x v="1"/>
    <x v="4"/>
    <x v="0"/>
    <x v="2"/>
    <x v="4"/>
    <x v="1"/>
    <x v="1"/>
    <x v="4"/>
    <x v="5"/>
    <x v="1"/>
    <x v="1"/>
    <x v="0"/>
    <x v="1"/>
    <x v="0"/>
    <x v="1"/>
    <x v="1"/>
    <x v="0"/>
    <x v="2"/>
    <x v="2"/>
    <x v="3"/>
    <x v="0"/>
    <x v="2"/>
    <x v="4"/>
    <x v="2"/>
    <x v="4"/>
    <x v="1"/>
    <x v="0"/>
    <x v="1"/>
    <x v="3"/>
    <x v="0"/>
    <x v="3"/>
    <x v="1"/>
    <x v="0"/>
    <x v="2"/>
    <x v="3"/>
    <x v="3"/>
    <x v="3"/>
    <x v="3"/>
    <x v="5"/>
    <x v="3"/>
    <x v="1"/>
    <x v="0"/>
    <x v="3"/>
    <x v="0"/>
    <x v="0"/>
    <x v="3"/>
    <x v="1"/>
    <x v="0"/>
    <x v="1"/>
    <m/>
    <n v="20171572042"/>
  </r>
  <r>
    <d v="2017-05-18T09:39:28"/>
    <s v="stefannyvasquezmontana@hotmail.com"/>
    <s v="TECNOLOGÍA EN SISTEMAS ELÉCTRICOS DE MEDIA Y BAJA TENSIÓN POR CICLOS PROPEDÉUTICOS"/>
    <n v="1"/>
    <x v="1"/>
    <x v="0"/>
    <x v="1"/>
    <x v="2"/>
    <x v="4"/>
    <x v="3"/>
    <x v="1"/>
    <x v="1"/>
    <x v="1"/>
    <x v="2"/>
    <x v="3"/>
    <x v="0"/>
    <x v="2"/>
    <x v="2"/>
    <x v="2"/>
    <x v="5"/>
    <x v="5"/>
    <x v="1"/>
    <x v="1"/>
    <x v="1"/>
    <x v="1"/>
    <x v="1"/>
    <x v="1"/>
    <x v="2"/>
    <x v="2"/>
    <x v="1"/>
    <x v="1"/>
    <x v="0"/>
    <x v="1"/>
    <x v="0"/>
    <x v="2"/>
    <x v="1"/>
    <x v="2"/>
    <x v="0"/>
    <x v="2"/>
    <x v="2"/>
    <x v="2"/>
    <x v="3"/>
    <x v="2"/>
    <x v="3"/>
    <x v="1"/>
    <x v="1"/>
    <x v="1"/>
    <x v="1"/>
    <x v="2"/>
    <x v="0"/>
    <x v="1"/>
    <x v="2"/>
    <x v="0"/>
    <x v="5"/>
    <x v="4"/>
    <x v="3"/>
    <x v="1"/>
    <x v="1"/>
    <x v="0"/>
    <x v="2"/>
    <x v="2"/>
    <x v="2"/>
    <x v="2"/>
    <x v="1"/>
    <x v="2"/>
    <x v="0"/>
    <x v="1"/>
    <x v="1"/>
    <x v="0"/>
    <x v="1"/>
    <x v="2"/>
    <x v="0"/>
    <x v="1"/>
    <x v="0"/>
    <x v="1"/>
    <x v="2"/>
    <x v="2"/>
    <x v="4"/>
    <x v="0"/>
    <x v="1"/>
    <x v="0"/>
    <x v="0"/>
    <x v="0"/>
    <x v="0"/>
    <x v="1"/>
    <x v="1"/>
    <x v="0"/>
    <x v="1"/>
    <x v="0"/>
    <x v="1"/>
    <x v="1"/>
    <x v="1"/>
    <x v="1"/>
    <x v="0"/>
    <x v="1"/>
    <x v="0"/>
    <x v="0"/>
    <x v="1"/>
    <x v="2"/>
    <x v="0"/>
    <x v="1"/>
    <m/>
    <n v="20171572067"/>
  </r>
  <r>
    <d v="2017-05-18T09:39:37"/>
    <s v="altupack@gmail.com"/>
    <s v="TECNOLOGÍA EN SISTEMAS ELÉCTRICOS DE MEDIA Y BAJA TENSIÓN POR CICLOS PROPEDÉUTICOS"/>
    <n v="1"/>
    <x v="1"/>
    <x v="1"/>
    <x v="1"/>
    <x v="0"/>
    <x v="0"/>
    <x v="1"/>
    <x v="1"/>
    <x v="0"/>
    <x v="0"/>
    <x v="2"/>
    <x v="4"/>
    <x v="3"/>
    <x v="3"/>
    <x v="2"/>
    <x v="1"/>
    <x v="1"/>
    <x v="3"/>
    <x v="1"/>
    <x v="3"/>
    <x v="2"/>
    <x v="2"/>
    <x v="2"/>
    <x v="2"/>
    <x v="2"/>
    <x v="1"/>
    <x v="3"/>
    <x v="0"/>
    <x v="0"/>
    <x v="0"/>
    <x v="2"/>
    <x v="1"/>
    <x v="0"/>
    <x v="2"/>
    <x v="1"/>
    <x v="1"/>
    <x v="2"/>
    <x v="1"/>
    <x v="1"/>
    <x v="4"/>
    <x v="1"/>
    <x v="1"/>
    <x v="0"/>
    <x v="2"/>
    <x v="1"/>
    <x v="0"/>
    <x v="3"/>
    <x v="1"/>
    <x v="1"/>
    <x v="1"/>
    <x v="4"/>
    <x v="5"/>
    <x v="2"/>
    <x v="2"/>
    <x v="1"/>
    <x v="0"/>
    <x v="1"/>
    <x v="1"/>
    <x v="1"/>
    <x v="1"/>
    <x v="0"/>
    <x v="1"/>
    <x v="0"/>
    <x v="1"/>
    <x v="0"/>
    <x v="0"/>
    <x v="1"/>
    <x v="1"/>
    <x v="2"/>
    <x v="1"/>
    <x v="2"/>
    <x v="1"/>
    <x v="2"/>
    <x v="3"/>
    <x v="1"/>
    <x v="0"/>
    <x v="1"/>
    <x v="0"/>
    <x v="0"/>
    <x v="0"/>
    <x v="0"/>
    <x v="1"/>
    <x v="1"/>
    <x v="0"/>
    <x v="1"/>
    <x v="3"/>
    <x v="0"/>
    <x v="5"/>
    <x v="3"/>
    <x v="1"/>
    <x v="0"/>
    <x v="1"/>
    <x v="0"/>
    <x v="0"/>
    <x v="1"/>
    <x v="2"/>
    <x v="0"/>
    <x v="1"/>
    <m/>
    <n v="20171572032"/>
  </r>
  <r>
    <d v="2017-05-18T09:41:31"/>
    <s v="solocolombia22@gmail.com"/>
    <s v="TECNOLOGÍA EN SISTEMAS ELÉCTRICOS DE MEDIA Y BAJA TENSIÓN POR CICLOS PROPEDÉUTICOS"/>
    <n v="1"/>
    <x v="3"/>
    <x v="1"/>
    <x v="2"/>
    <x v="0"/>
    <x v="2"/>
    <x v="2"/>
    <x v="0"/>
    <x v="4"/>
    <x v="0"/>
    <x v="3"/>
    <x v="1"/>
    <x v="4"/>
    <x v="1"/>
    <x v="1"/>
    <x v="3"/>
    <x v="2"/>
    <x v="0"/>
    <x v="2"/>
    <x v="3"/>
    <x v="3"/>
    <x v="2"/>
    <x v="2"/>
    <x v="3"/>
    <x v="2"/>
    <x v="2"/>
    <x v="3"/>
    <x v="3"/>
    <x v="0"/>
    <x v="4"/>
    <x v="0"/>
    <x v="1"/>
    <x v="0"/>
    <x v="1"/>
    <x v="2"/>
    <x v="1"/>
    <x v="0"/>
    <x v="0"/>
    <x v="3"/>
    <x v="2"/>
    <x v="0"/>
    <x v="1"/>
    <x v="0"/>
    <x v="2"/>
    <x v="1"/>
    <x v="2"/>
    <x v="3"/>
    <x v="2"/>
    <x v="4"/>
    <x v="1"/>
    <x v="1"/>
    <x v="1"/>
    <x v="1"/>
    <x v="2"/>
    <x v="0"/>
    <x v="2"/>
    <x v="0"/>
    <x v="1"/>
    <x v="4"/>
    <x v="1"/>
    <x v="1"/>
    <x v="2"/>
    <x v="1"/>
    <x v="1"/>
    <x v="0"/>
    <x v="0"/>
    <x v="1"/>
    <x v="4"/>
    <x v="0"/>
    <x v="2"/>
    <x v="0"/>
    <x v="0"/>
    <x v="2"/>
    <x v="2"/>
    <x v="4"/>
    <x v="2"/>
    <x v="1"/>
    <x v="0"/>
    <x v="0"/>
    <x v="2"/>
    <x v="4"/>
    <x v="2"/>
    <x v="0"/>
    <x v="1"/>
    <x v="2"/>
    <x v="1"/>
    <x v="5"/>
    <x v="2"/>
    <x v="3"/>
    <x v="4"/>
    <x v="3"/>
    <x v="3"/>
    <x v="2"/>
    <x v="2"/>
    <x v="3"/>
    <x v="3"/>
    <x v="0"/>
    <x v="1"/>
    <m/>
    <n v="20171572004"/>
  </r>
  <r>
    <d v="2017-05-18T09:41:42"/>
    <s v="freizerrozo@gmail.com"/>
    <s v="TECNOLOGÍA EN SISTEMAS ELÉCTRICOS DE MEDIA Y BAJA TENSIÓN POR CICLOS PROPEDÉUTICOS"/>
    <n v="1"/>
    <x v="2"/>
    <x v="1"/>
    <x v="1"/>
    <x v="2"/>
    <x v="5"/>
    <x v="1"/>
    <x v="1"/>
    <x v="2"/>
    <x v="0"/>
    <x v="1"/>
    <x v="3"/>
    <x v="4"/>
    <x v="1"/>
    <x v="0"/>
    <x v="1"/>
    <x v="2"/>
    <x v="3"/>
    <x v="2"/>
    <x v="3"/>
    <x v="1"/>
    <x v="1"/>
    <x v="1"/>
    <x v="2"/>
    <x v="1"/>
    <x v="1"/>
    <x v="3"/>
    <x v="0"/>
    <x v="0"/>
    <x v="0"/>
    <x v="0"/>
    <x v="0"/>
    <x v="2"/>
    <x v="2"/>
    <x v="1"/>
    <x v="1"/>
    <x v="2"/>
    <x v="1"/>
    <x v="3"/>
    <x v="4"/>
    <x v="0"/>
    <x v="0"/>
    <x v="1"/>
    <x v="2"/>
    <x v="1"/>
    <x v="0"/>
    <x v="1"/>
    <x v="2"/>
    <x v="4"/>
    <x v="1"/>
    <x v="0"/>
    <x v="4"/>
    <x v="4"/>
    <x v="2"/>
    <x v="1"/>
    <x v="2"/>
    <x v="0"/>
    <x v="4"/>
    <x v="2"/>
    <x v="1"/>
    <x v="2"/>
    <x v="3"/>
    <x v="0"/>
    <x v="3"/>
    <x v="2"/>
    <x v="1"/>
    <x v="1"/>
    <x v="1"/>
    <x v="0"/>
    <x v="1"/>
    <x v="0"/>
    <x v="1"/>
    <x v="2"/>
    <x v="2"/>
    <x v="5"/>
    <x v="0"/>
    <x v="2"/>
    <x v="2"/>
    <x v="3"/>
    <x v="2"/>
    <x v="0"/>
    <x v="1"/>
    <x v="1"/>
    <x v="0"/>
    <x v="2"/>
    <x v="4"/>
    <x v="1"/>
    <x v="0"/>
    <x v="1"/>
    <x v="1"/>
    <x v="0"/>
    <x v="3"/>
    <x v="0"/>
    <x v="0"/>
    <x v="1"/>
    <x v="2"/>
    <x v="0"/>
    <x v="2"/>
    <m/>
    <n v="20171572018"/>
  </r>
  <r>
    <d v="2017-05-18T09:42:25"/>
    <s v="mariajosecucanchon@gmail.com"/>
    <s v="TECNOLOGÍA EN SISTEMAS ELÉCTRICOS DE MEDIA Y BAJA TENSIÓN POR CICLOS PROPEDÉUTICOS"/>
    <n v="1"/>
    <x v="2"/>
    <x v="1"/>
    <x v="2"/>
    <x v="1"/>
    <x v="1"/>
    <x v="2"/>
    <x v="3"/>
    <x v="1"/>
    <x v="4"/>
    <x v="2"/>
    <x v="2"/>
    <x v="2"/>
    <x v="3"/>
    <x v="3"/>
    <x v="3"/>
    <x v="3"/>
    <x v="3"/>
    <x v="3"/>
    <x v="1"/>
    <x v="2"/>
    <x v="2"/>
    <x v="3"/>
    <x v="2"/>
    <x v="2"/>
    <x v="1"/>
    <x v="1"/>
    <x v="2"/>
    <x v="1"/>
    <x v="1"/>
    <x v="0"/>
    <x v="0"/>
    <x v="0"/>
    <x v="2"/>
    <x v="1"/>
    <x v="3"/>
    <x v="0"/>
    <x v="0"/>
    <x v="1"/>
    <x v="4"/>
    <x v="1"/>
    <x v="1"/>
    <x v="0"/>
    <x v="1"/>
    <x v="1"/>
    <x v="0"/>
    <x v="1"/>
    <x v="2"/>
    <x v="1"/>
    <x v="1"/>
    <x v="3"/>
    <x v="4"/>
    <x v="0"/>
    <x v="1"/>
    <x v="0"/>
    <x v="2"/>
    <x v="0"/>
    <x v="5"/>
    <x v="1"/>
    <x v="4"/>
    <x v="1"/>
    <x v="3"/>
    <x v="0"/>
    <x v="1"/>
    <x v="0"/>
    <x v="1"/>
    <x v="1"/>
    <x v="1"/>
    <x v="2"/>
    <x v="0"/>
    <x v="2"/>
    <x v="1"/>
    <x v="2"/>
    <x v="2"/>
    <x v="1"/>
    <x v="0"/>
    <x v="3"/>
    <x v="0"/>
    <x v="3"/>
    <x v="1"/>
    <x v="0"/>
    <x v="1"/>
    <x v="0"/>
    <x v="0"/>
    <x v="1"/>
    <x v="1"/>
    <x v="0"/>
    <x v="3"/>
    <x v="0"/>
    <x v="3"/>
    <x v="2"/>
    <x v="3"/>
    <x v="2"/>
    <x v="2"/>
    <x v="0"/>
    <x v="3"/>
    <x v="2"/>
    <x v="2"/>
    <m/>
    <n v="20171572022"/>
  </r>
  <r>
    <d v="2017-05-18T09:44:55"/>
    <s v="kalicruzr@yahoo.es"/>
    <s v="TECNOLOGÍA EN ELECTRICIDAD"/>
    <n v="1"/>
    <x v="1"/>
    <x v="0"/>
    <x v="2"/>
    <x v="1"/>
    <x v="1"/>
    <x v="0"/>
    <x v="3"/>
    <x v="1"/>
    <x v="5"/>
    <x v="0"/>
    <x v="2"/>
    <x v="2"/>
    <x v="2"/>
    <x v="2"/>
    <x v="1"/>
    <x v="3"/>
    <x v="0"/>
    <x v="1"/>
    <x v="3"/>
    <x v="1"/>
    <x v="1"/>
    <x v="1"/>
    <x v="1"/>
    <x v="0"/>
    <x v="0"/>
    <x v="1"/>
    <x v="1"/>
    <x v="1"/>
    <x v="1"/>
    <x v="1"/>
    <x v="2"/>
    <x v="0"/>
    <x v="2"/>
    <x v="1"/>
    <x v="1"/>
    <x v="2"/>
    <x v="0"/>
    <x v="1"/>
    <x v="1"/>
    <x v="1"/>
    <x v="1"/>
    <x v="0"/>
    <x v="4"/>
    <x v="2"/>
    <x v="1"/>
    <x v="0"/>
    <x v="0"/>
    <x v="0"/>
    <x v="4"/>
    <x v="4"/>
    <x v="3"/>
    <x v="2"/>
    <x v="1"/>
    <x v="4"/>
    <x v="3"/>
    <x v="4"/>
    <x v="2"/>
    <x v="2"/>
    <x v="2"/>
    <x v="0"/>
    <x v="1"/>
    <x v="0"/>
    <x v="1"/>
    <x v="1"/>
    <x v="2"/>
    <x v="2"/>
    <x v="2"/>
    <x v="3"/>
    <x v="3"/>
    <x v="2"/>
    <x v="1"/>
    <x v="1"/>
    <x v="3"/>
    <x v="1"/>
    <x v="1"/>
    <x v="3"/>
    <x v="0"/>
    <x v="1"/>
    <x v="1"/>
    <x v="1"/>
    <x v="1"/>
    <x v="1"/>
    <x v="3"/>
    <x v="0"/>
    <x v="3"/>
    <x v="4"/>
    <x v="4"/>
    <x v="3"/>
    <x v="2"/>
    <x v="0"/>
    <x v="4"/>
    <x v="4"/>
    <x v="0"/>
    <x v="0"/>
    <x v="2"/>
    <x v="5"/>
    <x v="0"/>
    <m/>
    <n v="20171572017"/>
  </r>
  <r>
    <d v="2017-05-18T09:46:10"/>
    <s v="yoya10@hotmail.es"/>
    <s v="TECNOLOGÍA EN SISTEMAS ELÉCTRICOS DE MEDIA Y BAJA TENSIÓN POR CICLOS PROPEDÉUTICOS"/>
    <n v="1"/>
    <x v="1"/>
    <x v="2"/>
    <x v="2"/>
    <x v="0"/>
    <x v="3"/>
    <x v="0"/>
    <x v="4"/>
    <x v="3"/>
    <x v="0"/>
    <x v="1"/>
    <x v="2"/>
    <x v="2"/>
    <x v="2"/>
    <x v="1"/>
    <x v="3"/>
    <x v="2"/>
    <x v="1"/>
    <x v="3"/>
    <x v="3"/>
    <x v="2"/>
    <x v="1"/>
    <x v="3"/>
    <x v="1"/>
    <x v="1"/>
    <x v="1"/>
    <x v="2"/>
    <x v="1"/>
    <x v="0"/>
    <x v="1"/>
    <x v="1"/>
    <x v="1"/>
    <x v="1"/>
    <x v="2"/>
    <x v="2"/>
    <x v="1"/>
    <x v="2"/>
    <x v="1"/>
    <x v="1"/>
    <x v="1"/>
    <x v="1"/>
    <x v="1"/>
    <x v="0"/>
    <x v="2"/>
    <x v="1"/>
    <x v="0"/>
    <x v="1"/>
    <x v="1"/>
    <x v="1"/>
    <x v="4"/>
    <x v="4"/>
    <x v="3"/>
    <x v="4"/>
    <x v="1"/>
    <x v="1"/>
    <x v="1"/>
    <x v="0"/>
    <x v="4"/>
    <x v="3"/>
    <x v="3"/>
    <x v="0"/>
    <x v="1"/>
    <x v="0"/>
    <x v="1"/>
    <x v="0"/>
    <x v="4"/>
    <x v="1"/>
    <x v="1"/>
    <x v="2"/>
    <x v="0"/>
    <x v="2"/>
    <x v="1"/>
    <x v="1"/>
    <x v="2"/>
    <x v="3"/>
    <x v="1"/>
    <x v="3"/>
    <x v="2"/>
    <x v="0"/>
    <x v="1"/>
    <x v="1"/>
    <x v="0"/>
    <x v="2"/>
    <x v="1"/>
    <x v="2"/>
    <x v="0"/>
    <x v="4"/>
    <x v="5"/>
    <x v="3"/>
    <x v="1"/>
    <x v="0"/>
    <x v="3"/>
    <x v="4"/>
    <x v="0"/>
    <x v="1"/>
    <x v="2"/>
    <x v="0"/>
    <x v="2"/>
    <m/>
    <n v="20171572011"/>
  </r>
  <r>
    <d v="2017-05-18T09:46:12"/>
    <s v="yuliana-2000-2011@hotmail.com"/>
    <s v="TECNOLOGÍA EN SISTEMAS ELÉCTRICOS DE MEDIA Y BAJA TENSIÓN POR CICLOS PROPEDÉUTICOS"/>
    <n v="1"/>
    <x v="1"/>
    <x v="0"/>
    <x v="1"/>
    <x v="2"/>
    <x v="1"/>
    <x v="0"/>
    <x v="1"/>
    <x v="1"/>
    <x v="4"/>
    <x v="1"/>
    <x v="0"/>
    <x v="2"/>
    <x v="4"/>
    <x v="1"/>
    <x v="3"/>
    <x v="1"/>
    <x v="3"/>
    <x v="3"/>
    <x v="3"/>
    <x v="1"/>
    <x v="2"/>
    <x v="3"/>
    <x v="2"/>
    <x v="2"/>
    <x v="1"/>
    <x v="3"/>
    <x v="5"/>
    <x v="4"/>
    <x v="3"/>
    <x v="5"/>
    <x v="1"/>
    <x v="1"/>
    <x v="1"/>
    <x v="2"/>
    <x v="4"/>
    <x v="2"/>
    <x v="0"/>
    <x v="1"/>
    <x v="1"/>
    <x v="1"/>
    <x v="1"/>
    <x v="0"/>
    <x v="1"/>
    <x v="1"/>
    <x v="0"/>
    <x v="1"/>
    <x v="1"/>
    <x v="2"/>
    <x v="3"/>
    <x v="3"/>
    <x v="1"/>
    <x v="1"/>
    <x v="2"/>
    <x v="0"/>
    <x v="2"/>
    <x v="1"/>
    <x v="4"/>
    <x v="1"/>
    <x v="1"/>
    <x v="0"/>
    <x v="3"/>
    <x v="0"/>
    <x v="1"/>
    <x v="0"/>
    <x v="1"/>
    <x v="1"/>
    <x v="1"/>
    <x v="2"/>
    <x v="0"/>
    <x v="0"/>
    <x v="1"/>
    <x v="1"/>
    <x v="1"/>
    <x v="0"/>
    <x v="1"/>
    <x v="2"/>
    <x v="0"/>
    <x v="1"/>
    <x v="1"/>
    <x v="0"/>
    <x v="1"/>
    <x v="0"/>
    <x v="2"/>
    <x v="2"/>
    <x v="2"/>
    <x v="0"/>
    <x v="2"/>
    <x v="0"/>
    <x v="3"/>
    <x v="2"/>
    <x v="3"/>
    <x v="2"/>
    <x v="4"/>
    <x v="1"/>
    <x v="3"/>
    <x v="2"/>
    <x v="2"/>
    <m/>
    <n v="20171572023"/>
  </r>
  <r>
    <d v="2017-05-18T09:46:40"/>
    <s v="jimenez.aleja03@gmail.com"/>
    <s v="TECNOLOGÍA EN SISTEMAS ELÉCTRICOS DE MEDIA Y BAJA TENSIÓN POR CICLOS PROPEDÉUTICOS"/>
    <n v="1"/>
    <x v="2"/>
    <x v="1"/>
    <x v="0"/>
    <x v="1"/>
    <x v="2"/>
    <x v="4"/>
    <x v="4"/>
    <x v="4"/>
    <x v="2"/>
    <x v="0"/>
    <x v="0"/>
    <x v="3"/>
    <x v="5"/>
    <x v="0"/>
    <x v="3"/>
    <x v="3"/>
    <x v="4"/>
    <x v="3"/>
    <x v="3"/>
    <x v="2"/>
    <x v="2"/>
    <x v="3"/>
    <x v="2"/>
    <x v="1"/>
    <x v="3"/>
    <x v="0"/>
    <x v="2"/>
    <x v="0"/>
    <x v="4"/>
    <x v="2"/>
    <x v="1"/>
    <x v="0"/>
    <x v="2"/>
    <x v="2"/>
    <x v="1"/>
    <x v="0"/>
    <x v="0"/>
    <x v="3"/>
    <x v="4"/>
    <x v="0"/>
    <x v="0"/>
    <x v="1"/>
    <x v="0"/>
    <x v="0"/>
    <x v="0"/>
    <x v="1"/>
    <x v="1"/>
    <x v="4"/>
    <x v="0"/>
    <x v="0"/>
    <x v="5"/>
    <x v="0"/>
    <x v="2"/>
    <x v="0"/>
    <x v="2"/>
    <x v="0"/>
    <x v="4"/>
    <x v="3"/>
    <x v="4"/>
    <x v="2"/>
    <x v="0"/>
    <x v="2"/>
    <x v="3"/>
    <x v="0"/>
    <x v="0"/>
    <x v="3"/>
    <x v="3"/>
    <x v="3"/>
    <x v="3"/>
    <x v="3"/>
    <x v="0"/>
    <x v="2"/>
    <x v="4"/>
    <x v="3"/>
    <x v="2"/>
    <x v="0"/>
    <x v="2"/>
    <x v="3"/>
    <x v="0"/>
    <x v="0"/>
    <x v="1"/>
    <x v="0"/>
    <x v="2"/>
    <x v="2"/>
    <x v="2"/>
    <x v="0"/>
    <x v="1"/>
    <x v="3"/>
    <x v="3"/>
    <x v="2"/>
    <x v="3"/>
    <x v="2"/>
    <x v="2"/>
    <x v="0"/>
    <x v="0"/>
    <x v="5"/>
    <x v="2"/>
    <m/>
    <n v="20171572020"/>
  </r>
  <r>
    <d v="2017-05-18T09:56:59"/>
    <s v="bastidas.ledesma@gmail.com"/>
    <s v="TECNOLOGÍA EN SISTEMAS ELÉCTRICOS DE MEDIA Y BAJA TENSIÓN POR CICLOS PROPEDÉUTICOS"/>
    <n v="1"/>
    <x v="1"/>
    <x v="0"/>
    <x v="1"/>
    <x v="1"/>
    <x v="1"/>
    <x v="1"/>
    <x v="2"/>
    <x v="5"/>
    <x v="2"/>
    <x v="1"/>
    <x v="4"/>
    <x v="3"/>
    <x v="0"/>
    <x v="2"/>
    <x v="2"/>
    <x v="1"/>
    <x v="1"/>
    <x v="1"/>
    <x v="1"/>
    <x v="1"/>
    <x v="1"/>
    <x v="1"/>
    <x v="1"/>
    <x v="1"/>
    <x v="1"/>
    <x v="2"/>
    <x v="0"/>
    <x v="0"/>
    <x v="1"/>
    <x v="1"/>
    <x v="0"/>
    <x v="1"/>
    <x v="0"/>
    <x v="0"/>
    <x v="5"/>
    <x v="3"/>
    <x v="2"/>
    <x v="3"/>
    <x v="1"/>
    <x v="1"/>
    <x v="1"/>
    <x v="0"/>
    <x v="1"/>
    <x v="2"/>
    <x v="1"/>
    <x v="0"/>
    <x v="0"/>
    <x v="1"/>
    <x v="3"/>
    <x v="5"/>
    <x v="2"/>
    <x v="2"/>
    <x v="0"/>
    <x v="1"/>
    <x v="0"/>
    <x v="1"/>
    <x v="2"/>
    <x v="2"/>
    <x v="2"/>
    <x v="1"/>
    <x v="2"/>
    <x v="1"/>
    <x v="3"/>
    <x v="1"/>
    <x v="0"/>
    <x v="3"/>
    <x v="2"/>
    <x v="4"/>
    <x v="1"/>
    <x v="0"/>
    <x v="3"/>
    <x v="1"/>
    <x v="1"/>
    <x v="1"/>
    <x v="2"/>
    <x v="3"/>
    <x v="2"/>
    <x v="3"/>
    <x v="1"/>
    <x v="2"/>
    <x v="2"/>
    <x v="1"/>
    <x v="0"/>
    <x v="0"/>
    <x v="1"/>
    <x v="2"/>
    <x v="0"/>
    <x v="3"/>
    <x v="2"/>
    <x v="1"/>
    <x v="2"/>
    <x v="1"/>
    <x v="1"/>
    <x v="2"/>
    <x v="1"/>
    <x v="0"/>
    <x v="2"/>
    <m/>
    <n v="20171572041"/>
  </r>
  <r>
    <d v="2017-05-18T10:35:21"/>
    <s v="arlex-cdlm@hotmail.es"/>
    <s v="TECNOLOGÍA EN SISTEMAS ELÉCTRICOS DE MEDIA Y BAJA TENSIÓN POR CICLOS PROPEDÉUTICOS"/>
    <n v="2"/>
    <x v="3"/>
    <x v="0"/>
    <x v="1"/>
    <x v="0"/>
    <x v="0"/>
    <x v="1"/>
    <x v="4"/>
    <x v="1"/>
    <x v="0"/>
    <x v="1"/>
    <x v="1"/>
    <x v="5"/>
    <x v="1"/>
    <x v="1"/>
    <x v="1"/>
    <x v="1"/>
    <x v="3"/>
    <x v="1"/>
    <x v="3"/>
    <x v="1"/>
    <x v="1"/>
    <x v="1"/>
    <x v="2"/>
    <x v="3"/>
    <x v="1"/>
    <x v="2"/>
    <x v="0"/>
    <x v="0"/>
    <x v="2"/>
    <x v="0"/>
    <x v="0"/>
    <x v="2"/>
    <x v="2"/>
    <x v="2"/>
    <x v="1"/>
    <x v="2"/>
    <x v="1"/>
    <x v="3"/>
    <x v="4"/>
    <x v="0"/>
    <x v="1"/>
    <x v="0"/>
    <x v="2"/>
    <x v="1"/>
    <x v="0"/>
    <x v="1"/>
    <x v="1"/>
    <x v="4"/>
    <x v="3"/>
    <x v="3"/>
    <x v="1"/>
    <x v="3"/>
    <x v="0"/>
    <x v="2"/>
    <x v="1"/>
    <x v="1"/>
    <x v="1"/>
    <x v="1"/>
    <x v="1"/>
    <x v="0"/>
    <x v="3"/>
    <x v="0"/>
    <x v="1"/>
    <x v="0"/>
    <x v="1"/>
    <x v="1"/>
    <x v="1"/>
    <x v="0"/>
    <x v="1"/>
    <x v="0"/>
    <x v="1"/>
    <x v="2"/>
    <x v="2"/>
    <x v="0"/>
    <x v="0"/>
    <x v="1"/>
    <x v="0"/>
    <x v="0"/>
    <x v="1"/>
    <x v="1"/>
    <x v="1"/>
    <x v="1"/>
    <x v="0"/>
    <x v="1"/>
    <x v="0"/>
    <x v="1"/>
    <x v="1"/>
    <x v="1"/>
    <x v="1"/>
    <x v="0"/>
    <x v="1"/>
    <x v="0"/>
    <x v="0"/>
    <x v="1"/>
    <x v="2"/>
    <x v="0"/>
    <x v="1"/>
    <m/>
    <n v="20162572506"/>
  </r>
  <r>
    <d v="2017-05-18T10:46:18"/>
    <s v="santiago05-96@hotmail.com"/>
    <s v="TECNOLOGÍA EN SISTEMAS ELÉCTRICOS DE MEDIA Y BAJA TENSIÓN POR CICLOS PROPEDÉUTICOS"/>
    <n v="3"/>
    <x v="2"/>
    <x v="0"/>
    <x v="1"/>
    <x v="1"/>
    <x v="1"/>
    <x v="1"/>
    <x v="1"/>
    <x v="1"/>
    <x v="2"/>
    <x v="2"/>
    <x v="1"/>
    <x v="2"/>
    <x v="5"/>
    <x v="3"/>
    <x v="2"/>
    <x v="5"/>
    <x v="1"/>
    <x v="1"/>
    <x v="1"/>
    <x v="1"/>
    <x v="1"/>
    <x v="1"/>
    <x v="1"/>
    <x v="2"/>
    <x v="1"/>
    <x v="1"/>
    <x v="1"/>
    <x v="1"/>
    <x v="1"/>
    <x v="1"/>
    <x v="2"/>
    <x v="1"/>
    <x v="2"/>
    <x v="0"/>
    <x v="1"/>
    <x v="2"/>
    <x v="1"/>
    <x v="1"/>
    <x v="4"/>
    <x v="1"/>
    <x v="3"/>
    <x v="0"/>
    <x v="1"/>
    <x v="0"/>
    <x v="1"/>
    <x v="0"/>
    <x v="1"/>
    <x v="2"/>
    <x v="1"/>
    <x v="2"/>
    <x v="3"/>
    <x v="2"/>
    <x v="1"/>
    <x v="2"/>
    <x v="1"/>
    <x v="2"/>
    <x v="2"/>
    <x v="2"/>
    <x v="2"/>
    <x v="1"/>
    <x v="2"/>
    <x v="1"/>
    <x v="2"/>
    <x v="1"/>
    <x v="2"/>
    <x v="2"/>
    <x v="2"/>
    <x v="1"/>
    <x v="2"/>
    <x v="1"/>
    <x v="3"/>
    <x v="2"/>
    <x v="3"/>
    <x v="1"/>
    <x v="0"/>
    <x v="1"/>
    <x v="0"/>
    <x v="0"/>
    <x v="1"/>
    <x v="2"/>
    <x v="1"/>
    <x v="0"/>
    <x v="0"/>
    <x v="1"/>
    <x v="0"/>
    <x v="1"/>
    <x v="2"/>
    <x v="3"/>
    <x v="1"/>
    <x v="0"/>
    <x v="2"/>
    <x v="0"/>
    <x v="0"/>
    <x v="0"/>
    <x v="1"/>
    <x v="1"/>
    <x v="0"/>
    <m/>
    <n v="20161572246"/>
  </r>
  <r>
    <d v="2017-05-18T10:46:39"/>
    <s v="camilodc99@gmail.com"/>
    <s v="TECNOLOGÍA EN SISTEMAS ELÉCTRICOS DE MEDIA Y BAJA TENSIÓN POR CICLOS PROPEDÉUTICOS"/>
    <n v="2"/>
    <x v="1"/>
    <x v="3"/>
    <x v="1"/>
    <x v="2"/>
    <x v="1"/>
    <x v="2"/>
    <x v="4"/>
    <x v="5"/>
    <x v="0"/>
    <x v="1"/>
    <x v="0"/>
    <x v="3"/>
    <x v="3"/>
    <x v="4"/>
    <x v="2"/>
    <x v="1"/>
    <x v="4"/>
    <x v="3"/>
    <x v="3"/>
    <x v="1"/>
    <x v="3"/>
    <x v="3"/>
    <x v="2"/>
    <x v="3"/>
    <x v="2"/>
    <x v="0"/>
    <x v="0"/>
    <x v="0"/>
    <x v="4"/>
    <x v="0"/>
    <x v="5"/>
    <x v="4"/>
    <x v="1"/>
    <x v="4"/>
    <x v="1"/>
    <x v="3"/>
    <x v="1"/>
    <x v="0"/>
    <x v="2"/>
    <x v="1"/>
    <x v="0"/>
    <x v="4"/>
    <x v="1"/>
    <x v="1"/>
    <x v="3"/>
    <x v="3"/>
    <x v="1"/>
    <x v="1"/>
    <x v="1"/>
    <x v="2"/>
    <x v="3"/>
    <x v="1"/>
    <x v="3"/>
    <x v="1"/>
    <x v="0"/>
    <x v="1"/>
    <x v="1"/>
    <x v="1"/>
    <x v="1"/>
    <x v="0"/>
    <x v="2"/>
    <x v="0"/>
    <x v="1"/>
    <x v="0"/>
    <x v="0"/>
    <x v="2"/>
    <x v="1"/>
    <x v="0"/>
    <x v="1"/>
    <x v="0"/>
    <x v="3"/>
    <x v="2"/>
    <x v="3"/>
    <x v="3"/>
    <x v="1"/>
    <x v="3"/>
    <x v="0"/>
    <x v="0"/>
    <x v="2"/>
    <x v="3"/>
    <x v="1"/>
    <x v="1"/>
    <x v="0"/>
    <x v="1"/>
    <x v="0"/>
    <x v="1"/>
    <x v="3"/>
    <x v="0"/>
    <x v="3"/>
    <x v="2"/>
    <x v="1"/>
    <x v="0"/>
    <x v="0"/>
    <x v="1"/>
    <x v="2"/>
    <x v="0"/>
    <x v="1"/>
    <m/>
    <n v="20162572034"/>
  </r>
  <r>
    <d v="2017-05-18T10:46:43"/>
    <s v="olayavictor772@gmail.com"/>
    <s v="TECNOLOGÍA EN SISTEMAS ELÉCTRICOS DE MEDIA Y BAJA TENSIÓN POR CICLOS PROPEDÉUTICOS"/>
    <n v="2"/>
    <x v="1"/>
    <x v="0"/>
    <x v="1"/>
    <x v="2"/>
    <x v="0"/>
    <x v="3"/>
    <x v="4"/>
    <x v="1"/>
    <x v="1"/>
    <x v="1"/>
    <x v="3"/>
    <x v="1"/>
    <x v="2"/>
    <x v="2"/>
    <x v="2"/>
    <x v="5"/>
    <x v="5"/>
    <x v="1"/>
    <x v="1"/>
    <x v="1"/>
    <x v="1"/>
    <x v="1"/>
    <x v="1"/>
    <x v="2"/>
    <x v="2"/>
    <x v="1"/>
    <x v="1"/>
    <x v="1"/>
    <x v="4"/>
    <x v="1"/>
    <x v="2"/>
    <x v="1"/>
    <x v="0"/>
    <x v="0"/>
    <x v="2"/>
    <x v="3"/>
    <x v="2"/>
    <x v="1"/>
    <x v="1"/>
    <x v="1"/>
    <x v="1"/>
    <x v="0"/>
    <x v="0"/>
    <x v="2"/>
    <x v="1"/>
    <x v="0"/>
    <x v="0"/>
    <x v="2"/>
    <x v="4"/>
    <x v="4"/>
    <x v="4"/>
    <x v="2"/>
    <x v="1"/>
    <x v="2"/>
    <x v="1"/>
    <x v="2"/>
    <x v="2"/>
    <x v="2"/>
    <x v="2"/>
    <x v="1"/>
    <x v="2"/>
    <x v="1"/>
    <x v="2"/>
    <x v="1"/>
    <x v="2"/>
    <x v="2"/>
    <x v="2"/>
    <x v="1"/>
    <x v="2"/>
    <x v="1"/>
    <x v="3"/>
    <x v="1"/>
    <x v="1"/>
    <x v="0"/>
    <x v="1"/>
    <x v="1"/>
    <x v="0"/>
    <x v="0"/>
    <x v="1"/>
    <x v="1"/>
    <x v="1"/>
    <x v="2"/>
    <x v="1"/>
    <x v="0"/>
    <x v="1"/>
    <x v="2"/>
    <x v="0"/>
    <x v="4"/>
    <x v="2"/>
    <x v="1"/>
    <x v="2"/>
    <x v="1"/>
    <x v="1"/>
    <x v="2"/>
    <x v="1"/>
    <x v="1"/>
    <x v="0"/>
    <m/>
    <n v="20162572010"/>
  </r>
  <r>
    <d v="2017-05-18T10:50:54"/>
    <s v="fardmauricio@hotmail.com"/>
    <s v="TECNOLOGÍA EN SISTEMAS ELÉCTRICOS DE MEDIA Y BAJA TENSIÓN POR CICLOS PROPEDÉUTICOS"/>
    <n v="2"/>
    <x v="1"/>
    <x v="0"/>
    <x v="1"/>
    <x v="2"/>
    <x v="1"/>
    <x v="2"/>
    <x v="1"/>
    <x v="2"/>
    <x v="4"/>
    <x v="2"/>
    <x v="2"/>
    <x v="2"/>
    <x v="5"/>
    <x v="2"/>
    <x v="3"/>
    <x v="2"/>
    <x v="1"/>
    <x v="2"/>
    <x v="2"/>
    <x v="3"/>
    <x v="3"/>
    <x v="2"/>
    <x v="2"/>
    <x v="4"/>
    <x v="4"/>
    <x v="1"/>
    <x v="2"/>
    <x v="1"/>
    <x v="2"/>
    <x v="1"/>
    <x v="1"/>
    <x v="0"/>
    <x v="1"/>
    <x v="4"/>
    <x v="4"/>
    <x v="2"/>
    <x v="3"/>
    <x v="1"/>
    <x v="1"/>
    <x v="1"/>
    <x v="1"/>
    <x v="1"/>
    <x v="0"/>
    <x v="1"/>
    <x v="2"/>
    <x v="3"/>
    <x v="3"/>
    <x v="1"/>
    <x v="1"/>
    <x v="2"/>
    <x v="5"/>
    <x v="4"/>
    <x v="4"/>
    <x v="5"/>
    <x v="2"/>
    <x v="1"/>
    <x v="5"/>
    <x v="4"/>
    <x v="1"/>
    <x v="1"/>
    <x v="1"/>
    <x v="0"/>
    <x v="3"/>
    <x v="2"/>
    <x v="2"/>
    <x v="2"/>
    <x v="2"/>
    <x v="2"/>
    <x v="0"/>
    <x v="2"/>
    <x v="0"/>
    <x v="2"/>
    <x v="3"/>
    <x v="5"/>
    <x v="1"/>
    <x v="3"/>
    <x v="0"/>
    <x v="0"/>
    <x v="2"/>
    <x v="5"/>
    <x v="3"/>
    <x v="3"/>
    <x v="0"/>
    <x v="1"/>
    <x v="3"/>
    <x v="5"/>
    <x v="5"/>
    <x v="3"/>
    <x v="4"/>
    <x v="2"/>
    <x v="1"/>
    <x v="2"/>
    <x v="3"/>
    <x v="3"/>
    <x v="4"/>
    <x v="4"/>
    <x v="1"/>
    <m/>
    <n v="20162572045"/>
  </r>
  <r>
    <d v="2017-05-18T10:52:06"/>
    <s v="mateogavidia@hotmail.com"/>
    <s v="TECNOLOGÍA EN SISTEMAS ELÉCTRICOS DE MEDIA Y BAJA TENSIÓN POR CICLOS PROPEDÉUTICOS"/>
    <n v="3"/>
    <x v="3"/>
    <x v="2"/>
    <x v="2"/>
    <x v="3"/>
    <x v="1"/>
    <x v="0"/>
    <x v="3"/>
    <x v="4"/>
    <x v="3"/>
    <x v="1"/>
    <x v="2"/>
    <x v="2"/>
    <x v="4"/>
    <x v="0"/>
    <x v="3"/>
    <x v="2"/>
    <x v="4"/>
    <x v="4"/>
    <x v="4"/>
    <x v="2"/>
    <x v="2"/>
    <x v="3"/>
    <x v="2"/>
    <x v="3"/>
    <x v="4"/>
    <x v="0"/>
    <x v="0"/>
    <x v="0"/>
    <x v="2"/>
    <x v="0"/>
    <x v="0"/>
    <x v="5"/>
    <x v="2"/>
    <x v="2"/>
    <x v="4"/>
    <x v="3"/>
    <x v="0"/>
    <x v="3"/>
    <x v="0"/>
    <x v="0"/>
    <x v="1"/>
    <x v="0"/>
    <x v="1"/>
    <x v="1"/>
    <x v="4"/>
    <x v="2"/>
    <x v="1"/>
    <x v="0"/>
    <x v="2"/>
    <x v="2"/>
    <x v="3"/>
    <x v="2"/>
    <x v="3"/>
    <x v="5"/>
    <x v="2"/>
    <x v="0"/>
    <x v="3"/>
    <x v="5"/>
    <x v="3"/>
    <x v="3"/>
    <x v="3"/>
    <x v="3"/>
    <x v="5"/>
    <x v="0"/>
    <x v="4"/>
    <x v="1"/>
    <x v="2"/>
    <x v="5"/>
    <x v="4"/>
    <x v="0"/>
    <x v="0"/>
    <x v="3"/>
    <x v="2"/>
    <x v="2"/>
    <x v="3"/>
    <x v="0"/>
    <x v="2"/>
    <x v="4"/>
    <x v="4"/>
    <x v="5"/>
    <x v="4"/>
    <x v="4"/>
    <x v="2"/>
    <x v="4"/>
    <x v="5"/>
    <x v="4"/>
    <x v="4"/>
    <x v="3"/>
    <x v="0"/>
    <x v="2"/>
    <x v="3"/>
    <x v="4"/>
    <x v="4"/>
    <x v="4"/>
    <x v="5"/>
    <x v="2"/>
    <x v="5"/>
    <s v="Yo estudio en esta universidad por la oportunidad no es por que esta sea la q quisiera aun asi agradesco la oportunidad y el buen desarrolo de las competencias"/>
    <n v="20161572031"/>
  </r>
  <r>
    <d v="2017-05-18T10:54:20"/>
    <s v="benqsergio@hotmail.com"/>
    <s v="TECNOLOGÍA EN SISTEMAS ELÉCTRICOS DE MEDIA Y BAJA TENSIÓN POR CICLOS PROPEDÉUTICOS"/>
    <n v="2"/>
    <x v="2"/>
    <x v="0"/>
    <x v="1"/>
    <x v="2"/>
    <x v="1"/>
    <x v="3"/>
    <x v="1"/>
    <x v="1"/>
    <x v="2"/>
    <x v="2"/>
    <x v="3"/>
    <x v="1"/>
    <x v="4"/>
    <x v="2"/>
    <x v="2"/>
    <x v="1"/>
    <x v="5"/>
    <x v="1"/>
    <x v="3"/>
    <x v="1"/>
    <x v="2"/>
    <x v="2"/>
    <x v="1"/>
    <x v="2"/>
    <x v="2"/>
    <x v="1"/>
    <x v="1"/>
    <x v="1"/>
    <x v="1"/>
    <x v="1"/>
    <x v="2"/>
    <x v="1"/>
    <x v="0"/>
    <x v="0"/>
    <x v="2"/>
    <x v="1"/>
    <x v="2"/>
    <x v="1"/>
    <x v="1"/>
    <x v="1"/>
    <x v="1"/>
    <x v="0"/>
    <x v="2"/>
    <x v="0"/>
    <x v="4"/>
    <x v="0"/>
    <x v="0"/>
    <x v="2"/>
    <x v="3"/>
    <x v="3"/>
    <x v="3"/>
    <x v="2"/>
    <x v="3"/>
    <x v="5"/>
    <x v="1"/>
    <x v="3"/>
    <x v="2"/>
    <x v="2"/>
    <x v="2"/>
    <x v="2"/>
    <x v="4"/>
    <x v="4"/>
    <x v="5"/>
    <x v="1"/>
    <x v="0"/>
    <x v="2"/>
    <x v="3"/>
    <x v="2"/>
    <x v="1"/>
    <x v="0"/>
    <x v="0"/>
    <x v="0"/>
    <x v="5"/>
    <x v="1"/>
    <x v="2"/>
    <x v="5"/>
    <x v="4"/>
    <x v="1"/>
    <x v="1"/>
    <x v="5"/>
    <x v="5"/>
    <x v="0"/>
    <x v="0"/>
    <x v="2"/>
    <x v="2"/>
    <x v="2"/>
    <x v="3"/>
    <x v="0"/>
    <x v="3"/>
    <x v="0"/>
    <x v="3"/>
    <x v="5"/>
    <x v="4"/>
    <x v="0"/>
    <x v="0"/>
    <x v="2"/>
    <x v="2"/>
    <m/>
    <n v="20162572006"/>
  </r>
  <r>
    <d v="2017-05-18T11:27:00"/>
    <s v="cristianleo1057@gmail.com"/>
    <s v="INGENIERÍA ELÉCTRICA POR CICLOS PROPEDÉUTICOS"/>
    <n v="9"/>
    <x v="2"/>
    <x v="1"/>
    <x v="2"/>
    <x v="1"/>
    <x v="2"/>
    <x v="2"/>
    <x v="2"/>
    <x v="3"/>
    <x v="3"/>
    <x v="4"/>
    <x v="4"/>
    <x v="3"/>
    <x v="3"/>
    <x v="3"/>
    <x v="5"/>
    <x v="4"/>
    <x v="2"/>
    <x v="3"/>
    <x v="5"/>
    <x v="4"/>
    <x v="2"/>
    <x v="3"/>
    <x v="2"/>
    <x v="4"/>
    <x v="4"/>
    <x v="4"/>
    <x v="2"/>
    <x v="1"/>
    <x v="1"/>
    <x v="1"/>
    <x v="2"/>
    <x v="2"/>
    <x v="5"/>
    <x v="5"/>
    <x v="0"/>
    <x v="2"/>
    <x v="4"/>
    <x v="5"/>
    <x v="4"/>
    <x v="1"/>
    <x v="1"/>
    <x v="0"/>
    <x v="1"/>
    <x v="0"/>
    <x v="0"/>
    <x v="1"/>
    <x v="1"/>
    <x v="4"/>
    <x v="3"/>
    <x v="2"/>
    <x v="3"/>
    <x v="2"/>
    <x v="3"/>
    <x v="3"/>
    <x v="4"/>
    <x v="1"/>
    <x v="1"/>
    <x v="1"/>
    <x v="1"/>
    <x v="0"/>
    <x v="3"/>
    <x v="2"/>
    <x v="3"/>
    <x v="2"/>
    <x v="5"/>
    <x v="4"/>
    <x v="5"/>
    <x v="2"/>
    <x v="0"/>
    <x v="2"/>
    <x v="0"/>
    <x v="4"/>
    <x v="5"/>
    <x v="1"/>
    <x v="3"/>
    <x v="5"/>
    <x v="4"/>
    <x v="4"/>
    <x v="0"/>
    <x v="3"/>
    <x v="4"/>
    <x v="5"/>
    <x v="4"/>
    <x v="4"/>
    <x v="5"/>
    <x v="4"/>
    <x v="3"/>
    <x v="2"/>
    <x v="0"/>
    <x v="4"/>
    <x v="4"/>
    <x v="5"/>
    <x v="5"/>
    <x v="5"/>
    <x v="5"/>
    <x v="3"/>
    <x v="3"/>
    <m/>
    <n v="20131372074"/>
  </r>
  <r>
    <d v="2017-05-18T11:32:10"/>
    <s v="ajimenezaldana83@gmail.com"/>
    <s v="INGENIERÍA ELÉCTRICA POR CICLOS PROPEDÉUTICOS"/>
    <n v="8"/>
    <x v="2"/>
    <x v="0"/>
    <x v="1"/>
    <x v="4"/>
    <x v="1"/>
    <x v="0"/>
    <x v="1"/>
    <x v="1"/>
    <x v="2"/>
    <x v="2"/>
    <x v="4"/>
    <x v="2"/>
    <x v="4"/>
    <x v="4"/>
    <x v="4"/>
    <x v="4"/>
    <x v="2"/>
    <x v="2"/>
    <x v="5"/>
    <x v="4"/>
    <x v="4"/>
    <x v="2"/>
    <x v="3"/>
    <x v="3"/>
    <x v="4"/>
    <x v="0"/>
    <x v="4"/>
    <x v="5"/>
    <x v="5"/>
    <x v="3"/>
    <x v="5"/>
    <x v="4"/>
    <x v="1"/>
    <x v="5"/>
    <x v="4"/>
    <x v="2"/>
    <x v="0"/>
    <x v="3"/>
    <x v="1"/>
    <x v="1"/>
    <x v="1"/>
    <x v="0"/>
    <x v="4"/>
    <x v="3"/>
    <x v="5"/>
    <x v="1"/>
    <x v="3"/>
    <x v="0"/>
    <x v="2"/>
    <x v="2"/>
    <x v="3"/>
    <x v="2"/>
    <x v="3"/>
    <x v="3"/>
    <x v="2"/>
    <x v="0"/>
    <x v="5"/>
    <x v="4"/>
    <x v="1"/>
    <x v="0"/>
    <x v="4"/>
    <x v="2"/>
    <x v="3"/>
    <x v="3"/>
    <x v="0"/>
    <x v="1"/>
    <x v="1"/>
    <x v="1"/>
    <x v="2"/>
    <x v="1"/>
    <x v="3"/>
    <x v="4"/>
    <x v="5"/>
    <x v="1"/>
    <x v="4"/>
    <x v="4"/>
    <x v="3"/>
    <x v="1"/>
    <x v="1"/>
    <x v="3"/>
    <x v="4"/>
    <x v="2"/>
    <x v="1"/>
    <x v="4"/>
    <x v="3"/>
    <x v="5"/>
    <x v="4"/>
    <x v="2"/>
    <x v="4"/>
    <x v="0"/>
    <x v="2"/>
    <x v="1"/>
    <x v="5"/>
    <x v="5"/>
    <x v="1"/>
    <x v="1"/>
    <x v="0"/>
    <m/>
    <n v="20131372037"/>
  </r>
  <r>
    <d v="2017-05-18T11:48:54"/>
    <s v="harolyo@gmail.com"/>
    <s v="TECNOLOGÍA EN SISTEMAS ELÉCTRICOS DE MEDIA Y BAJA TENSIÓN POR CICLOS PROPEDÉUTICOS"/>
    <n v="2"/>
    <x v="1"/>
    <x v="0"/>
    <x v="1"/>
    <x v="2"/>
    <x v="1"/>
    <x v="3"/>
    <x v="1"/>
    <x v="5"/>
    <x v="4"/>
    <x v="5"/>
    <x v="3"/>
    <x v="0"/>
    <x v="4"/>
    <x v="3"/>
    <x v="2"/>
    <x v="4"/>
    <x v="2"/>
    <x v="1"/>
    <x v="1"/>
    <x v="1"/>
    <x v="1"/>
    <x v="1"/>
    <x v="1"/>
    <x v="2"/>
    <x v="2"/>
    <x v="1"/>
    <x v="1"/>
    <x v="1"/>
    <x v="1"/>
    <x v="1"/>
    <x v="2"/>
    <x v="1"/>
    <x v="0"/>
    <x v="0"/>
    <x v="2"/>
    <x v="1"/>
    <x v="2"/>
    <x v="1"/>
    <x v="1"/>
    <x v="1"/>
    <x v="1"/>
    <x v="0"/>
    <x v="1"/>
    <x v="2"/>
    <x v="1"/>
    <x v="0"/>
    <x v="0"/>
    <x v="2"/>
    <x v="4"/>
    <x v="5"/>
    <x v="2"/>
    <x v="2"/>
    <x v="1"/>
    <x v="3"/>
    <x v="4"/>
    <x v="5"/>
    <x v="3"/>
    <x v="5"/>
    <x v="5"/>
    <x v="2"/>
    <x v="3"/>
    <x v="2"/>
    <x v="3"/>
    <x v="4"/>
    <x v="0"/>
    <x v="2"/>
    <x v="2"/>
    <x v="5"/>
    <x v="4"/>
    <x v="1"/>
    <x v="5"/>
    <x v="1"/>
    <x v="5"/>
    <x v="1"/>
    <x v="1"/>
    <x v="5"/>
    <x v="4"/>
    <x v="1"/>
    <x v="1"/>
    <x v="5"/>
    <x v="4"/>
    <x v="2"/>
    <x v="1"/>
    <x v="0"/>
    <x v="1"/>
    <x v="2"/>
    <x v="0"/>
    <x v="4"/>
    <x v="5"/>
    <x v="4"/>
    <x v="5"/>
    <x v="5"/>
    <x v="1"/>
    <x v="5"/>
    <x v="5"/>
    <x v="3"/>
    <x v="3"/>
    <m/>
    <n v="20162572001"/>
  </r>
  <r>
    <d v="2017-05-18T11:54:04"/>
    <s v="vlado1884@yahoo.com"/>
    <s v="INGENIERÍA ELÉCTRICA POR CICLOS PROPEDÉUTICOS"/>
    <n v="2"/>
    <x v="3"/>
    <x v="0"/>
    <x v="2"/>
    <x v="1"/>
    <x v="2"/>
    <x v="4"/>
    <x v="3"/>
    <x v="0"/>
    <x v="0"/>
    <x v="0"/>
    <x v="1"/>
    <x v="5"/>
    <x v="4"/>
    <x v="4"/>
    <x v="3"/>
    <x v="3"/>
    <x v="4"/>
    <x v="4"/>
    <x v="2"/>
    <x v="2"/>
    <x v="2"/>
    <x v="3"/>
    <x v="2"/>
    <x v="5"/>
    <x v="5"/>
    <x v="4"/>
    <x v="4"/>
    <x v="0"/>
    <x v="2"/>
    <x v="0"/>
    <x v="4"/>
    <x v="4"/>
    <x v="3"/>
    <x v="2"/>
    <x v="4"/>
    <x v="0"/>
    <x v="3"/>
    <x v="2"/>
    <x v="2"/>
    <x v="0"/>
    <x v="1"/>
    <x v="0"/>
    <x v="2"/>
    <x v="3"/>
    <x v="2"/>
    <x v="2"/>
    <x v="2"/>
    <x v="3"/>
    <x v="5"/>
    <x v="0"/>
    <x v="1"/>
    <x v="0"/>
    <x v="5"/>
    <x v="5"/>
    <x v="5"/>
    <x v="0"/>
    <x v="5"/>
    <x v="4"/>
    <x v="4"/>
    <x v="0"/>
    <x v="3"/>
    <x v="2"/>
    <x v="3"/>
    <x v="3"/>
    <x v="0"/>
    <x v="1"/>
    <x v="0"/>
    <x v="3"/>
    <x v="0"/>
    <x v="0"/>
    <x v="0"/>
    <x v="0"/>
    <x v="4"/>
    <x v="3"/>
    <x v="4"/>
    <x v="4"/>
    <x v="3"/>
    <x v="5"/>
    <x v="0"/>
    <x v="3"/>
    <x v="5"/>
    <x v="0"/>
    <x v="5"/>
    <x v="3"/>
    <x v="3"/>
    <x v="3"/>
    <x v="5"/>
    <x v="5"/>
    <x v="3"/>
    <x v="2"/>
    <x v="1"/>
    <x v="3"/>
    <x v="2"/>
    <x v="4"/>
    <x v="3"/>
    <x v="5"/>
    <x v="2"/>
    <m/>
    <n v="20141372057"/>
  </r>
  <r>
    <d v="2017-05-18T12:23:00"/>
    <s v="efermedico@gmail.com"/>
    <s v="INGENIERÍA ELÉCTRICA POR CICLOS PROPEDÉUTICOS"/>
    <n v="3"/>
    <x v="1"/>
    <x v="2"/>
    <x v="1"/>
    <x v="2"/>
    <x v="2"/>
    <x v="4"/>
    <x v="1"/>
    <x v="5"/>
    <x v="2"/>
    <x v="1"/>
    <x v="4"/>
    <x v="2"/>
    <x v="4"/>
    <x v="0"/>
    <x v="1"/>
    <x v="2"/>
    <x v="2"/>
    <x v="2"/>
    <x v="2"/>
    <x v="1"/>
    <x v="2"/>
    <x v="3"/>
    <x v="2"/>
    <x v="4"/>
    <x v="3"/>
    <x v="2"/>
    <x v="2"/>
    <x v="4"/>
    <x v="0"/>
    <x v="0"/>
    <x v="4"/>
    <x v="0"/>
    <x v="2"/>
    <x v="1"/>
    <x v="1"/>
    <x v="2"/>
    <x v="1"/>
    <x v="1"/>
    <x v="1"/>
    <x v="1"/>
    <x v="1"/>
    <x v="0"/>
    <x v="1"/>
    <x v="1"/>
    <x v="0"/>
    <x v="1"/>
    <x v="1"/>
    <x v="5"/>
    <x v="0"/>
    <x v="0"/>
    <x v="0"/>
    <x v="0"/>
    <x v="0"/>
    <x v="1"/>
    <x v="0"/>
    <x v="1"/>
    <x v="2"/>
    <x v="2"/>
    <x v="2"/>
    <x v="0"/>
    <x v="2"/>
    <x v="1"/>
    <x v="2"/>
    <x v="0"/>
    <x v="1"/>
    <x v="1"/>
    <x v="3"/>
    <x v="1"/>
    <x v="2"/>
    <x v="1"/>
    <x v="3"/>
    <x v="2"/>
    <x v="4"/>
    <x v="5"/>
    <x v="2"/>
    <x v="3"/>
    <x v="2"/>
    <x v="3"/>
    <x v="1"/>
    <x v="1"/>
    <x v="0"/>
    <x v="0"/>
    <x v="2"/>
    <x v="2"/>
    <x v="2"/>
    <x v="3"/>
    <x v="4"/>
    <x v="5"/>
    <x v="3"/>
    <x v="2"/>
    <x v="3"/>
    <x v="2"/>
    <x v="0"/>
    <x v="4"/>
    <x v="1"/>
    <x v="1"/>
    <x v="0"/>
    <m/>
    <n v="20161372060"/>
  </r>
  <r>
    <d v="2017-05-18T12:25:32"/>
    <s v="j.fer28@hotmail.com"/>
    <s v="INGENIERÍA ELÉCTRICA POR CICLOS PROPEDÉUTICOS"/>
    <n v="6"/>
    <x v="1"/>
    <x v="0"/>
    <x v="2"/>
    <x v="1"/>
    <x v="2"/>
    <x v="1"/>
    <x v="4"/>
    <x v="2"/>
    <x v="0"/>
    <x v="0"/>
    <x v="2"/>
    <x v="2"/>
    <x v="4"/>
    <x v="1"/>
    <x v="1"/>
    <x v="1"/>
    <x v="1"/>
    <x v="3"/>
    <x v="3"/>
    <x v="2"/>
    <x v="2"/>
    <x v="3"/>
    <x v="2"/>
    <x v="5"/>
    <x v="5"/>
    <x v="3"/>
    <x v="2"/>
    <x v="5"/>
    <x v="5"/>
    <x v="0"/>
    <x v="5"/>
    <x v="2"/>
    <x v="1"/>
    <x v="2"/>
    <x v="3"/>
    <x v="0"/>
    <x v="0"/>
    <x v="1"/>
    <x v="4"/>
    <x v="0"/>
    <x v="2"/>
    <x v="0"/>
    <x v="1"/>
    <x v="1"/>
    <x v="0"/>
    <x v="1"/>
    <x v="1"/>
    <x v="4"/>
    <x v="3"/>
    <x v="3"/>
    <x v="1"/>
    <x v="1"/>
    <x v="0"/>
    <x v="1"/>
    <x v="0"/>
    <x v="0"/>
    <x v="5"/>
    <x v="4"/>
    <x v="1"/>
    <x v="2"/>
    <x v="3"/>
    <x v="2"/>
    <x v="3"/>
    <x v="4"/>
    <x v="4"/>
    <x v="0"/>
    <x v="3"/>
    <x v="3"/>
    <x v="0"/>
    <x v="2"/>
    <x v="2"/>
    <x v="0"/>
    <x v="4"/>
    <x v="1"/>
    <x v="2"/>
    <x v="3"/>
    <x v="2"/>
    <x v="3"/>
    <x v="1"/>
    <x v="2"/>
    <x v="4"/>
    <x v="5"/>
    <x v="2"/>
    <x v="2"/>
    <x v="2"/>
    <x v="0"/>
    <x v="2"/>
    <x v="0"/>
    <x v="3"/>
    <x v="2"/>
    <x v="3"/>
    <x v="2"/>
    <x v="4"/>
    <x v="4"/>
    <x v="3"/>
    <x v="2"/>
    <x v="2"/>
    <m/>
    <n v="20141372083"/>
  </r>
  <r>
    <d v="2017-05-18T12:28:01"/>
    <s v="lmpereirab@correo.udistrital.edu.co"/>
    <s v="INGENIERÍA ELÉCTRICA POR CICLOS PROPEDÉUTICOS"/>
    <n v="7"/>
    <x v="2"/>
    <x v="0"/>
    <x v="1"/>
    <x v="2"/>
    <x v="5"/>
    <x v="1"/>
    <x v="3"/>
    <x v="2"/>
    <x v="1"/>
    <x v="0"/>
    <x v="0"/>
    <x v="1"/>
    <x v="3"/>
    <x v="4"/>
    <x v="3"/>
    <x v="1"/>
    <x v="3"/>
    <x v="3"/>
    <x v="2"/>
    <x v="2"/>
    <x v="2"/>
    <x v="2"/>
    <x v="3"/>
    <x v="3"/>
    <x v="1"/>
    <x v="3"/>
    <x v="2"/>
    <x v="2"/>
    <x v="3"/>
    <x v="0"/>
    <x v="0"/>
    <x v="2"/>
    <x v="2"/>
    <x v="2"/>
    <x v="3"/>
    <x v="2"/>
    <x v="0"/>
    <x v="3"/>
    <x v="2"/>
    <x v="1"/>
    <x v="1"/>
    <x v="0"/>
    <x v="1"/>
    <x v="3"/>
    <x v="4"/>
    <x v="1"/>
    <x v="1"/>
    <x v="4"/>
    <x v="3"/>
    <x v="3"/>
    <x v="4"/>
    <x v="0"/>
    <x v="2"/>
    <x v="0"/>
    <x v="2"/>
    <x v="1"/>
    <x v="1"/>
    <x v="1"/>
    <x v="1"/>
    <x v="0"/>
    <x v="1"/>
    <x v="3"/>
    <x v="3"/>
    <x v="3"/>
    <x v="5"/>
    <x v="4"/>
    <x v="5"/>
    <x v="5"/>
    <x v="4"/>
    <x v="5"/>
    <x v="2"/>
    <x v="0"/>
    <x v="4"/>
    <x v="0"/>
    <x v="2"/>
    <x v="5"/>
    <x v="4"/>
    <x v="4"/>
    <x v="2"/>
    <x v="3"/>
    <x v="2"/>
    <x v="5"/>
    <x v="4"/>
    <x v="2"/>
    <x v="2"/>
    <x v="0"/>
    <x v="2"/>
    <x v="0"/>
    <x v="0"/>
    <x v="2"/>
    <x v="1"/>
    <x v="0"/>
    <x v="0"/>
    <x v="1"/>
    <x v="5"/>
    <x v="3"/>
    <x v="3"/>
    <s v="- Evaluar  las  quejas  presentadas a Profesores de mi carrera ( son muchas) donde se tomen acciones verdaderas que solucionen la causa raiz del problema."/>
    <n v="20132372078"/>
  </r>
  <r>
    <d v="2017-05-18T13:56:32"/>
    <s v="cristhian_1088@hotmail.com"/>
    <s v="INGENIERÍA ELÉCTRICA POR CICLOS PROPEDÉUTICOS"/>
    <n v="1"/>
    <x v="3"/>
    <x v="0"/>
    <x v="1"/>
    <x v="2"/>
    <x v="2"/>
    <x v="1"/>
    <x v="4"/>
    <x v="0"/>
    <x v="0"/>
    <x v="1"/>
    <x v="4"/>
    <x v="2"/>
    <x v="5"/>
    <x v="4"/>
    <x v="1"/>
    <x v="2"/>
    <x v="4"/>
    <x v="4"/>
    <x v="2"/>
    <x v="2"/>
    <x v="2"/>
    <x v="3"/>
    <x v="3"/>
    <x v="5"/>
    <x v="4"/>
    <x v="4"/>
    <x v="4"/>
    <x v="0"/>
    <x v="3"/>
    <x v="5"/>
    <x v="4"/>
    <x v="2"/>
    <x v="1"/>
    <x v="2"/>
    <x v="3"/>
    <x v="0"/>
    <x v="0"/>
    <x v="4"/>
    <x v="0"/>
    <x v="0"/>
    <x v="0"/>
    <x v="1"/>
    <x v="1"/>
    <x v="0"/>
    <x v="0"/>
    <x v="3"/>
    <x v="3"/>
    <x v="1"/>
    <x v="1"/>
    <x v="3"/>
    <x v="0"/>
    <x v="2"/>
    <x v="5"/>
    <x v="1"/>
    <x v="0"/>
    <x v="1"/>
    <x v="1"/>
    <x v="1"/>
    <x v="1"/>
    <x v="3"/>
    <x v="3"/>
    <x v="0"/>
    <x v="4"/>
    <x v="3"/>
    <x v="0"/>
    <x v="3"/>
    <x v="3"/>
    <x v="0"/>
    <x v="1"/>
    <x v="0"/>
    <x v="1"/>
    <x v="4"/>
    <x v="0"/>
    <x v="1"/>
    <x v="5"/>
    <x v="5"/>
    <x v="4"/>
    <x v="4"/>
    <x v="0"/>
    <x v="5"/>
    <x v="4"/>
    <x v="5"/>
    <x v="4"/>
    <x v="4"/>
    <x v="5"/>
    <x v="3"/>
    <x v="4"/>
    <x v="5"/>
    <x v="0"/>
    <x v="5"/>
    <x v="4"/>
    <x v="4"/>
    <x v="4"/>
    <x v="4"/>
    <x v="0"/>
    <x v="5"/>
    <x v="2"/>
    <m/>
    <n v="20142372052"/>
  </r>
  <r>
    <d v="2017-05-18T14:03:50"/>
    <s v="jhonattangordillo@gmail.com"/>
    <s v="TECNOLOGÍA EN ELECTRICIDAD"/>
    <n v="10"/>
    <x v="2"/>
    <x v="0"/>
    <x v="1"/>
    <x v="0"/>
    <x v="1"/>
    <x v="1"/>
    <x v="1"/>
    <x v="1"/>
    <x v="0"/>
    <x v="2"/>
    <x v="4"/>
    <x v="2"/>
    <x v="0"/>
    <x v="1"/>
    <x v="1"/>
    <x v="5"/>
    <x v="0"/>
    <x v="3"/>
    <x v="1"/>
    <x v="1"/>
    <x v="2"/>
    <x v="3"/>
    <x v="1"/>
    <x v="1"/>
    <x v="1"/>
    <x v="2"/>
    <x v="3"/>
    <x v="1"/>
    <x v="4"/>
    <x v="1"/>
    <x v="2"/>
    <x v="0"/>
    <x v="2"/>
    <x v="1"/>
    <x v="1"/>
    <x v="2"/>
    <x v="1"/>
    <x v="1"/>
    <x v="1"/>
    <x v="1"/>
    <x v="1"/>
    <x v="0"/>
    <x v="4"/>
    <x v="1"/>
    <x v="3"/>
    <x v="1"/>
    <x v="0"/>
    <x v="2"/>
    <x v="3"/>
    <x v="1"/>
    <x v="5"/>
    <x v="2"/>
    <x v="4"/>
    <x v="1"/>
    <x v="0"/>
    <x v="1"/>
    <x v="1"/>
    <x v="1"/>
    <x v="2"/>
    <x v="1"/>
    <x v="1"/>
    <x v="0"/>
    <x v="1"/>
    <x v="1"/>
    <x v="1"/>
    <x v="2"/>
    <x v="1"/>
    <x v="0"/>
    <x v="1"/>
    <x v="0"/>
    <x v="3"/>
    <x v="1"/>
    <x v="1"/>
    <x v="1"/>
    <x v="0"/>
    <x v="3"/>
    <x v="0"/>
    <x v="1"/>
    <x v="1"/>
    <x v="0"/>
    <x v="1"/>
    <x v="1"/>
    <x v="0"/>
    <x v="1"/>
    <x v="3"/>
    <x v="5"/>
    <x v="5"/>
    <x v="3"/>
    <x v="1"/>
    <x v="1"/>
    <x v="2"/>
    <x v="1"/>
    <x v="0"/>
    <x v="1"/>
    <x v="2"/>
    <x v="0"/>
    <x v="1"/>
    <m/>
    <n v="20111072038"/>
  </r>
  <r>
    <d v="2017-05-18T14:17:20"/>
    <s v="lelanpab@hotmail.com"/>
    <s v="INGENIERÍA ELÉCTRICA POR CICLOS PROPEDÉUTICOS"/>
    <n v="10"/>
    <x v="1"/>
    <x v="0"/>
    <x v="1"/>
    <x v="2"/>
    <x v="5"/>
    <x v="1"/>
    <x v="1"/>
    <x v="1"/>
    <x v="4"/>
    <x v="1"/>
    <x v="2"/>
    <x v="2"/>
    <x v="2"/>
    <x v="3"/>
    <x v="5"/>
    <x v="4"/>
    <x v="2"/>
    <x v="1"/>
    <x v="5"/>
    <x v="1"/>
    <x v="3"/>
    <x v="1"/>
    <x v="1"/>
    <x v="5"/>
    <x v="2"/>
    <x v="5"/>
    <x v="5"/>
    <x v="1"/>
    <x v="5"/>
    <x v="1"/>
    <x v="2"/>
    <x v="5"/>
    <x v="0"/>
    <x v="5"/>
    <x v="0"/>
    <x v="2"/>
    <x v="4"/>
    <x v="5"/>
    <x v="2"/>
    <x v="1"/>
    <x v="1"/>
    <x v="0"/>
    <x v="4"/>
    <x v="2"/>
    <x v="0"/>
    <x v="0"/>
    <x v="0"/>
    <x v="0"/>
    <x v="5"/>
    <x v="5"/>
    <x v="3"/>
    <x v="2"/>
    <x v="3"/>
    <x v="3"/>
    <x v="4"/>
    <x v="4"/>
    <x v="2"/>
    <x v="5"/>
    <x v="5"/>
    <x v="1"/>
    <x v="4"/>
    <x v="4"/>
    <x v="5"/>
    <x v="0"/>
    <x v="3"/>
    <x v="5"/>
    <x v="4"/>
    <x v="5"/>
    <x v="1"/>
    <x v="2"/>
    <x v="4"/>
    <x v="3"/>
    <x v="3"/>
    <x v="1"/>
    <x v="3"/>
    <x v="5"/>
    <x v="0"/>
    <x v="4"/>
    <x v="1"/>
    <x v="5"/>
    <x v="4"/>
    <x v="2"/>
    <x v="0"/>
    <x v="2"/>
    <x v="5"/>
    <x v="1"/>
    <x v="2"/>
    <x v="3"/>
    <x v="1"/>
    <x v="0"/>
    <x v="1"/>
    <x v="0"/>
    <x v="3"/>
    <x v="0"/>
    <x v="3"/>
    <x v="3"/>
    <x v="0"/>
    <s v="La organizacion y administracion no permiten integracion estudiantil con distintos proyectos para el bien del entorno ,comunidad,localidad ,sociedad falta mas inversion"/>
    <n v="20132372069"/>
  </r>
  <r>
    <d v="2017-05-18T14:26:05"/>
    <s v="car234los@hotmail.com"/>
    <s v="INGENIERÍA ELÉCTRICA POR CICLOS PROPEDÉUTICOS"/>
    <n v="10"/>
    <x v="2"/>
    <x v="1"/>
    <x v="1"/>
    <x v="0"/>
    <x v="1"/>
    <x v="2"/>
    <x v="2"/>
    <x v="2"/>
    <x v="0"/>
    <x v="1"/>
    <x v="2"/>
    <x v="3"/>
    <x v="5"/>
    <x v="1"/>
    <x v="3"/>
    <x v="3"/>
    <x v="3"/>
    <x v="3"/>
    <x v="3"/>
    <x v="1"/>
    <x v="3"/>
    <x v="4"/>
    <x v="3"/>
    <x v="3"/>
    <x v="3"/>
    <x v="4"/>
    <x v="4"/>
    <x v="4"/>
    <x v="0"/>
    <x v="4"/>
    <x v="0"/>
    <x v="2"/>
    <x v="1"/>
    <x v="2"/>
    <x v="3"/>
    <x v="0"/>
    <x v="3"/>
    <x v="2"/>
    <x v="2"/>
    <x v="0"/>
    <x v="0"/>
    <x v="1"/>
    <x v="3"/>
    <x v="0"/>
    <x v="2"/>
    <x v="3"/>
    <x v="3"/>
    <x v="5"/>
    <x v="0"/>
    <x v="3"/>
    <x v="1"/>
    <x v="1"/>
    <x v="0"/>
    <x v="0"/>
    <x v="2"/>
    <x v="0"/>
    <x v="1"/>
    <x v="1"/>
    <x v="1"/>
    <x v="3"/>
    <x v="1"/>
    <x v="2"/>
    <x v="3"/>
    <x v="4"/>
    <x v="0"/>
    <x v="3"/>
    <x v="3"/>
    <x v="2"/>
    <x v="0"/>
    <x v="3"/>
    <x v="0"/>
    <x v="2"/>
    <x v="2"/>
    <x v="0"/>
    <x v="2"/>
    <x v="3"/>
    <x v="2"/>
    <x v="2"/>
    <x v="2"/>
    <x v="3"/>
    <x v="2"/>
    <x v="1"/>
    <x v="5"/>
    <x v="5"/>
    <x v="4"/>
    <x v="3"/>
    <x v="2"/>
    <x v="5"/>
    <x v="1"/>
    <x v="1"/>
    <x v="2"/>
    <x v="0"/>
    <x v="2"/>
    <x v="1"/>
    <x v="3"/>
    <x v="2"/>
    <x v="2"/>
    <m/>
    <n v="20161372068"/>
  </r>
  <r>
    <d v="2017-05-18T15:00:34"/>
    <s v="german.alfonsor@yahoo.com"/>
    <s v="INGENIERÍA ELÉCTRICA POR CICLOS PROPEDÉUTICOS"/>
    <n v="7"/>
    <x v="2"/>
    <x v="0"/>
    <x v="1"/>
    <x v="1"/>
    <x v="0"/>
    <x v="1"/>
    <x v="4"/>
    <x v="2"/>
    <x v="0"/>
    <x v="0"/>
    <x v="4"/>
    <x v="4"/>
    <x v="1"/>
    <x v="0"/>
    <x v="1"/>
    <x v="2"/>
    <x v="3"/>
    <x v="3"/>
    <x v="2"/>
    <x v="1"/>
    <x v="2"/>
    <x v="3"/>
    <x v="2"/>
    <x v="3"/>
    <x v="3"/>
    <x v="2"/>
    <x v="2"/>
    <x v="0"/>
    <x v="3"/>
    <x v="0"/>
    <x v="1"/>
    <x v="0"/>
    <x v="2"/>
    <x v="2"/>
    <x v="1"/>
    <x v="2"/>
    <x v="1"/>
    <x v="3"/>
    <x v="1"/>
    <x v="0"/>
    <x v="1"/>
    <x v="0"/>
    <x v="2"/>
    <x v="0"/>
    <x v="0"/>
    <x v="1"/>
    <x v="1"/>
    <x v="4"/>
    <x v="1"/>
    <x v="1"/>
    <x v="1"/>
    <x v="1"/>
    <x v="0"/>
    <x v="5"/>
    <x v="0"/>
    <x v="1"/>
    <x v="5"/>
    <x v="1"/>
    <x v="1"/>
    <x v="0"/>
    <x v="0"/>
    <x v="2"/>
    <x v="3"/>
    <x v="2"/>
    <x v="1"/>
    <x v="5"/>
    <x v="3"/>
    <x v="2"/>
    <x v="1"/>
    <x v="2"/>
    <x v="0"/>
    <x v="0"/>
    <x v="4"/>
    <x v="0"/>
    <x v="0"/>
    <x v="0"/>
    <x v="0"/>
    <x v="0"/>
    <x v="0"/>
    <x v="5"/>
    <x v="5"/>
    <x v="2"/>
    <x v="0"/>
    <x v="2"/>
    <x v="2"/>
    <x v="1"/>
    <x v="2"/>
    <x v="0"/>
    <x v="1"/>
    <x v="0"/>
    <x v="1"/>
    <x v="0"/>
    <x v="2"/>
    <x v="1"/>
    <x v="2"/>
    <x v="5"/>
    <x v="2"/>
    <m/>
    <n v="20132373070"/>
  </r>
  <r>
    <d v="2017-05-18T15:29:02"/>
    <s v="decastanedag@correo.udistrital.edu.co"/>
    <s v="TECNOLOGÍA EN ELECTRICIDAD"/>
    <n v="8"/>
    <x v="2"/>
    <x v="0"/>
    <x v="1"/>
    <x v="1"/>
    <x v="0"/>
    <x v="1"/>
    <x v="3"/>
    <x v="2"/>
    <x v="0"/>
    <x v="1"/>
    <x v="4"/>
    <x v="3"/>
    <x v="5"/>
    <x v="0"/>
    <x v="3"/>
    <x v="2"/>
    <x v="3"/>
    <x v="3"/>
    <x v="3"/>
    <x v="2"/>
    <x v="2"/>
    <x v="3"/>
    <x v="2"/>
    <x v="1"/>
    <x v="1"/>
    <x v="0"/>
    <x v="0"/>
    <x v="0"/>
    <x v="4"/>
    <x v="0"/>
    <x v="3"/>
    <x v="2"/>
    <x v="2"/>
    <x v="1"/>
    <x v="1"/>
    <x v="0"/>
    <x v="1"/>
    <x v="3"/>
    <x v="4"/>
    <x v="0"/>
    <x v="0"/>
    <x v="0"/>
    <x v="1"/>
    <x v="1"/>
    <x v="0"/>
    <x v="1"/>
    <x v="1"/>
    <x v="1"/>
    <x v="3"/>
    <x v="3"/>
    <x v="1"/>
    <x v="0"/>
    <x v="2"/>
    <x v="3"/>
    <x v="5"/>
    <x v="0"/>
    <x v="4"/>
    <x v="4"/>
    <x v="1"/>
    <x v="0"/>
    <x v="3"/>
    <x v="0"/>
    <x v="1"/>
    <x v="1"/>
    <x v="1"/>
    <x v="1"/>
    <x v="3"/>
    <x v="0"/>
    <x v="1"/>
    <x v="0"/>
    <x v="4"/>
    <x v="2"/>
    <x v="3"/>
    <x v="3"/>
    <x v="5"/>
    <x v="0"/>
    <x v="4"/>
    <x v="2"/>
    <x v="1"/>
    <x v="2"/>
    <x v="2"/>
    <x v="1"/>
    <x v="0"/>
    <x v="1"/>
    <x v="0"/>
    <x v="1"/>
    <x v="1"/>
    <x v="0"/>
    <x v="1"/>
    <x v="0"/>
    <x v="1"/>
    <x v="0"/>
    <x v="0"/>
    <x v="1"/>
    <x v="3"/>
    <x v="2"/>
    <x v="2"/>
    <s v="Personalmente pienso que existen muchas cosas por mejor, una de ellas es la sala de software; ya que muchas veces toca hacer la clase con alto nivel de hacinamiento. Otro aspecto por mejorar es el tema de la bibliográfica, específicamente libros aveces son muy pocos los que hay. "/>
    <n v="20132072046"/>
  </r>
  <r>
    <d v="2017-05-18T15:43:25"/>
    <s v="jborda1224@gmail.com"/>
    <s v="INGENIERÍA ELÉCTRICA POR CICLOS PROPEDÉUTICOS"/>
    <n v="2"/>
    <x v="2"/>
    <x v="0"/>
    <x v="1"/>
    <x v="1"/>
    <x v="5"/>
    <x v="2"/>
    <x v="3"/>
    <x v="0"/>
    <x v="4"/>
    <x v="0"/>
    <x v="1"/>
    <x v="2"/>
    <x v="4"/>
    <x v="4"/>
    <x v="4"/>
    <x v="3"/>
    <x v="3"/>
    <x v="4"/>
    <x v="2"/>
    <x v="3"/>
    <x v="2"/>
    <x v="2"/>
    <x v="3"/>
    <x v="2"/>
    <x v="4"/>
    <x v="3"/>
    <x v="2"/>
    <x v="2"/>
    <x v="3"/>
    <x v="0"/>
    <x v="4"/>
    <x v="4"/>
    <x v="3"/>
    <x v="4"/>
    <x v="1"/>
    <x v="1"/>
    <x v="2"/>
    <x v="1"/>
    <x v="1"/>
    <x v="1"/>
    <x v="1"/>
    <x v="0"/>
    <x v="1"/>
    <x v="2"/>
    <x v="1"/>
    <x v="0"/>
    <x v="0"/>
    <x v="2"/>
    <x v="4"/>
    <x v="5"/>
    <x v="2"/>
    <x v="5"/>
    <x v="1"/>
    <x v="2"/>
    <x v="1"/>
    <x v="2"/>
    <x v="2"/>
    <x v="2"/>
    <x v="0"/>
    <x v="1"/>
    <x v="2"/>
    <x v="5"/>
    <x v="0"/>
    <x v="0"/>
    <x v="0"/>
    <x v="2"/>
    <x v="2"/>
    <x v="1"/>
    <x v="2"/>
    <x v="0"/>
    <x v="1"/>
    <x v="2"/>
    <x v="2"/>
    <x v="0"/>
    <x v="1"/>
    <x v="2"/>
    <x v="1"/>
    <x v="1"/>
    <x v="1"/>
    <x v="1"/>
    <x v="0"/>
    <x v="1"/>
    <x v="5"/>
    <x v="1"/>
    <x v="0"/>
    <x v="2"/>
    <x v="0"/>
    <x v="0"/>
    <x v="2"/>
    <x v="1"/>
    <x v="2"/>
    <x v="3"/>
    <x v="1"/>
    <x v="2"/>
    <x v="1"/>
    <x v="1"/>
    <x v="1"/>
    <m/>
    <n v="20161372341"/>
  </r>
  <r>
    <d v="2017-05-18T16:18:53"/>
    <s v="ingfad@hotmail.com"/>
    <s v="INGENIERÍA ELÉCTRICA POR CICLOS PROPEDÉUTICOS"/>
    <n v="6"/>
    <x v="2"/>
    <x v="0"/>
    <x v="1"/>
    <x v="2"/>
    <x v="0"/>
    <x v="1"/>
    <x v="1"/>
    <x v="1"/>
    <x v="3"/>
    <x v="0"/>
    <x v="0"/>
    <x v="3"/>
    <x v="3"/>
    <x v="4"/>
    <x v="3"/>
    <x v="3"/>
    <x v="4"/>
    <x v="1"/>
    <x v="3"/>
    <x v="1"/>
    <x v="1"/>
    <x v="3"/>
    <x v="2"/>
    <x v="4"/>
    <x v="3"/>
    <x v="3"/>
    <x v="4"/>
    <x v="1"/>
    <x v="5"/>
    <x v="5"/>
    <x v="4"/>
    <x v="2"/>
    <x v="2"/>
    <x v="0"/>
    <x v="4"/>
    <x v="0"/>
    <x v="3"/>
    <x v="1"/>
    <x v="1"/>
    <x v="1"/>
    <x v="1"/>
    <x v="0"/>
    <x v="0"/>
    <x v="0"/>
    <x v="1"/>
    <x v="1"/>
    <x v="0"/>
    <x v="1"/>
    <x v="2"/>
    <x v="1"/>
    <x v="0"/>
    <x v="2"/>
    <x v="0"/>
    <x v="2"/>
    <x v="1"/>
    <x v="2"/>
    <x v="4"/>
    <x v="3"/>
    <x v="3"/>
    <x v="2"/>
    <x v="4"/>
    <x v="1"/>
    <x v="5"/>
    <x v="2"/>
    <x v="4"/>
    <x v="2"/>
    <x v="0"/>
    <x v="3"/>
    <x v="0"/>
    <x v="2"/>
    <x v="1"/>
    <x v="5"/>
    <x v="4"/>
    <x v="1"/>
    <x v="1"/>
    <x v="2"/>
    <x v="1"/>
    <x v="1"/>
    <x v="1"/>
    <x v="2"/>
    <x v="4"/>
    <x v="4"/>
    <x v="2"/>
    <x v="2"/>
    <x v="0"/>
    <x v="3"/>
    <x v="3"/>
    <x v="2"/>
    <x v="0"/>
    <x v="2"/>
    <x v="1"/>
    <x v="0"/>
    <x v="4"/>
    <x v="4"/>
    <x v="5"/>
    <x v="3"/>
    <x v="2"/>
    <m/>
    <n v="20161372098"/>
  </r>
  <r>
    <d v="2017-05-18T17:43:16"/>
    <s v="ojllanosm@correo.udistrital.edu.co"/>
    <s v="TECNOLOGÍA EN ELECTRICIDAD"/>
    <n v="8"/>
    <x v="1"/>
    <x v="0"/>
    <x v="1"/>
    <x v="4"/>
    <x v="1"/>
    <x v="0"/>
    <x v="5"/>
    <x v="3"/>
    <x v="4"/>
    <x v="0"/>
    <x v="2"/>
    <x v="2"/>
    <x v="4"/>
    <x v="3"/>
    <x v="4"/>
    <x v="4"/>
    <x v="2"/>
    <x v="5"/>
    <x v="4"/>
    <x v="2"/>
    <x v="2"/>
    <x v="3"/>
    <x v="3"/>
    <x v="3"/>
    <x v="5"/>
    <x v="2"/>
    <x v="1"/>
    <x v="0"/>
    <x v="2"/>
    <x v="1"/>
    <x v="1"/>
    <x v="0"/>
    <x v="3"/>
    <x v="5"/>
    <x v="0"/>
    <x v="3"/>
    <x v="4"/>
    <x v="3"/>
    <x v="4"/>
    <x v="1"/>
    <x v="1"/>
    <x v="0"/>
    <x v="4"/>
    <x v="4"/>
    <x v="5"/>
    <x v="3"/>
    <x v="4"/>
    <x v="0"/>
    <x v="2"/>
    <x v="3"/>
    <x v="1"/>
    <x v="2"/>
    <x v="2"/>
    <x v="3"/>
    <x v="4"/>
    <x v="5"/>
    <x v="4"/>
    <x v="3"/>
    <x v="3"/>
    <x v="2"/>
    <x v="3"/>
    <x v="2"/>
    <x v="3"/>
    <x v="2"/>
    <x v="2"/>
    <x v="2"/>
    <x v="2"/>
    <x v="5"/>
    <x v="4"/>
    <x v="5"/>
    <x v="5"/>
    <x v="5"/>
    <x v="4"/>
    <x v="2"/>
    <x v="5"/>
    <x v="0"/>
    <x v="5"/>
    <x v="3"/>
    <x v="1"/>
    <x v="3"/>
    <x v="5"/>
    <x v="4"/>
    <x v="5"/>
    <x v="4"/>
    <x v="4"/>
    <x v="4"/>
    <x v="3"/>
    <x v="2"/>
    <x v="0"/>
    <x v="5"/>
    <x v="4"/>
    <x v="4"/>
    <x v="5"/>
    <x v="5"/>
    <x v="3"/>
    <x v="2"/>
    <x v="2"/>
    <s v="Pienso que no les importa la deserción o el problema que tenemos nosotros los estudiantes para continuar haciendo que se pierda el interés, se termine la carrera &quot;por terminar&quot; o simplemente cambiar de carrera, universidad, área (ingeniería), pienso muchas veces que le otorgan el poder a un profesor en un área específica (espacio académico que desbloquea espacios académicos fundamentales del siguiente semestre) para que los estudiantes deserten y se gradúen pocos, pienso que no hay un seguimiento para ese problema que sucede desde hace mucho tiempo, ¿Por qué un profesor que es un mal ser humano enseña con su táctica de infundir miedo a los estudiantes humillando sigue en un aula de clases &quot;instruyendo&quot;? Y no sólo es uno, muchas veces se &quot;agrandan&quot; se &quot;crecen&quot; y hacen sentir mal, es cierto que uno está aprendiendo, pero si a la hora de entrar a clase, se tiene miedo, no hay inspiración y motivación para entrar, es porque no sólo nosotros estamos haciendo algo mal, además, uno no dice algo, porque todos los profesores se hablan con todos, y da temor encontrarse de nuevo con ellos en semestres posteriores. Tengo miedo de verdad, y a pesar de mi situación de prueba académica, nunca he recibido apoyo de mi proyecto curricular para y aseguro que ninguno de mis compañeros. Muchas gracias por la atención y sé que no va a pasar algo diferente, como siempre con las evaluaciones docentes y todos esos cuentos baratos. Discúlpen si me excedí. Gracias."/>
    <n v="20132072073"/>
  </r>
  <r>
    <d v="2017-05-18T19:25:39"/>
    <s v="lacardenasr@correo.udistrital.edu.co"/>
    <s v="TECNOLOGÍA EN SISTEMAS ELÉCTRICOS DE MEDIA Y BAJA TENSIÓN POR CICLOS PROPEDÉUTICOS"/>
    <n v="2"/>
    <x v="1"/>
    <x v="0"/>
    <x v="1"/>
    <x v="4"/>
    <x v="1"/>
    <x v="0"/>
    <x v="1"/>
    <x v="4"/>
    <x v="4"/>
    <x v="3"/>
    <x v="5"/>
    <x v="2"/>
    <x v="4"/>
    <x v="3"/>
    <x v="2"/>
    <x v="5"/>
    <x v="0"/>
    <x v="2"/>
    <x v="5"/>
    <x v="1"/>
    <x v="1"/>
    <x v="1"/>
    <x v="3"/>
    <x v="4"/>
    <x v="3"/>
    <x v="0"/>
    <x v="1"/>
    <x v="1"/>
    <x v="1"/>
    <x v="1"/>
    <x v="0"/>
    <x v="5"/>
    <x v="3"/>
    <x v="2"/>
    <x v="0"/>
    <x v="2"/>
    <x v="4"/>
    <x v="1"/>
    <x v="1"/>
    <x v="1"/>
    <x v="2"/>
    <x v="0"/>
    <x v="1"/>
    <x v="2"/>
    <x v="3"/>
    <x v="1"/>
    <x v="1"/>
    <x v="0"/>
    <x v="2"/>
    <x v="2"/>
    <x v="3"/>
    <x v="2"/>
    <x v="4"/>
    <x v="1"/>
    <x v="0"/>
    <x v="1"/>
    <x v="3"/>
    <x v="5"/>
    <x v="5"/>
    <x v="2"/>
    <x v="4"/>
    <x v="2"/>
    <x v="5"/>
    <x v="4"/>
    <x v="5"/>
    <x v="3"/>
    <x v="3"/>
    <x v="5"/>
    <x v="4"/>
    <x v="5"/>
    <x v="2"/>
    <x v="4"/>
    <x v="5"/>
    <x v="1"/>
    <x v="3"/>
    <x v="5"/>
    <x v="4"/>
    <x v="4"/>
    <x v="1"/>
    <x v="5"/>
    <x v="4"/>
    <x v="5"/>
    <x v="4"/>
    <x v="4"/>
    <x v="5"/>
    <x v="4"/>
    <x v="5"/>
    <x v="3"/>
    <x v="4"/>
    <x v="3"/>
    <x v="0"/>
    <x v="3"/>
    <x v="5"/>
    <x v="3"/>
    <x v="5"/>
    <x v="3"/>
    <x v="3"/>
    <s v="Buenas noches:_x000a_A pesar de la sinceridad de los estudiantes en la evaluación docente positiva o negativa, por la metodología de enseñanza docente y su mortalidad académica no pasa a ser más allá de un formalismo._x000a_Amo y respeto mi Universidad Distrital pero decadencia infraestructural y presupuestal no permite que se termine a tiempo una tecnología, esto acompañado con el poder de los docentes de planta que carecen de pedagogía y aún así hay continúan._x000a_Agradezco la atención prestada. "/>
    <n v="20161572030"/>
  </r>
  <r>
    <d v="2017-05-18T20:57:01"/>
    <s v="nellylara14@hotmail.com"/>
    <s v="INGENIERÍA ELÉCTRICA POR CICLOS PROPEDÉUTICOS"/>
    <n v="6"/>
    <x v="1"/>
    <x v="0"/>
    <x v="1"/>
    <x v="1"/>
    <x v="5"/>
    <x v="2"/>
    <x v="4"/>
    <x v="0"/>
    <x v="0"/>
    <x v="1"/>
    <x v="1"/>
    <x v="3"/>
    <x v="3"/>
    <x v="1"/>
    <x v="3"/>
    <x v="2"/>
    <x v="3"/>
    <x v="2"/>
    <x v="2"/>
    <x v="2"/>
    <x v="2"/>
    <x v="3"/>
    <x v="2"/>
    <x v="4"/>
    <x v="3"/>
    <x v="2"/>
    <x v="2"/>
    <x v="2"/>
    <x v="3"/>
    <x v="0"/>
    <x v="0"/>
    <x v="0"/>
    <x v="1"/>
    <x v="2"/>
    <x v="3"/>
    <x v="0"/>
    <x v="0"/>
    <x v="2"/>
    <x v="2"/>
    <x v="1"/>
    <x v="1"/>
    <x v="0"/>
    <x v="1"/>
    <x v="0"/>
    <x v="0"/>
    <x v="3"/>
    <x v="2"/>
    <x v="1"/>
    <x v="3"/>
    <x v="3"/>
    <x v="3"/>
    <x v="0"/>
    <x v="5"/>
    <x v="0"/>
    <x v="2"/>
    <x v="0"/>
    <x v="5"/>
    <x v="4"/>
    <x v="4"/>
    <x v="0"/>
    <x v="3"/>
    <x v="2"/>
    <x v="3"/>
    <x v="3"/>
    <x v="0"/>
    <x v="3"/>
    <x v="1"/>
    <x v="2"/>
    <x v="0"/>
    <x v="2"/>
    <x v="2"/>
    <x v="0"/>
    <x v="4"/>
    <x v="1"/>
    <x v="0"/>
    <x v="3"/>
    <x v="0"/>
    <x v="0"/>
    <x v="1"/>
    <x v="3"/>
    <x v="4"/>
    <x v="0"/>
    <x v="4"/>
    <x v="2"/>
    <x v="4"/>
    <x v="3"/>
    <x v="3"/>
    <x v="2"/>
    <x v="0"/>
    <x v="5"/>
    <x v="4"/>
    <x v="4"/>
    <x v="2"/>
    <x v="0"/>
    <x v="2"/>
    <x v="2"/>
    <x v="1"/>
    <s v="Es bueno tener docentes que de verdad lo sean no los estudiantes que pasan de laboratoristas a profesores es una falta de respeto con nosotros los estudiantes. Baja la calidad de nuestra carrera la cual es excelente para nuestras vidas personales como laborales._x000a_Deberían brindar garantías y acompañamiento para podernos graduar sin tantos obstaculos y dar paso a nuevas generaciones"/>
    <n v="20141372084"/>
  </r>
  <r>
    <d v="2017-05-18T21:37:39"/>
    <s v="tavo458@hotmail.com"/>
    <s v="INGENIERÍA ELÉCTRICA POR CICLOS PROPEDÉUTICOS"/>
    <n v="7"/>
    <x v="2"/>
    <x v="3"/>
    <x v="3"/>
    <x v="1"/>
    <x v="0"/>
    <x v="4"/>
    <x v="4"/>
    <x v="5"/>
    <x v="3"/>
    <x v="5"/>
    <x v="4"/>
    <x v="2"/>
    <x v="4"/>
    <x v="3"/>
    <x v="5"/>
    <x v="4"/>
    <x v="2"/>
    <x v="3"/>
    <x v="5"/>
    <x v="4"/>
    <x v="4"/>
    <x v="5"/>
    <x v="3"/>
    <x v="3"/>
    <x v="4"/>
    <x v="4"/>
    <x v="2"/>
    <x v="5"/>
    <x v="5"/>
    <x v="5"/>
    <x v="4"/>
    <x v="5"/>
    <x v="5"/>
    <x v="5"/>
    <x v="0"/>
    <x v="4"/>
    <x v="4"/>
    <x v="2"/>
    <x v="4"/>
    <x v="0"/>
    <x v="1"/>
    <x v="1"/>
    <x v="2"/>
    <x v="4"/>
    <x v="5"/>
    <x v="3"/>
    <x v="4"/>
    <x v="4"/>
    <x v="3"/>
    <x v="1"/>
    <x v="3"/>
    <x v="2"/>
    <x v="3"/>
    <x v="3"/>
    <x v="4"/>
    <x v="5"/>
    <x v="3"/>
    <x v="5"/>
    <x v="5"/>
    <x v="4"/>
    <x v="4"/>
    <x v="4"/>
    <x v="5"/>
    <x v="4"/>
    <x v="5"/>
    <x v="4"/>
    <x v="5"/>
    <x v="5"/>
    <x v="4"/>
    <x v="5"/>
    <x v="5"/>
    <x v="4"/>
    <x v="5"/>
    <x v="1"/>
    <x v="3"/>
    <x v="5"/>
    <x v="4"/>
    <x v="4"/>
    <x v="5"/>
    <x v="5"/>
    <x v="4"/>
    <x v="5"/>
    <x v="4"/>
    <x v="4"/>
    <x v="5"/>
    <x v="0"/>
    <x v="2"/>
    <x v="5"/>
    <x v="5"/>
    <x v="4"/>
    <x v="5"/>
    <x v="5"/>
    <x v="5"/>
    <x v="5"/>
    <x v="3"/>
    <x v="5"/>
    <x v="3"/>
    <s v="El programa esubo de los peores de la universidad en atención de funcionarios y en profesores, los cuales no deberían llamarse así puesto que son personas muy prepotentes groseros y muy poco profesionales en la calificación , ( Germán Guevara, mario Rodríguez, adas están poniendo a pelados que apneas salen del pregrado a enseñar cuando no tienen ni una gota de pedagogía (Diego Giral, Víctor Gómez, Alexander Rodríguez), no se preocupan por qué el estudiante aprendi si no presumir de Susi *conocimientos en clase.una de las niñas que atiende en la coordinación Johana es muy grosera con los estudiantes,  elizabeth es la única que trata a los estudiantes con respeto"/>
    <n v="20112372078"/>
  </r>
  <r>
    <d v="2017-05-18T22:06:07"/>
    <s v="laine8727@hotmail.com"/>
    <s v="INGENIERÍA ELÉCTRICA POR CICLOS PROPEDÉUTICOS"/>
    <n v="7"/>
    <x v="4"/>
    <x v="0"/>
    <x v="1"/>
    <x v="4"/>
    <x v="1"/>
    <x v="0"/>
    <x v="5"/>
    <x v="4"/>
    <x v="5"/>
    <x v="3"/>
    <x v="2"/>
    <x v="2"/>
    <x v="4"/>
    <x v="3"/>
    <x v="5"/>
    <x v="4"/>
    <x v="2"/>
    <x v="2"/>
    <x v="5"/>
    <x v="3"/>
    <x v="3"/>
    <x v="2"/>
    <x v="3"/>
    <x v="5"/>
    <x v="5"/>
    <x v="5"/>
    <x v="5"/>
    <x v="4"/>
    <x v="5"/>
    <x v="3"/>
    <x v="5"/>
    <x v="5"/>
    <x v="1"/>
    <x v="5"/>
    <x v="0"/>
    <x v="4"/>
    <x v="4"/>
    <x v="3"/>
    <x v="4"/>
    <x v="1"/>
    <x v="1"/>
    <x v="0"/>
    <x v="1"/>
    <x v="4"/>
    <x v="5"/>
    <x v="4"/>
    <x v="4"/>
    <x v="0"/>
    <x v="2"/>
    <x v="3"/>
    <x v="3"/>
    <x v="2"/>
    <x v="3"/>
    <x v="3"/>
    <x v="4"/>
    <x v="5"/>
    <x v="3"/>
    <x v="5"/>
    <x v="5"/>
    <x v="2"/>
    <x v="0"/>
    <x v="4"/>
    <x v="5"/>
    <x v="4"/>
    <x v="5"/>
    <x v="4"/>
    <x v="5"/>
    <x v="5"/>
    <x v="4"/>
    <x v="5"/>
    <x v="5"/>
    <x v="4"/>
    <x v="5"/>
    <x v="1"/>
    <x v="3"/>
    <x v="5"/>
    <x v="4"/>
    <x v="4"/>
    <x v="2"/>
    <x v="5"/>
    <x v="4"/>
    <x v="5"/>
    <x v="4"/>
    <x v="4"/>
    <x v="5"/>
    <x v="4"/>
    <x v="3"/>
    <x v="2"/>
    <x v="5"/>
    <x v="4"/>
    <x v="5"/>
    <x v="5"/>
    <x v="5"/>
    <x v="0"/>
    <x v="5"/>
    <x v="3"/>
    <x v="3"/>
    <s v="De unos años para aca los docentes no son lo suficientemente idoneo para poder dictar una asignatura,  son recien egresados, laboratoristas, etc. que lo unico que piensan es que entre mas alumnos dejen mejores docentes son. la calidad de la educacion sigue disminuyendo abrumadoramente. "/>
    <n v="20122372056"/>
  </r>
  <r>
    <d v="2017-05-18T22:31:51"/>
    <s v="juandavidgunturizamaya@gmail.com"/>
    <s v="TECNOLOGÍA EN ELECTRICIDAD"/>
    <n v="1"/>
    <x v="2"/>
    <x v="0"/>
    <x v="1"/>
    <x v="2"/>
    <x v="1"/>
    <x v="0"/>
    <x v="3"/>
    <x v="2"/>
    <x v="2"/>
    <x v="1"/>
    <x v="4"/>
    <x v="3"/>
    <x v="5"/>
    <x v="1"/>
    <x v="3"/>
    <x v="3"/>
    <x v="3"/>
    <x v="3"/>
    <x v="0"/>
    <x v="2"/>
    <x v="2"/>
    <x v="3"/>
    <x v="2"/>
    <x v="0"/>
    <x v="3"/>
    <x v="3"/>
    <x v="3"/>
    <x v="4"/>
    <x v="3"/>
    <x v="2"/>
    <x v="3"/>
    <x v="2"/>
    <x v="2"/>
    <x v="4"/>
    <x v="1"/>
    <x v="2"/>
    <x v="1"/>
    <x v="1"/>
    <x v="1"/>
    <x v="3"/>
    <x v="1"/>
    <x v="0"/>
    <x v="3"/>
    <x v="1"/>
    <x v="3"/>
    <x v="1"/>
    <x v="1"/>
    <x v="2"/>
    <x v="2"/>
    <x v="0"/>
    <x v="0"/>
    <x v="2"/>
    <x v="1"/>
    <x v="4"/>
    <x v="2"/>
    <x v="0"/>
    <x v="5"/>
    <x v="1"/>
    <x v="1"/>
    <x v="1"/>
    <x v="1"/>
    <x v="0"/>
    <x v="3"/>
    <x v="2"/>
    <x v="0"/>
    <x v="1"/>
    <x v="1"/>
    <x v="2"/>
    <x v="1"/>
    <x v="0"/>
    <x v="0"/>
    <x v="0"/>
    <x v="4"/>
    <x v="1"/>
    <x v="2"/>
    <x v="3"/>
    <x v="2"/>
    <x v="3"/>
    <x v="0"/>
    <x v="0"/>
    <x v="1"/>
    <x v="1"/>
    <x v="2"/>
    <x v="2"/>
    <x v="2"/>
    <x v="0"/>
    <x v="5"/>
    <x v="2"/>
    <x v="1"/>
    <x v="0"/>
    <x v="1"/>
    <x v="2"/>
    <x v="2"/>
    <x v="0"/>
    <x v="2"/>
    <x v="0"/>
    <x v="1"/>
    <m/>
    <n v="20171572059"/>
  </r>
  <r>
    <d v="2017-05-19T07:17:38"/>
    <s v="giovannygalindo78@gmail.com"/>
    <s v="TECNOLOGÍA EN ELECTRICIDAD"/>
    <n v="10"/>
    <x v="3"/>
    <x v="0"/>
    <x v="1"/>
    <x v="2"/>
    <x v="1"/>
    <x v="4"/>
    <x v="4"/>
    <x v="0"/>
    <x v="0"/>
    <x v="1"/>
    <x v="2"/>
    <x v="2"/>
    <x v="5"/>
    <x v="0"/>
    <x v="1"/>
    <x v="2"/>
    <x v="1"/>
    <x v="3"/>
    <x v="3"/>
    <x v="2"/>
    <x v="3"/>
    <x v="3"/>
    <x v="2"/>
    <x v="1"/>
    <x v="2"/>
    <x v="1"/>
    <x v="0"/>
    <x v="1"/>
    <x v="0"/>
    <x v="1"/>
    <x v="2"/>
    <x v="2"/>
    <x v="0"/>
    <x v="1"/>
    <x v="1"/>
    <x v="2"/>
    <x v="1"/>
    <x v="1"/>
    <x v="1"/>
    <x v="0"/>
    <x v="1"/>
    <x v="0"/>
    <x v="4"/>
    <x v="1"/>
    <x v="0"/>
    <x v="1"/>
    <x v="1"/>
    <x v="2"/>
    <x v="2"/>
    <x v="5"/>
    <x v="2"/>
    <x v="2"/>
    <x v="1"/>
    <x v="0"/>
    <x v="2"/>
    <x v="1"/>
    <x v="1"/>
    <x v="1"/>
    <x v="1"/>
    <x v="1"/>
    <x v="3"/>
    <x v="2"/>
    <x v="3"/>
    <x v="0"/>
    <x v="1"/>
    <x v="1"/>
    <x v="3"/>
    <x v="0"/>
    <x v="1"/>
    <x v="1"/>
    <x v="1"/>
    <x v="2"/>
    <x v="2"/>
    <x v="1"/>
    <x v="0"/>
    <x v="0"/>
    <x v="2"/>
    <x v="3"/>
    <x v="1"/>
    <x v="2"/>
    <x v="2"/>
    <x v="1"/>
    <x v="0"/>
    <x v="1"/>
    <x v="0"/>
    <x v="1"/>
    <x v="1"/>
    <x v="1"/>
    <x v="1"/>
    <x v="0"/>
    <x v="1"/>
    <x v="0"/>
    <x v="0"/>
    <x v="1"/>
    <x v="2"/>
    <x v="0"/>
    <x v="1"/>
    <m/>
    <n v="20062072024"/>
  </r>
  <r>
    <d v="2017-05-19T16:54:02"/>
    <s v="escobarjohann@gmail.com"/>
    <s v="INGENIERÍA ELÉCTRICA POR CICLOS PROPEDÉUTICOS"/>
    <n v="8"/>
    <x v="3"/>
    <x v="4"/>
    <x v="3"/>
    <x v="1"/>
    <x v="0"/>
    <x v="0"/>
    <x v="1"/>
    <x v="0"/>
    <x v="4"/>
    <x v="5"/>
    <x v="2"/>
    <x v="2"/>
    <x v="4"/>
    <x v="1"/>
    <x v="5"/>
    <x v="4"/>
    <x v="2"/>
    <x v="5"/>
    <x v="4"/>
    <x v="4"/>
    <x v="4"/>
    <x v="2"/>
    <x v="3"/>
    <x v="5"/>
    <x v="5"/>
    <x v="5"/>
    <x v="5"/>
    <x v="4"/>
    <x v="1"/>
    <x v="5"/>
    <x v="5"/>
    <x v="5"/>
    <x v="5"/>
    <x v="2"/>
    <x v="0"/>
    <x v="4"/>
    <x v="4"/>
    <x v="1"/>
    <x v="1"/>
    <x v="1"/>
    <x v="2"/>
    <x v="0"/>
    <x v="1"/>
    <x v="4"/>
    <x v="2"/>
    <x v="4"/>
    <x v="4"/>
    <x v="2"/>
    <x v="4"/>
    <x v="2"/>
    <x v="3"/>
    <x v="2"/>
    <x v="3"/>
    <x v="0"/>
    <x v="0"/>
    <x v="1"/>
    <x v="3"/>
    <x v="5"/>
    <x v="4"/>
    <x v="2"/>
    <x v="3"/>
    <x v="4"/>
    <x v="5"/>
    <x v="4"/>
    <x v="2"/>
    <x v="2"/>
    <x v="5"/>
    <x v="2"/>
    <x v="0"/>
    <x v="2"/>
    <x v="5"/>
    <x v="4"/>
    <x v="5"/>
    <x v="2"/>
    <x v="2"/>
    <x v="5"/>
    <x v="2"/>
    <x v="3"/>
    <x v="0"/>
    <x v="5"/>
    <x v="4"/>
    <x v="0"/>
    <x v="4"/>
    <x v="4"/>
    <x v="5"/>
    <x v="4"/>
    <x v="3"/>
    <x v="2"/>
    <x v="5"/>
    <x v="0"/>
    <x v="1"/>
    <x v="2"/>
    <x v="5"/>
    <x v="5"/>
    <x v="3"/>
    <x v="2"/>
    <x v="2"/>
    <s v="Sacan pecho con la acreditación en alta calidad y los docentes que contratan son personas que ni siquiera tienen calidad. Caso particular Ing eléctrica X ciclos, donde al parecer el único requisito para impartir clase, es haber sido parte de los laboratorios y tener conocimientos avanzados en el software Matlab._x000a_No se tiene en cuenta la evaluación docente._x000a_Semestre a semestre no hay &quot;electivas&quot;. _x000a_Los docentes semestre a semestre plantean las mismas practicas de laboratorios, las cuales fueron plagiadas de internet. "/>
    <n v="20141372105"/>
  </r>
  <r>
    <d v="2017-05-20T14:31:33"/>
    <s v="juancsaavedra@hotmail.com"/>
    <s v="TECNOLOGÍA EN SISTEMAS ELÉCTRICOS DE MEDIA Y BAJA TENSIÓN POR CICLOS PROPEDÉUTICOS"/>
    <n v="2"/>
    <x v="3"/>
    <x v="0"/>
    <x v="2"/>
    <x v="2"/>
    <x v="1"/>
    <x v="0"/>
    <x v="1"/>
    <x v="0"/>
    <x v="3"/>
    <x v="0"/>
    <x v="2"/>
    <x v="2"/>
    <x v="1"/>
    <x v="0"/>
    <x v="4"/>
    <x v="4"/>
    <x v="4"/>
    <x v="3"/>
    <x v="3"/>
    <x v="3"/>
    <x v="2"/>
    <x v="4"/>
    <x v="4"/>
    <x v="1"/>
    <x v="3"/>
    <x v="2"/>
    <x v="3"/>
    <x v="1"/>
    <x v="3"/>
    <x v="1"/>
    <x v="0"/>
    <x v="4"/>
    <x v="2"/>
    <x v="4"/>
    <x v="4"/>
    <x v="2"/>
    <x v="0"/>
    <x v="1"/>
    <x v="1"/>
    <x v="0"/>
    <x v="1"/>
    <x v="0"/>
    <x v="3"/>
    <x v="1"/>
    <x v="0"/>
    <x v="3"/>
    <x v="2"/>
    <x v="1"/>
    <x v="2"/>
    <x v="3"/>
    <x v="3"/>
    <x v="2"/>
    <x v="1"/>
    <x v="3"/>
    <x v="2"/>
    <x v="0"/>
    <x v="5"/>
    <x v="1"/>
    <x v="2"/>
    <x v="0"/>
    <x v="3"/>
    <x v="2"/>
    <x v="1"/>
    <x v="0"/>
    <x v="1"/>
    <x v="3"/>
    <x v="3"/>
    <x v="3"/>
    <x v="3"/>
    <x v="0"/>
    <x v="1"/>
    <x v="5"/>
    <x v="4"/>
    <x v="2"/>
    <x v="3"/>
    <x v="5"/>
    <x v="4"/>
    <x v="4"/>
    <x v="1"/>
    <x v="2"/>
    <x v="2"/>
    <x v="0"/>
    <x v="0"/>
    <x v="2"/>
    <x v="5"/>
    <x v="2"/>
    <x v="0"/>
    <x v="4"/>
    <x v="1"/>
    <x v="5"/>
    <x v="4"/>
    <x v="2"/>
    <x v="4"/>
    <x v="5"/>
    <x v="0"/>
    <x v="5"/>
    <x v="5"/>
    <s v="Invito a mejorar las atenciones por parte de la administración y el bienestar universitario, también a fomentar más a los estudiantes a la investigación con conciencia y  un sentido critíco a sociedad actual."/>
    <n v="20162572040"/>
  </r>
  <r>
    <d v="2017-05-22T10:37:57"/>
    <s v="nico.moli.ds@gmail.com"/>
    <s v="TECNOLOGÍA EN ELECTRICIDAD"/>
    <n v="2"/>
    <x v="5"/>
    <x v="1"/>
    <x v="3"/>
    <x v="2"/>
    <x v="1"/>
    <x v="0"/>
    <x v="3"/>
    <x v="1"/>
    <x v="3"/>
    <x v="2"/>
    <x v="2"/>
    <x v="2"/>
    <x v="2"/>
    <x v="0"/>
    <x v="2"/>
    <x v="2"/>
    <x v="2"/>
    <x v="1"/>
    <x v="2"/>
    <x v="1"/>
    <x v="2"/>
    <x v="2"/>
    <x v="1"/>
    <x v="3"/>
    <x v="4"/>
    <x v="0"/>
    <x v="3"/>
    <x v="1"/>
    <x v="4"/>
    <x v="1"/>
    <x v="0"/>
    <x v="5"/>
    <x v="3"/>
    <x v="5"/>
    <x v="2"/>
    <x v="1"/>
    <x v="2"/>
    <x v="5"/>
    <x v="5"/>
    <x v="2"/>
    <x v="1"/>
    <x v="0"/>
    <x v="2"/>
    <x v="5"/>
    <x v="3"/>
    <x v="0"/>
    <x v="0"/>
    <x v="4"/>
    <x v="0"/>
    <x v="0"/>
    <x v="3"/>
    <x v="2"/>
    <x v="5"/>
    <x v="1"/>
    <x v="1"/>
    <x v="2"/>
    <x v="4"/>
    <x v="2"/>
    <x v="2"/>
    <x v="2"/>
    <x v="3"/>
    <x v="2"/>
    <x v="1"/>
    <x v="1"/>
    <x v="2"/>
    <x v="2"/>
    <x v="2"/>
    <x v="2"/>
    <x v="1"/>
    <x v="0"/>
    <x v="1"/>
    <x v="4"/>
    <x v="2"/>
    <x v="1"/>
    <x v="3"/>
    <x v="5"/>
    <x v="2"/>
    <x v="3"/>
    <x v="1"/>
    <x v="3"/>
    <x v="4"/>
    <x v="0"/>
    <x v="1"/>
    <x v="5"/>
    <x v="5"/>
    <x v="1"/>
    <x v="2"/>
    <x v="0"/>
    <x v="3"/>
    <x v="2"/>
    <x v="3"/>
    <x v="2"/>
    <x v="2"/>
    <x v="0"/>
    <x v="5"/>
    <x v="0"/>
    <x v="3"/>
    <s v="las respuestas son poco coherentes "/>
    <n v="20162572043"/>
  </r>
  <r>
    <d v="2017-05-22T11:06:52"/>
    <s v="bryan-0706@hotmail.com"/>
    <s v="TECNOLOGÍA EN SISTEMAS ELÉCTRICOS DE MEDIA Y BAJA TENSIÓN POR CICLOS PROPEDÉUTICOS"/>
    <n v="3"/>
    <x v="2"/>
    <x v="2"/>
    <x v="0"/>
    <x v="1"/>
    <x v="5"/>
    <x v="1"/>
    <x v="4"/>
    <x v="0"/>
    <x v="0"/>
    <x v="1"/>
    <x v="4"/>
    <x v="1"/>
    <x v="1"/>
    <x v="1"/>
    <x v="1"/>
    <x v="1"/>
    <x v="3"/>
    <x v="3"/>
    <x v="3"/>
    <x v="2"/>
    <x v="2"/>
    <x v="3"/>
    <x v="2"/>
    <x v="3"/>
    <x v="1"/>
    <x v="3"/>
    <x v="0"/>
    <x v="0"/>
    <x v="0"/>
    <x v="0"/>
    <x v="1"/>
    <x v="0"/>
    <x v="2"/>
    <x v="4"/>
    <x v="3"/>
    <x v="2"/>
    <x v="0"/>
    <x v="2"/>
    <x v="5"/>
    <x v="1"/>
    <x v="0"/>
    <x v="4"/>
    <x v="1"/>
    <x v="1"/>
    <x v="0"/>
    <x v="1"/>
    <x v="1"/>
    <x v="1"/>
    <x v="3"/>
    <x v="4"/>
    <x v="4"/>
    <x v="3"/>
    <x v="2"/>
    <x v="0"/>
    <x v="0"/>
    <x v="0"/>
    <x v="2"/>
    <x v="2"/>
    <x v="1"/>
    <x v="0"/>
    <x v="3"/>
    <x v="0"/>
    <x v="1"/>
    <x v="0"/>
    <x v="1"/>
    <x v="1"/>
    <x v="1"/>
    <x v="0"/>
    <x v="1"/>
    <x v="0"/>
    <x v="1"/>
    <x v="2"/>
    <x v="2"/>
    <x v="0"/>
    <x v="0"/>
    <x v="3"/>
    <x v="2"/>
    <x v="3"/>
    <x v="2"/>
    <x v="2"/>
    <x v="2"/>
    <x v="0"/>
    <x v="2"/>
    <x v="1"/>
    <x v="0"/>
    <x v="1"/>
    <x v="1"/>
    <x v="0"/>
    <x v="3"/>
    <x v="2"/>
    <x v="3"/>
    <x v="2"/>
    <x v="2"/>
    <x v="0"/>
    <x v="3"/>
    <x v="2"/>
    <x v="2"/>
    <m/>
    <n v="20161572458"/>
  </r>
  <r>
    <d v="2017-05-22T12:22:00"/>
    <s v="michaelpradam@gmail.com"/>
    <s v="TECNOLOGÍA EN ELECTRICIDAD"/>
    <n v="10"/>
    <x v="3"/>
    <x v="0"/>
    <x v="1"/>
    <x v="2"/>
    <x v="1"/>
    <x v="0"/>
    <x v="3"/>
    <x v="2"/>
    <x v="1"/>
    <x v="0"/>
    <x v="3"/>
    <x v="1"/>
    <x v="5"/>
    <x v="0"/>
    <x v="3"/>
    <x v="5"/>
    <x v="3"/>
    <x v="2"/>
    <x v="2"/>
    <x v="1"/>
    <x v="3"/>
    <x v="1"/>
    <x v="3"/>
    <x v="2"/>
    <x v="3"/>
    <x v="2"/>
    <x v="1"/>
    <x v="4"/>
    <x v="1"/>
    <x v="5"/>
    <x v="0"/>
    <x v="1"/>
    <x v="0"/>
    <x v="2"/>
    <x v="1"/>
    <x v="2"/>
    <x v="1"/>
    <x v="3"/>
    <x v="2"/>
    <x v="0"/>
    <x v="2"/>
    <x v="1"/>
    <x v="0"/>
    <x v="1"/>
    <x v="0"/>
    <x v="3"/>
    <x v="1"/>
    <x v="1"/>
    <x v="3"/>
    <x v="3"/>
    <x v="1"/>
    <x v="3"/>
    <x v="0"/>
    <x v="1"/>
    <x v="2"/>
    <x v="1"/>
    <x v="5"/>
    <x v="1"/>
    <x v="1"/>
    <x v="0"/>
    <x v="1"/>
    <x v="2"/>
    <x v="3"/>
    <x v="1"/>
    <x v="0"/>
    <x v="1"/>
    <x v="1"/>
    <x v="2"/>
    <x v="1"/>
    <x v="2"/>
    <x v="1"/>
    <x v="0"/>
    <x v="4"/>
    <x v="0"/>
    <x v="2"/>
    <x v="1"/>
    <x v="0"/>
    <x v="0"/>
    <x v="0"/>
    <x v="0"/>
    <x v="2"/>
    <x v="1"/>
    <x v="0"/>
    <x v="1"/>
    <x v="0"/>
    <x v="1"/>
    <x v="2"/>
    <x v="1"/>
    <x v="3"/>
    <x v="0"/>
    <x v="3"/>
    <x v="2"/>
    <x v="0"/>
    <x v="1"/>
    <x v="2"/>
    <x v="2"/>
    <x v="2"/>
    <m/>
    <n v="20091072042"/>
  </r>
  <r>
    <d v="2017-05-22T12:22:21"/>
    <s v="aalmanzar@correo.udistrital.edu.co"/>
    <s v="TECNOLOGÍA EN ELECTRICIDAD"/>
    <n v="9"/>
    <x v="3"/>
    <x v="0"/>
    <x v="2"/>
    <x v="1"/>
    <x v="2"/>
    <x v="2"/>
    <x v="3"/>
    <x v="1"/>
    <x v="1"/>
    <x v="2"/>
    <x v="4"/>
    <x v="5"/>
    <x v="2"/>
    <x v="4"/>
    <x v="3"/>
    <x v="1"/>
    <x v="4"/>
    <x v="2"/>
    <x v="3"/>
    <x v="2"/>
    <x v="2"/>
    <x v="3"/>
    <x v="3"/>
    <x v="3"/>
    <x v="3"/>
    <x v="4"/>
    <x v="2"/>
    <x v="0"/>
    <x v="2"/>
    <x v="0"/>
    <x v="1"/>
    <x v="2"/>
    <x v="2"/>
    <x v="1"/>
    <x v="1"/>
    <x v="2"/>
    <x v="1"/>
    <x v="3"/>
    <x v="4"/>
    <x v="0"/>
    <x v="0"/>
    <x v="1"/>
    <x v="2"/>
    <x v="1"/>
    <x v="0"/>
    <x v="1"/>
    <x v="1"/>
    <x v="1"/>
    <x v="1"/>
    <x v="1"/>
    <x v="4"/>
    <x v="3"/>
    <x v="0"/>
    <x v="1"/>
    <x v="0"/>
    <x v="1"/>
    <x v="1"/>
    <x v="1"/>
    <x v="1"/>
    <x v="2"/>
    <x v="3"/>
    <x v="2"/>
    <x v="3"/>
    <x v="2"/>
    <x v="0"/>
    <x v="1"/>
    <x v="1"/>
    <x v="0"/>
    <x v="1"/>
    <x v="0"/>
    <x v="1"/>
    <x v="2"/>
    <x v="2"/>
    <x v="4"/>
    <x v="0"/>
    <x v="1"/>
    <x v="0"/>
    <x v="0"/>
    <x v="0"/>
    <x v="0"/>
    <x v="1"/>
    <x v="0"/>
    <x v="0"/>
    <x v="1"/>
    <x v="0"/>
    <x v="1"/>
    <x v="1"/>
    <x v="1"/>
    <x v="1"/>
    <x v="0"/>
    <x v="1"/>
    <x v="0"/>
    <x v="0"/>
    <x v="0"/>
    <x v="3"/>
    <x v="5"/>
    <x v="2"/>
    <m/>
    <n v="20132072089"/>
  </r>
  <r>
    <d v="2017-05-22T12:24:01"/>
    <s v="angietovar8@gmail.com"/>
    <s v="TECNOLOGÍA EN ELECTRICIDAD"/>
    <n v="10"/>
    <x v="2"/>
    <x v="1"/>
    <x v="2"/>
    <x v="0"/>
    <x v="2"/>
    <x v="1"/>
    <x v="4"/>
    <x v="0"/>
    <x v="0"/>
    <x v="1"/>
    <x v="1"/>
    <x v="3"/>
    <x v="5"/>
    <x v="0"/>
    <x v="1"/>
    <x v="1"/>
    <x v="1"/>
    <x v="2"/>
    <x v="3"/>
    <x v="2"/>
    <x v="2"/>
    <x v="3"/>
    <x v="2"/>
    <x v="1"/>
    <x v="1"/>
    <x v="3"/>
    <x v="0"/>
    <x v="0"/>
    <x v="0"/>
    <x v="0"/>
    <x v="1"/>
    <x v="0"/>
    <x v="2"/>
    <x v="1"/>
    <x v="1"/>
    <x v="2"/>
    <x v="1"/>
    <x v="3"/>
    <x v="4"/>
    <x v="0"/>
    <x v="0"/>
    <x v="1"/>
    <x v="0"/>
    <x v="0"/>
    <x v="2"/>
    <x v="1"/>
    <x v="1"/>
    <x v="1"/>
    <x v="3"/>
    <x v="3"/>
    <x v="1"/>
    <x v="1"/>
    <x v="0"/>
    <x v="0"/>
    <x v="2"/>
    <x v="0"/>
    <x v="4"/>
    <x v="3"/>
    <x v="4"/>
    <x v="2"/>
    <x v="0"/>
    <x v="2"/>
    <x v="4"/>
    <x v="2"/>
    <x v="4"/>
    <x v="3"/>
    <x v="3"/>
    <x v="2"/>
    <x v="0"/>
    <x v="2"/>
    <x v="0"/>
    <x v="2"/>
    <x v="4"/>
    <x v="0"/>
    <x v="2"/>
    <x v="3"/>
    <x v="2"/>
    <x v="3"/>
    <x v="0"/>
    <x v="3"/>
    <x v="2"/>
    <x v="0"/>
    <x v="2"/>
    <x v="2"/>
    <x v="2"/>
    <x v="3"/>
    <x v="4"/>
    <x v="2"/>
    <x v="3"/>
    <x v="0"/>
    <x v="1"/>
    <x v="0"/>
    <x v="0"/>
    <x v="0"/>
    <x v="3"/>
    <x v="3"/>
    <x v="5"/>
    <m/>
    <n v="20092072031"/>
  </r>
  <r>
    <d v="2017-05-22T12:25:36"/>
    <s v="jgramosr@correo.udistrital.edu.co"/>
    <s v="TECNOLOGÍA EN ELECTRICIDAD"/>
    <n v="10"/>
    <x v="3"/>
    <x v="0"/>
    <x v="1"/>
    <x v="2"/>
    <x v="0"/>
    <x v="2"/>
    <x v="3"/>
    <x v="0"/>
    <x v="2"/>
    <x v="1"/>
    <x v="0"/>
    <x v="1"/>
    <x v="3"/>
    <x v="0"/>
    <x v="1"/>
    <x v="2"/>
    <x v="1"/>
    <x v="3"/>
    <x v="3"/>
    <x v="3"/>
    <x v="3"/>
    <x v="3"/>
    <x v="2"/>
    <x v="5"/>
    <x v="3"/>
    <x v="2"/>
    <x v="0"/>
    <x v="4"/>
    <x v="3"/>
    <x v="5"/>
    <x v="0"/>
    <x v="2"/>
    <x v="2"/>
    <x v="1"/>
    <x v="3"/>
    <x v="0"/>
    <x v="1"/>
    <x v="3"/>
    <x v="4"/>
    <x v="0"/>
    <x v="1"/>
    <x v="0"/>
    <x v="1"/>
    <x v="0"/>
    <x v="2"/>
    <x v="1"/>
    <x v="1"/>
    <x v="1"/>
    <x v="1"/>
    <x v="1"/>
    <x v="4"/>
    <x v="3"/>
    <x v="2"/>
    <x v="1"/>
    <x v="0"/>
    <x v="1"/>
    <x v="5"/>
    <x v="4"/>
    <x v="1"/>
    <x v="0"/>
    <x v="0"/>
    <x v="2"/>
    <x v="3"/>
    <x v="2"/>
    <x v="1"/>
    <x v="1"/>
    <x v="1"/>
    <x v="0"/>
    <x v="1"/>
    <x v="0"/>
    <x v="1"/>
    <x v="2"/>
    <x v="2"/>
    <x v="4"/>
    <x v="0"/>
    <x v="3"/>
    <x v="2"/>
    <x v="3"/>
    <x v="2"/>
    <x v="5"/>
    <x v="2"/>
    <x v="1"/>
    <x v="0"/>
    <x v="1"/>
    <x v="0"/>
    <x v="1"/>
    <x v="1"/>
    <x v="1"/>
    <x v="1"/>
    <x v="0"/>
    <x v="1"/>
    <x v="0"/>
    <x v="0"/>
    <x v="1"/>
    <x v="2"/>
    <x v="0"/>
    <x v="5"/>
    <s v="la encuesta debería ser mas corta, para dar un mejor análisis "/>
    <n v="20122072053"/>
  </r>
  <r>
    <d v="2017-05-22T12:25:58"/>
    <s v="lfimbachig@correo.udistrital.edu.co"/>
    <s v="TECNOLOGÍA EN ELECTRICIDAD"/>
    <n v="8"/>
    <x v="1"/>
    <x v="0"/>
    <x v="1"/>
    <x v="1"/>
    <x v="0"/>
    <x v="3"/>
    <x v="1"/>
    <x v="0"/>
    <x v="3"/>
    <x v="2"/>
    <x v="4"/>
    <x v="4"/>
    <x v="1"/>
    <x v="2"/>
    <x v="3"/>
    <x v="2"/>
    <x v="3"/>
    <x v="3"/>
    <x v="2"/>
    <x v="3"/>
    <x v="3"/>
    <x v="3"/>
    <x v="2"/>
    <x v="1"/>
    <x v="1"/>
    <x v="3"/>
    <x v="4"/>
    <x v="0"/>
    <x v="0"/>
    <x v="0"/>
    <x v="1"/>
    <x v="0"/>
    <x v="2"/>
    <x v="1"/>
    <x v="1"/>
    <x v="2"/>
    <x v="1"/>
    <x v="3"/>
    <x v="4"/>
    <x v="0"/>
    <x v="0"/>
    <x v="1"/>
    <x v="0"/>
    <x v="0"/>
    <x v="0"/>
    <x v="1"/>
    <x v="1"/>
    <x v="1"/>
    <x v="1"/>
    <x v="1"/>
    <x v="4"/>
    <x v="3"/>
    <x v="2"/>
    <x v="0"/>
    <x v="2"/>
    <x v="0"/>
    <x v="5"/>
    <x v="4"/>
    <x v="1"/>
    <x v="0"/>
    <x v="1"/>
    <x v="0"/>
    <x v="1"/>
    <x v="2"/>
    <x v="1"/>
    <x v="1"/>
    <x v="1"/>
    <x v="2"/>
    <x v="1"/>
    <x v="0"/>
    <x v="1"/>
    <x v="2"/>
    <x v="2"/>
    <x v="4"/>
    <x v="0"/>
    <x v="1"/>
    <x v="0"/>
    <x v="0"/>
    <x v="0"/>
    <x v="0"/>
    <x v="1"/>
    <x v="1"/>
    <x v="0"/>
    <x v="1"/>
    <x v="0"/>
    <x v="1"/>
    <x v="1"/>
    <x v="1"/>
    <x v="1"/>
    <x v="0"/>
    <x v="1"/>
    <x v="0"/>
    <x v="0"/>
    <x v="1"/>
    <x v="2"/>
    <x v="0"/>
    <x v="1"/>
    <m/>
    <n v="20132072049"/>
  </r>
  <r>
    <d v="2017-05-22T12:26:32"/>
    <s v="rosas.costantin@gmail.com"/>
    <s v="TECNOLOGÍA EN ELECTRICIDAD"/>
    <n v="8"/>
    <x v="3"/>
    <x v="2"/>
    <x v="2"/>
    <x v="1"/>
    <x v="5"/>
    <x v="2"/>
    <x v="4"/>
    <x v="0"/>
    <x v="0"/>
    <x v="0"/>
    <x v="2"/>
    <x v="3"/>
    <x v="4"/>
    <x v="0"/>
    <x v="3"/>
    <x v="2"/>
    <x v="1"/>
    <x v="3"/>
    <x v="3"/>
    <x v="2"/>
    <x v="2"/>
    <x v="3"/>
    <x v="2"/>
    <x v="1"/>
    <x v="3"/>
    <x v="2"/>
    <x v="2"/>
    <x v="4"/>
    <x v="2"/>
    <x v="5"/>
    <x v="4"/>
    <x v="4"/>
    <x v="3"/>
    <x v="2"/>
    <x v="3"/>
    <x v="0"/>
    <x v="0"/>
    <x v="2"/>
    <x v="4"/>
    <x v="2"/>
    <x v="0"/>
    <x v="1"/>
    <x v="2"/>
    <x v="1"/>
    <x v="2"/>
    <x v="3"/>
    <x v="1"/>
    <x v="4"/>
    <x v="3"/>
    <x v="3"/>
    <x v="1"/>
    <x v="3"/>
    <x v="2"/>
    <x v="0"/>
    <x v="2"/>
    <x v="0"/>
    <x v="5"/>
    <x v="1"/>
    <x v="1"/>
    <x v="0"/>
    <x v="1"/>
    <x v="0"/>
    <x v="1"/>
    <x v="0"/>
    <x v="1"/>
    <x v="2"/>
    <x v="5"/>
    <x v="3"/>
    <x v="0"/>
    <x v="3"/>
    <x v="2"/>
    <x v="0"/>
    <x v="4"/>
    <x v="0"/>
    <x v="5"/>
    <x v="3"/>
    <x v="5"/>
    <x v="2"/>
    <x v="2"/>
    <x v="3"/>
    <x v="2"/>
    <x v="4"/>
    <x v="5"/>
    <x v="5"/>
    <x v="4"/>
    <x v="3"/>
    <x v="4"/>
    <x v="0"/>
    <x v="3"/>
    <x v="2"/>
    <x v="3"/>
    <x v="2"/>
    <x v="2"/>
    <x v="0"/>
    <x v="3"/>
    <x v="2"/>
    <x v="2"/>
    <m/>
    <n v="20132072016"/>
  </r>
  <r>
    <d v="2017-05-22T12:27:35"/>
    <s v="jhoalgonzalezm@correo.udistrital.edu.co"/>
    <s v="TECNOLOGÍA EN ELECTRICIDAD"/>
    <n v="8"/>
    <x v="2"/>
    <x v="0"/>
    <x v="1"/>
    <x v="2"/>
    <x v="5"/>
    <x v="4"/>
    <x v="1"/>
    <x v="0"/>
    <x v="0"/>
    <x v="2"/>
    <x v="4"/>
    <x v="1"/>
    <x v="3"/>
    <x v="2"/>
    <x v="2"/>
    <x v="1"/>
    <x v="1"/>
    <x v="1"/>
    <x v="3"/>
    <x v="1"/>
    <x v="2"/>
    <x v="3"/>
    <x v="1"/>
    <x v="1"/>
    <x v="1"/>
    <x v="1"/>
    <x v="0"/>
    <x v="0"/>
    <x v="1"/>
    <x v="0"/>
    <x v="1"/>
    <x v="1"/>
    <x v="0"/>
    <x v="0"/>
    <x v="2"/>
    <x v="1"/>
    <x v="2"/>
    <x v="1"/>
    <x v="1"/>
    <x v="3"/>
    <x v="0"/>
    <x v="0"/>
    <x v="1"/>
    <x v="2"/>
    <x v="0"/>
    <x v="1"/>
    <x v="0"/>
    <x v="4"/>
    <x v="3"/>
    <x v="3"/>
    <x v="4"/>
    <x v="1"/>
    <x v="2"/>
    <x v="1"/>
    <x v="0"/>
    <x v="1"/>
    <x v="2"/>
    <x v="2"/>
    <x v="1"/>
    <x v="0"/>
    <x v="1"/>
    <x v="0"/>
    <x v="2"/>
    <x v="0"/>
    <x v="1"/>
    <x v="1"/>
    <x v="1"/>
    <x v="0"/>
    <x v="1"/>
    <x v="0"/>
    <x v="1"/>
    <x v="2"/>
    <x v="2"/>
    <x v="4"/>
    <x v="0"/>
    <x v="1"/>
    <x v="0"/>
    <x v="0"/>
    <x v="0"/>
    <x v="0"/>
    <x v="1"/>
    <x v="1"/>
    <x v="0"/>
    <x v="1"/>
    <x v="0"/>
    <x v="1"/>
    <x v="1"/>
    <x v="1"/>
    <x v="1"/>
    <x v="0"/>
    <x v="1"/>
    <x v="0"/>
    <x v="0"/>
    <x v="1"/>
    <x v="2"/>
    <x v="0"/>
    <x v="1"/>
    <m/>
    <n v="20132072088"/>
  </r>
  <r>
    <d v="2017-05-22T12:28:31"/>
    <s v="macarvajal20@hotmail.com"/>
    <s v="TECNOLOGÍA EN ELECTRICIDAD"/>
    <n v="9"/>
    <x v="3"/>
    <x v="3"/>
    <x v="0"/>
    <x v="3"/>
    <x v="2"/>
    <x v="2"/>
    <x v="3"/>
    <x v="3"/>
    <x v="2"/>
    <x v="3"/>
    <x v="5"/>
    <x v="4"/>
    <x v="3"/>
    <x v="0"/>
    <x v="3"/>
    <x v="3"/>
    <x v="2"/>
    <x v="2"/>
    <x v="2"/>
    <x v="2"/>
    <x v="2"/>
    <x v="2"/>
    <x v="3"/>
    <x v="1"/>
    <x v="4"/>
    <x v="2"/>
    <x v="2"/>
    <x v="0"/>
    <x v="5"/>
    <x v="5"/>
    <x v="0"/>
    <x v="4"/>
    <x v="1"/>
    <x v="2"/>
    <x v="3"/>
    <x v="0"/>
    <x v="0"/>
    <x v="2"/>
    <x v="2"/>
    <x v="0"/>
    <x v="2"/>
    <x v="1"/>
    <x v="1"/>
    <x v="0"/>
    <x v="2"/>
    <x v="1"/>
    <x v="2"/>
    <x v="5"/>
    <x v="2"/>
    <x v="4"/>
    <x v="5"/>
    <x v="2"/>
    <x v="3"/>
    <x v="0"/>
    <x v="2"/>
    <x v="0"/>
    <x v="5"/>
    <x v="4"/>
    <x v="4"/>
    <x v="2"/>
    <x v="1"/>
    <x v="0"/>
    <x v="4"/>
    <x v="2"/>
    <x v="0"/>
    <x v="1"/>
    <x v="3"/>
    <x v="2"/>
    <x v="0"/>
    <x v="2"/>
    <x v="0"/>
    <x v="0"/>
    <x v="4"/>
    <x v="1"/>
    <x v="2"/>
    <x v="3"/>
    <x v="2"/>
    <x v="3"/>
    <x v="2"/>
    <x v="2"/>
    <x v="2"/>
    <x v="0"/>
    <x v="2"/>
    <x v="2"/>
    <x v="2"/>
    <x v="0"/>
    <x v="2"/>
    <x v="0"/>
    <x v="3"/>
    <x v="2"/>
    <x v="3"/>
    <x v="2"/>
    <x v="2"/>
    <x v="0"/>
    <x v="3"/>
    <x v="2"/>
    <x v="2"/>
    <m/>
    <n v="20131072014"/>
  </r>
  <r>
    <d v="2017-05-22T12:28:45"/>
    <s v="dschitivae@correo.udistrital.edu.co"/>
    <s v="TECNOLOGÍA EN ELECTRICIDAD"/>
    <n v="9"/>
    <x v="0"/>
    <x v="1"/>
    <x v="2"/>
    <x v="1"/>
    <x v="0"/>
    <x v="0"/>
    <x v="4"/>
    <x v="2"/>
    <x v="1"/>
    <x v="1"/>
    <x v="4"/>
    <x v="2"/>
    <x v="3"/>
    <x v="4"/>
    <x v="4"/>
    <x v="4"/>
    <x v="3"/>
    <x v="3"/>
    <x v="4"/>
    <x v="2"/>
    <x v="3"/>
    <x v="4"/>
    <x v="2"/>
    <x v="3"/>
    <x v="3"/>
    <x v="5"/>
    <x v="5"/>
    <x v="0"/>
    <x v="2"/>
    <x v="0"/>
    <x v="1"/>
    <x v="2"/>
    <x v="1"/>
    <x v="2"/>
    <x v="4"/>
    <x v="0"/>
    <x v="0"/>
    <x v="5"/>
    <x v="5"/>
    <x v="3"/>
    <x v="2"/>
    <x v="0"/>
    <x v="0"/>
    <x v="4"/>
    <x v="2"/>
    <x v="3"/>
    <x v="1"/>
    <x v="0"/>
    <x v="2"/>
    <x v="3"/>
    <x v="3"/>
    <x v="2"/>
    <x v="3"/>
    <x v="0"/>
    <x v="2"/>
    <x v="0"/>
    <x v="5"/>
    <x v="4"/>
    <x v="1"/>
    <x v="1"/>
    <x v="4"/>
    <x v="2"/>
    <x v="3"/>
    <x v="0"/>
    <x v="0"/>
    <x v="1"/>
    <x v="1"/>
    <x v="2"/>
    <x v="1"/>
    <x v="2"/>
    <x v="0"/>
    <x v="4"/>
    <x v="5"/>
    <x v="1"/>
    <x v="2"/>
    <x v="1"/>
    <x v="2"/>
    <x v="3"/>
    <x v="0"/>
    <x v="5"/>
    <x v="4"/>
    <x v="0"/>
    <x v="2"/>
    <x v="2"/>
    <x v="0"/>
    <x v="0"/>
    <x v="2"/>
    <x v="0"/>
    <x v="3"/>
    <x v="0"/>
    <x v="1"/>
    <x v="2"/>
    <x v="0"/>
    <x v="0"/>
    <x v="3"/>
    <x v="2"/>
    <x v="2"/>
    <m/>
    <n v="20131072057"/>
  </r>
  <r>
    <d v="2017-05-22T13:07:29"/>
    <s v="sebastian_olaya10@hotmail.com"/>
    <s v="TECNOLOGÍA EN SISTEMAS ELÉCTRICOS DE MEDIA Y BAJA TENSIÓN POR CICLOS PROPEDÉUTICOS"/>
    <n v="1"/>
    <x v="1"/>
    <x v="3"/>
    <x v="1"/>
    <x v="2"/>
    <x v="5"/>
    <x v="4"/>
    <x v="1"/>
    <x v="1"/>
    <x v="1"/>
    <x v="1"/>
    <x v="4"/>
    <x v="5"/>
    <x v="3"/>
    <x v="1"/>
    <x v="1"/>
    <x v="2"/>
    <x v="3"/>
    <x v="1"/>
    <x v="3"/>
    <x v="1"/>
    <x v="1"/>
    <x v="3"/>
    <x v="2"/>
    <x v="1"/>
    <x v="1"/>
    <x v="3"/>
    <x v="0"/>
    <x v="0"/>
    <x v="2"/>
    <x v="4"/>
    <x v="4"/>
    <x v="0"/>
    <x v="0"/>
    <x v="0"/>
    <x v="1"/>
    <x v="1"/>
    <x v="1"/>
    <x v="1"/>
    <x v="1"/>
    <x v="1"/>
    <x v="1"/>
    <x v="0"/>
    <x v="3"/>
    <x v="1"/>
    <x v="1"/>
    <x v="0"/>
    <x v="1"/>
    <x v="1"/>
    <x v="4"/>
    <x v="5"/>
    <x v="4"/>
    <x v="0"/>
    <x v="1"/>
    <x v="1"/>
    <x v="0"/>
    <x v="1"/>
    <x v="1"/>
    <x v="1"/>
    <x v="1"/>
    <x v="0"/>
    <x v="3"/>
    <x v="0"/>
    <x v="1"/>
    <x v="1"/>
    <x v="0"/>
    <x v="3"/>
    <x v="2"/>
    <x v="0"/>
    <x v="1"/>
    <x v="0"/>
    <x v="1"/>
    <x v="2"/>
    <x v="2"/>
    <x v="3"/>
    <x v="0"/>
    <x v="1"/>
    <x v="0"/>
    <x v="1"/>
    <x v="1"/>
    <x v="2"/>
    <x v="2"/>
    <x v="2"/>
    <x v="0"/>
    <x v="1"/>
    <x v="0"/>
    <x v="1"/>
    <x v="1"/>
    <x v="3"/>
    <x v="2"/>
    <x v="0"/>
    <x v="2"/>
    <x v="2"/>
    <x v="1"/>
    <x v="2"/>
    <x v="5"/>
    <x v="3"/>
    <x v="3"/>
    <m/>
    <n v="20171772021"/>
  </r>
  <r>
    <d v="2017-05-22T13:08:12"/>
    <s v="dfelipers98@gmail.com"/>
    <s v="TECNOLOGÍA EN SISTEMAS ELÉCTRICOS DE MEDIA Y BAJA TENSIÓN POR CICLOS PROPEDÉUTICOS"/>
    <n v="1"/>
    <x v="3"/>
    <x v="0"/>
    <x v="2"/>
    <x v="0"/>
    <x v="2"/>
    <x v="4"/>
    <x v="1"/>
    <x v="1"/>
    <x v="2"/>
    <x v="0"/>
    <x v="1"/>
    <x v="1"/>
    <x v="1"/>
    <x v="1"/>
    <x v="1"/>
    <x v="2"/>
    <x v="3"/>
    <x v="2"/>
    <x v="3"/>
    <x v="2"/>
    <x v="3"/>
    <x v="2"/>
    <x v="3"/>
    <x v="4"/>
    <x v="3"/>
    <x v="2"/>
    <x v="2"/>
    <x v="2"/>
    <x v="2"/>
    <x v="4"/>
    <x v="0"/>
    <x v="2"/>
    <x v="1"/>
    <x v="2"/>
    <x v="3"/>
    <x v="0"/>
    <x v="1"/>
    <x v="2"/>
    <x v="2"/>
    <x v="3"/>
    <x v="2"/>
    <x v="1"/>
    <x v="2"/>
    <x v="1"/>
    <x v="0"/>
    <x v="3"/>
    <x v="2"/>
    <x v="4"/>
    <x v="3"/>
    <x v="3"/>
    <x v="1"/>
    <x v="1"/>
    <x v="0"/>
    <x v="0"/>
    <x v="2"/>
    <x v="0"/>
    <x v="5"/>
    <x v="4"/>
    <x v="4"/>
    <x v="2"/>
    <x v="3"/>
    <x v="2"/>
    <x v="3"/>
    <x v="2"/>
    <x v="0"/>
    <x v="3"/>
    <x v="3"/>
    <x v="2"/>
    <x v="0"/>
    <x v="2"/>
    <x v="0"/>
    <x v="0"/>
    <x v="4"/>
    <x v="0"/>
    <x v="2"/>
    <x v="3"/>
    <x v="2"/>
    <x v="3"/>
    <x v="2"/>
    <x v="2"/>
    <x v="2"/>
    <x v="0"/>
    <x v="2"/>
    <x v="2"/>
    <x v="2"/>
    <x v="0"/>
    <x v="2"/>
    <x v="0"/>
    <x v="3"/>
    <x v="2"/>
    <x v="3"/>
    <x v="2"/>
    <x v="2"/>
    <x v="0"/>
    <x v="3"/>
    <x v="2"/>
    <x v="2"/>
    <m/>
    <n v="20171772025"/>
  </r>
  <r>
    <d v="2017-05-22T13:09:17"/>
    <s v="davidleyesrozo@gmail.com"/>
    <s v="TECNOLOGÍA EN SISTEMAS ELÉCTRICOS DE MEDIA Y BAJA TENSIÓN POR CICLOS PROPEDÉUTICOS"/>
    <n v="1"/>
    <x v="2"/>
    <x v="1"/>
    <x v="1"/>
    <x v="0"/>
    <x v="1"/>
    <x v="1"/>
    <x v="3"/>
    <x v="2"/>
    <x v="0"/>
    <x v="2"/>
    <x v="1"/>
    <x v="1"/>
    <x v="2"/>
    <x v="2"/>
    <x v="2"/>
    <x v="2"/>
    <x v="3"/>
    <x v="2"/>
    <x v="2"/>
    <x v="3"/>
    <x v="1"/>
    <x v="2"/>
    <x v="2"/>
    <x v="1"/>
    <x v="1"/>
    <x v="3"/>
    <x v="0"/>
    <x v="4"/>
    <x v="4"/>
    <x v="2"/>
    <x v="3"/>
    <x v="4"/>
    <x v="2"/>
    <x v="2"/>
    <x v="1"/>
    <x v="2"/>
    <x v="1"/>
    <x v="0"/>
    <x v="3"/>
    <x v="3"/>
    <x v="0"/>
    <x v="4"/>
    <x v="2"/>
    <x v="0"/>
    <x v="0"/>
    <x v="1"/>
    <x v="2"/>
    <x v="4"/>
    <x v="2"/>
    <x v="0"/>
    <x v="0"/>
    <x v="4"/>
    <x v="0"/>
    <x v="0"/>
    <x v="2"/>
    <x v="0"/>
    <x v="2"/>
    <x v="2"/>
    <x v="2"/>
    <x v="2"/>
    <x v="3"/>
    <x v="0"/>
    <x v="3"/>
    <x v="0"/>
    <x v="0"/>
    <x v="1"/>
    <x v="3"/>
    <x v="1"/>
    <x v="0"/>
    <x v="2"/>
    <x v="0"/>
    <x v="0"/>
    <x v="3"/>
    <x v="5"/>
    <x v="2"/>
    <x v="3"/>
    <x v="2"/>
    <x v="3"/>
    <x v="1"/>
    <x v="1"/>
    <x v="1"/>
    <x v="3"/>
    <x v="3"/>
    <x v="3"/>
    <x v="3"/>
    <x v="5"/>
    <x v="2"/>
    <x v="0"/>
    <x v="3"/>
    <x v="2"/>
    <x v="3"/>
    <x v="2"/>
    <x v="2"/>
    <x v="0"/>
    <x v="3"/>
    <x v="2"/>
    <x v="2"/>
    <m/>
    <n v="20171772033"/>
  </r>
  <r>
    <d v="2017-05-22T16:20:45"/>
    <s v="jhonatan20_17@hotmail.com"/>
    <s v="TECNOLOGÍA EN SISTEMAS ELÉCTRICOS DE MEDIA Y BAJA TENSIÓN POR CICLOS PROPEDÉUTICOS"/>
    <n v="3"/>
    <x v="3"/>
    <x v="1"/>
    <x v="0"/>
    <x v="1"/>
    <x v="1"/>
    <x v="0"/>
    <x v="5"/>
    <x v="0"/>
    <x v="0"/>
    <x v="1"/>
    <x v="4"/>
    <x v="2"/>
    <x v="1"/>
    <x v="4"/>
    <x v="3"/>
    <x v="2"/>
    <x v="2"/>
    <x v="3"/>
    <x v="4"/>
    <x v="2"/>
    <x v="2"/>
    <x v="2"/>
    <x v="3"/>
    <x v="4"/>
    <x v="1"/>
    <x v="2"/>
    <x v="0"/>
    <x v="0"/>
    <x v="0"/>
    <x v="0"/>
    <x v="0"/>
    <x v="4"/>
    <x v="2"/>
    <x v="2"/>
    <x v="1"/>
    <x v="3"/>
    <x v="1"/>
    <x v="3"/>
    <x v="3"/>
    <x v="0"/>
    <x v="0"/>
    <x v="5"/>
    <x v="4"/>
    <x v="0"/>
    <x v="3"/>
    <x v="3"/>
    <x v="2"/>
    <x v="3"/>
    <x v="2"/>
    <x v="0"/>
    <x v="2"/>
    <x v="2"/>
    <x v="2"/>
    <x v="0"/>
    <x v="2"/>
    <x v="4"/>
    <x v="0"/>
    <x v="1"/>
    <x v="1"/>
    <x v="0"/>
    <x v="1"/>
    <x v="0"/>
    <x v="1"/>
    <x v="0"/>
    <x v="1"/>
    <x v="1"/>
    <x v="5"/>
    <x v="5"/>
    <x v="4"/>
    <x v="5"/>
    <x v="5"/>
    <x v="0"/>
    <x v="4"/>
    <x v="5"/>
    <x v="0"/>
    <x v="3"/>
    <x v="0"/>
    <x v="0"/>
    <x v="0"/>
    <x v="4"/>
    <x v="3"/>
    <x v="3"/>
    <x v="3"/>
    <x v="1"/>
    <x v="3"/>
    <x v="5"/>
    <x v="5"/>
    <x v="3"/>
    <x v="4"/>
    <x v="3"/>
    <x v="0"/>
    <x v="0"/>
    <x v="3"/>
    <x v="3"/>
    <x v="2"/>
    <x v="2"/>
    <x v="1"/>
    <m/>
    <n v="20161772002"/>
  </r>
  <r>
    <d v="2017-05-22T17:44:30"/>
    <s v="amegonzalezg@correo.udistrital.edu.co"/>
    <s v="TECNOLOGÍA EN ELECTRICIDAD"/>
    <n v="2"/>
    <x v="2"/>
    <x v="1"/>
    <x v="2"/>
    <x v="2"/>
    <x v="0"/>
    <x v="4"/>
    <x v="4"/>
    <x v="0"/>
    <x v="0"/>
    <x v="2"/>
    <x v="4"/>
    <x v="5"/>
    <x v="1"/>
    <x v="1"/>
    <x v="3"/>
    <x v="1"/>
    <x v="3"/>
    <x v="3"/>
    <x v="3"/>
    <x v="2"/>
    <x v="2"/>
    <x v="3"/>
    <x v="2"/>
    <x v="2"/>
    <x v="1"/>
    <x v="1"/>
    <x v="0"/>
    <x v="0"/>
    <x v="0"/>
    <x v="5"/>
    <x v="1"/>
    <x v="2"/>
    <x v="1"/>
    <x v="0"/>
    <x v="1"/>
    <x v="2"/>
    <x v="1"/>
    <x v="3"/>
    <x v="4"/>
    <x v="0"/>
    <x v="0"/>
    <x v="1"/>
    <x v="2"/>
    <x v="1"/>
    <x v="0"/>
    <x v="0"/>
    <x v="1"/>
    <x v="1"/>
    <x v="4"/>
    <x v="1"/>
    <x v="4"/>
    <x v="3"/>
    <x v="2"/>
    <x v="2"/>
    <x v="1"/>
    <x v="0"/>
    <x v="1"/>
    <x v="1"/>
    <x v="1"/>
    <x v="2"/>
    <x v="2"/>
    <x v="1"/>
    <x v="1"/>
    <x v="0"/>
    <x v="1"/>
    <x v="1"/>
    <x v="1"/>
    <x v="0"/>
    <x v="1"/>
    <x v="0"/>
    <x v="1"/>
    <x v="1"/>
    <x v="4"/>
    <x v="4"/>
    <x v="0"/>
    <x v="3"/>
    <x v="0"/>
    <x v="1"/>
    <x v="0"/>
    <x v="0"/>
    <x v="1"/>
    <x v="1"/>
    <x v="0"/>
    <x v="2"/>
    <x v="0"/>
    <x v="2"/>
    <x v="1"/>
    <x v="1"/>
    <x v="2"/>
    <x v="2"/>
    <x v="1"/>
    <x v="0"/>
    <x v="0"/>
    <x v="1"/>
    <x v="2"/>
    <x v="0"/>
    <x v="1"/>
    <m/>
    <n v="20132072281"/>
  </r>
  <r>
    <d v="2017-05-22T17:45:31"/>
    <s v="camottam@correo.udistrital.com"/>
    <s v="TECNOLOGÍA EN ELECTRICIDAD"/>
    <n v="10"/>
    <x v="3"/>
    <x v="2"/>
    <x v="0"/>
    <x v="5"/>
    <x v="2"/>
    <x v="4"/>
    <x v="3"/>
    <x v="2"/>
    <x v="2"/>
    <x v="0"/>
    <x v="1"/>
    <x v="1"/>
    <x v="5"/>
    <x v="0"/>
    <x v="3"/>
    <x v="2"/>
    <x v="3"/>
    <x v="2"/>
    <x v="2"/>
    <x v="3"/>
    <x v="3"/>
    <x v="2"/>
    <x v="3"/>
    <x v="3"/>
    <x v="3"/>
    <x v="2"/>
    <x v="2"/>
    <x v="4"/>
    <x v="2"/>
    <x v="5"/>
    <x v="0"/>
    <x v="2"/>
    <x v="1"/>
    <x v="2"/>
    <x v="3"/>
    <x v="0"/>
    <x v="0"/>
    <x v="2"/>
    <x v="2"/>
    <x v="3"/>
    <x v="2"/>
    <x v="4"/>
    <x v="0"/>
    <x v="0"/>
    <x v="2"/>
    <x v="3"/>
    <x v="2"/>
    <x v="4"/>
    <x v="3"/>
    <x v="3"/>
    <x v="1"/>
    <x v="1"/>
    <x v="0"/>
    <x v="0"/>
    <x v="2"/>
    <x v="0"/>
    <x v="5"/>
    <x v="4"/>
    <x v="4"/>
    <x v="2"/>
    <x v="3"/>
    <x v="2"/>
    <x v="3"/>
    <x v="2"/>
    <x v="0"/>
    <x v="3"/>
    <x v="3"/>
    <x v="2"/>
    <x v="0"/>
    <x v="2"/>
    <x v="0"/>
    <x v="0"/>
    <x v="4"/>
    <x v="0"/>
    <x v="2"/>
    <x v="3"/>
    <x v="2"/>
    <x v="3"/>
    <x v="2"/>
    <x v="2"/>
    <x v="2"/>
    <x v="0"/>
    <x v="2"/>
    <x v="2"/>
    <x v="2"/>
    <x v="0"/>
    <x v="2"/>
    <x v="0"/>
    <x v="3"/>
    <x v="2"/>
    <x v="3"/>
    <x v="2"/>
    <x v="2"/>
    <x v="0"/>
    <x v="3"/>
    <x v="2"/>
    <x v="2"/>
    <s v="El documento es excesivamente extenso "/>
    <n v="20112072085"/>
  </r>
  <r>
    <d v="2017-05-22T17:50:28"/>
    <s v="lauristefan.22@gmail.com"/>
    <s v="TECNOLOGÍA EN ELECTRICIDAD"/>
    <n v="7"/>
    <x v="3"/>
    <x v="0"/>
    <x v="1"/>
    <x v="4"/>
    <x v="1"/>
    <x v="0"/>
    <x v="3"/>
    <x v="3"/>
    <x v="2"/>
    <x v="4"/>
    <x v="2"/>
    <x v="2"/>
    <x v="2"/>
    <x v="2"/>
    <x v="3"/>
    <x v="2"/>
    <x v="4"/>
    <x v="3"/>
    <x v="3"/>
    <x v="2"/>
    <x v="3"/>
    <x v="4"/>
    <x v="3"/>
    <x v="5"/>
    <x v="5"/>
    <x v="0"/>
    <x v="3"/>
    <x v="1"/>
    <x v="4"/>
    <x v="3"/>
    <x v="3"/>
    <x v="0"/>
    <x v="1"/>
    <x v="4"/>
    <x v="3"/>
    <x v="2"/>
    <x v="0"/>
    <x v="0"/>
    <x v="3"/>
    <x v="0"/>
    <x v="1"/>
    <x v="0"/>
    <x v="1"/>
    <x v="3"/>
    <x v="3"/>
    <x v="3"/>
    <x v="3"/>
    <x v="3"/>
    <x v="5"/>
    <x v="4"/>
    <x v="5"/>
    <x v="2"/>
    <x v="3"/>
    <x v="4"/>
    <x v="3"/>
    <x v="4"/>
    <x v="1"/>
    <x v="1"/>
    <x v="1"/>
    <x v="1"/>
    <x v="1"/>
    <x v="1"/>
    <x v="2"/>
    <x v="1"/>
    <x v="2"/>
    <x v="2"/>
    <x v="1"/>
    <x v="2"/>
    <x v="0"/>
    <x v="2"/>
    <x v="1"/>
    <x v="0"/>
    <x v="3"/>
    <x v="5"/>
    <x v="4"/>
    <x v="4"/>
    <x v="3"/>
    <x v="5"/>
    <x v="1"/>
    <x v="5"/>
    <x v="4"/>
    <x v="5"/>
    <x v="4"/>
    <x v="2"/>
    <x v="4"/>
    <x v="4"/>
    <x v="3"/>
    <x v="3"/>
    <x v="4"/>
    <x v="4"/>
    <x v="5"/>
    <x v="5"/>
    <x v="5"/>
    <x v="0"/>
    <x v="2"/>
    <x v="2"/>
    <x v="3"/>
    <m/>
    <n v="20132072110"/>
  </r>
  <r>
    <d v="2017-05-22T17:50:44"/>
    <s v="jcguzmanz@correo.udistrital.edu.co"/>
    <s v="TECNOLOGÍA EN ELECTRICIDAD"/>
    <n v="9"/>
    <x v="3"/>
    <x v="1"/>
    <x v="0"/>
    <x v="3"/>
    <x v="5"/>
    <x v="3"/>
    <x v="1"/>
    <x v="3"/>
    <x v="3"/>
    <x v="4"/>
    <x v="4"/>
    <x v="2"/>
    <x v="4"/>
    <x v="4"/>
    <x v="1"/>
    <x v="5"/>
    <x v="5"/>
    <x v="2"/>
    <x v="2"/>
    <x v="1"/>
    <x v="1"/>
    <x v="3"/>
    <x v="2"/>
    <x v="4"/>
    <x v="5"/>
    <x v="2"/>
    <x v="0"/>
    <x v="2"/>
    <x v="5"/>
    <x v="3"/>
    <x v="2"/>
    <x v="1"/>
    <x v="1"/>
    <x v="4"/>
    <x v="3"/>
    <x v="1"/>
    <x v="0"/>
    <x v="1"/>
    <x v="0"/>
    <x v="1"/>
    <x v="2"/>
    <x v="0"/>
    <x v="2"/>
    <x v="1"/>
    <x v="4"/>
    <x v="3"/>
    <x v="2"/>
    <x v="4"/>
    <x v="3"/>
    <x v="3"/>
    <x v="1"/>
    <x v="1"/>
    <x v="0"/>
    <x v="0"/>
    <x v="1"/>
    <x v="2"/>
    <x v="5"/>
    <x v="2"/>
    <x v="4"/>
    <x v="1"/>
    <x v="2"/>
    <x v="1"/>
    <x v="2"/>
    <x v="1"/>
    <x v="2"/>
    <x v="2"/>
    <x v="2"/>
    <x v="2"/>
    <x v="0"/>
    <x v="2"/>
    <x v="1"/>
    <x v="0"/>
    <x v="0"/>
    <x v="3"/>
    <x v="1"/>
    <x v="2"/>
    <x v="1"/>
    <x v="1"/>
    <x v="5"/>
    <x v="5"/>
    <x v="4"/>
    <x v="2"/>
    <x v="0"/>
    <x v="1"/>
    <x v="0"/>
    <x v="4"/>
    <x v="3"/>
    <x v="2"/>
    <x v="1"/>
    <x v="0"/>
    <x v="3"/>
    <x v="2"/>
    <x v="2"/>
    <x v="0"/>
    <x v="0"/>
    <x v="5"/>
    <x v="5"/>
    <m/>
    <n v="20122072074"/>
  </r>
  <r>
    <d v="2017-05-22T17:54:41"/>
    <s v="dyohanna-1342@hotmail.com"/>
    <s v="TECNOLOGÍA EN ELECTRICIDAD"/>
    <n v="6"/>
    <x v="2"/>
    <x v="0"/>
    <x v="1"/>
    <x v="0"/>
    <x v="3"/>
    <x v="5"/>
    <x v="3"/>
    <x v="1"/>
    <x v="0"/>
    <x v="0"/>
    <x v="5"/>
    <x v="4"/>
    <x v="5"/>
    <x v="2"/>
    <x v="1"/>
    <x v="3"/>
    <x v="0"/>
    <x v="3"/>
    <x v="1"/>
    <x v="1"/>
    <x v="1"/>
    <x v="1"/>
    <x v="2"/>
    <x v="4"/>
    <x v="4"/>
    <x v="1"/>
    <x v="3"/>
    <x v="0"/>
    <x v="4"/>
    <x v="1"/>
    <x v="2"/>
    <x v="0"/>
    <x v="0"/>
    <x v="4"/>
    <x v="3"/>
    <x v="2"/>
    <x v="0"/>
    <x v="2"/>
    <x v="4"/>
    <x v="1"/>
    <x v="1"/>
    <x v="0"/>
    <x v="1"/>
    <x v="3"/>
    <x v="0"/>
    <x v="1"/>
    <x v="1"/>
    <x v="3"/>
    <x v="5"/>
    <x v="1"/>
    <x v="5"/>
    <x v="4"/>
    <x v="2"/>
    <x v="2"/>
    <x v="0"/>
    <x v="3"/>
    <x v="1"/>
    <x v="1"/>
    <x v="1"/>
    <x v="1"/>
    <x v="1"/>
    <x v="0"/>
    <x v="1"/>
    <x v="0"/>
    <x v="1"/>
    <x v="3"/>
    <x v="1"/>
    <x v="3"/>
    <x v="3"/>
    <x v="2"/>
    <x v="0"/>
    <x v="1"/>
    <x v="5"/>
    <x v="5"/>
    <x v="0"/>
    <x v="3"/>
    <x v="2"/>
    <x v="3"/>
    <x v="0"/>
    <x v="5"/>
    <x v="4"/>
    <x v="0"/>
    <x v="2"/>
    <x v="1"/>
    <x v="2"/>
    <x v="1"/>
    <x v="1"/>
    <x v="1"/>
    <x v="3"/>
    <x v="0"/>
    <x v="1"/>
    <x v="0"/>
    <x v="0"/>
    <x v="0"/>
    <x v="2"/>
    <x v="2"/>
    <x v="1"/>
    <m/>
    <n v="20132072102"/>
  </r>
  <r>
    <d v="2017-05-22T17:55:08"/>
    <s v="johanasan_@hotmail.com"/>
    <s v="TECNOLOGÍA EN ELECTRICIDAD"/>
    <n v="6"/>
    <x v="3"/>
    <x v="1"/>
    <x v="2"/>
    <x v="1"/>
    <x v="1"/>
    <x v="4"/>
    <x v="4"/>
    <x v="4"/>
    <x v="5"/>
    <x v="4"/>
    <x v="1"/>
    <x v="3"/>
    <x v="5"/>
    <x v="4"/>
    <x v="3"/>
    <x v="0"/>
    <x v="3"/>
    <x v="5"/>
    <x v="3"/>
    <x v="3"/>
    <x v="3"/>
    <x v="2"/>
    <x v="2"/>
    <x v="4"/>
    <x v="4"/>
    <x v="4"/>
    <x v="4"/>
    <x v="5"/>
    <x v="5"/>
    <x v="5"/>
    <x v="0"/>
    <x v="2"/>
    <x v="3"/>
    <x v="4"/>
    <x v="4"/>
    <x v="2"/>
    <x v="3"/>
    <x v="4"/>
    <x v="2"/>
    <x v="0"/>
    <x v="0"/>
    <x v="0"/>
    <x v="1"/>
    <x v="3"/>
    <x v="4"/>
    <x v="3"/>
    <x v="1"/>
    <x v="1"/>
    <x v="5"/>
    <x v="3"/>
    <x v="0"/>
    <x v="0"/>
    <x v="5"/>
    <x v="0"/>
    <x v="2"/>
    <x v="0"/>
    <x v="5"/>
    <x v="1"/>
    <x v="1"/>
    <x v="0"/>
    <x v="1"/>
    <x v="0"/>
    <x v="1"/>
    <x v="0"/>
    <x v="0"/>
    <x v="1"/>
    <x v="1"/>
    <x v="2"/>
    <x v="0"/>
    <x v="2"/>
    <x v="2"/>
    <x v="0"/>
    <x v="2"/>
    <x v="0"/>
    <x v="0"/>
    <x v="1"/>
    <x v="0"/>
    <x v="0"/>
    <x v="1"/>
    <x v="5"/>
    <x v="4"/>
    <x v="0"/>
    <x v="0"/>
    <x v="1"/>
    <x v="2"/>
    <x v="0"/>
    <x v="4"/>
    <x v="5"/>
    <x v="3"/>
    <x v="2"/>
    <x v="3"/>
    <x v="2"/>
    <x v="2"/>
    <x v="0"/>
    <x v="3"/>
    <x v="2"/>
    <x v="2"/>
    <m/>
    <n v="20132072112"/>
  </r>
  <r>
    <d v="2017-05-22T17:56:10"/>
    <s v="duvanska77@hotmail.com"/>
    <s v="TECNOLOGÍA EN ELECTRICIDAD"/>
    <n v="6"/>
    <x v="5"/>
    <x v="0"/>
    <x v="1"/>
    <x v="1"/>
    <x v="1"/>
    <x v="0"/>
    <x v="2"/>
    <x v="4"/>
    <x v="0"/>
    <x v="2"/>
    <x v="0"/>
    <x v="2"/>
    <x v="4"/>
    <x v="0"/>
    <x v="1"/>
    <x v="4"/>
    <x v="2"/>
    <x v="3"/>
    <x v="2"/>
    <x v="1"/>
    <x v="2"/>
    <x v="1"/>
    <x v="3"/>
    <x v="1"/>
    <x v="3"/>
    <x v="2"/>
    <x v="3"/>
    <x v="0"/>
    <x v="4"/>
    <x v="1"/>
    <x v="4"/>
    <x v="4"/>
    <x v="3"/>
    <x v="1"/>
    <x v="4"/>
    <x v="2"/>
    <x v="0"/>
    <x v="0"/>
    <x v="2"/>
    <x v="1"/>
    <x v="1"/>
    <x v="0"/>
    <x v="0"/>
    <x v="1"/>
    <x v="0"/>
    <x v="2"/>
    <x v="1"/>
    <x v="4"/>
    <x v="0"/>
    <x v="3"/>
    <x v="1"/>
    <x v="1"/>
    <x v="3"/>
    <x v="2"/>
    <x v="0"/>
    <x v="1"/>
    <x v="4"/>
    <x v="1"/>
    <x v="1"/>
    <x v="0"/>
    <x v="3"/>
    <x v="0"/>
    <x v="4"/>
    <x v="0"/>
    <x v="0"/>
    <x v="1"/>
    <x v="2"/>
    <x v="2"/>
    <x v="1"/>
    <x v="2"/>
    <x v="1"/>
    <x v="5"/>
    <x v="0"/>
    <x v="1"/>
    <x v="2"/>
    <x v="3"/>
    <x v="2"/>
    <x v="0"/>
    <x v="1"/>
    <x v="5"/>
    <x v="5"/>
    <x v="4"/>
    <x v="2"/>
    <x v="5"/>
    <x v="2"/>
    <x v="0"/>
    <x v="0"/>
    <x v="0"/>
    <x v="0"/>
    <x v="2"/>
    <x v="1"/>
    <x v="4"/>
    <x v="0"/>
    <x v="4"/>
    <x v="0"/>
    <x v="1"/>
    <x v="2"/>
    <m/>
    <n v="20122072066"/>
  </r>
  <r>
    <d v="2017-05-22T17:58:43"/>
    <s v="loadlpz@gmail.com"/>
    <s v="TECNOLOGÍA EN ELECTRICIDAD"/>
    <n v="7"/>
    <x v="3"/>
    <x v="2"/>
    <x v="1"/>
    <x v="1"/>
    <x v="2"/>
    <x v="2"/>
    <x v="3"/>
    <x v="0"/>
    <x v="2"/>
    <x v="0"/>
    <x v="0"/>
    <x v="2"/>
    <x v="5"/>
    <x v="2"/>
    <x v="3"/>
    <x v="2"/>
    <x v="4"/>
    <x v="2"/>
    <x v="2"/>
    <x v="3"/>
    <x v="3"/>
    <x v="2"/>
    <x v="3"/>
    <x v="4"/>
    <x v="4"/>
    <x v="4"/>
    <x v="2"/>
    <x v="5"/>
    <x v="3"/>
    <x v="5"/>
    <x v="4"/>
    <x v="4"/>
    <x v="1"/>
    <x v="4"/>
    <x v="3"/>
    <x v="2"/>
    <x v="1"/>
    <x v="3"/>
    <x v="4"/>
    <x v="3"/>
    <x v="2"/>
    <x v="4"/>
    <x v="1"/>
    <x v="0"/>
    <x v="1"/>
    <x v="0"/>
    <x v="1"/>
    <x v="1"/>
    <x v="1"/>
    <x v="3"/>
    <x v="1"/>
    <x v="2"/>
    <x v="3"/>
    <x v="5"/>
    <x v="5"/>
    <x v="0"/>
    <x v="5"/>
    <x v="1"/>
    <x v="3"/>
    <x v="1"/>
    <x v="2"/>
    <x v="1"/>
    <x v="3"/>
    <x v="2"/>
    <x v="0"/>
    <x v="2"/>
    <x v="2"/>
    <x v="1"/>
    <x v="0"/>
    <x v="3"/>
    <x v="0"/>
    <x v="5"/>
    <x v="4"/>
    <x v="1"/>
    <x v="3"/>
    <x v="3"/>
    <x v="5"/>
    <x v="2"/>
    <x v="5"/>
    <x v="1"/>
    <x v="5"/>
    <x v="4"/>
    <x v="2"/>
    <x v="4"/>
    <x v="2"/>
    <x v="0"/>
    <x v="2"/>
    <x v="0"/>
    <x v="3"/>
    <x v="2"/>
    <x v="3"/>
    <x v="2"/>
    <x v="2"/>
    <x v="0"/>
    <x v="3"/>
    <x v="2"/>
    <x v="2"/>
    <m/>
    <n v="20132072211"/>
  </r>
  <r>
    <d v="2017-05-22T18:33:17"/>
    <s v="edlassol@correo.udistrital.edu.co"/>
    <s v="INGENIERÍA ELÉCTRICA POR CICLOS PROPEDÉUTICOS"/>
    <n v="2"/>
    <x v="4"/>
    <x v="1"/>
    <x v="2"/>
    <x v="1"/>
    <x v="0"/>
    <x v="4"/>
    <x v="4"/>
    <x v="0"/>
    <x v="2"/>
    <x v="1"/>
    <x v="4"/>
    <x v="1"/>
    <x v="3"/>
    <x v="4"/>
    <x v="3"/>
    <x v="1"/>
    <x v="3"/>
    <x v="3"/>
    <x v="3"/>
    <x v="2"/>
    <x v="2"/>
    <x v="2"/>
    <x v="3"/>
    <x v="3"/>
    <x v="3"/>
    <x v="2"/>
    <x v="2"/>
    <x v="4"/>
    <x v="2"/>
    <x v="5"/>
    <x v="0"/>
    <x v="2"/>
    <x v="1"/>
    <x v="2"/>
    <x v="3"/>
    <x v="0"/>
    <x v="0"/>
    <x v="2"/>
    <x v="2"/>
    <x v="3"/>
    <x v="2"/>
    <x v="4"/>
    <x v="0"/>
    <x v="0"/>
    <x v="2"/>
    <x v="3"/>
    <x v="2"/>
    <x v="4"/>
    <x v="3"/>
    <x v="3"/>
    <x v="1"/>
    <x v="1"/>
    <x v="0"/>
    <x v="0"/>
    <x v="2"/>
    <x v="0"/>
    <x v="5"/>
    <x v="4"/>
    <x v="4"/>
    <x v="2"/>
    <x v="3"/>
    <x v="2"/>
    <x v="3"/>
    <x v="2"/>
    <x v="0"/>
    <x v="3"/>
    <x v="3"/>
    <x v="2"/>
    <x v="0"/>
    <x v="2"/>
    <x v="0"/>
    <x v="0"/>
    <x v="4"/>
    <x v="0"/>
    <x v="2"/>
    <x v="3"/>
    <x v="2"/>
    <x v="3"/>
    <x v="2"/>
    <x v="2"/>
    <x v="2"/>
    <x v="0"/>
    <x v="2"/>
    <x v="2"/>
    <x v="2"/>
    <x v="0"/>
    <x v="2"/>
    <x v="0"/>
    <x v="3"/>
    <x v="2"/>
    <x v="3"/>
    <x v="2"/>
    <x v="2"/>
    <x v="0"/>
    <x v="3"/>
    <x v="2"/>
    <x v="2"/>
    <m/>
    <n v="20162372034"/>
  </r>
  <r>
    <d v="2017-05-22T18:34:26"/>
    <s v="michaeljaralopez@gmail.com"/>
    <s v="INGENIERÍA ELÉCTRICA POR CICLOS PROPEDÉUTICOS"/>
    <n v="9"/>
    <x v="1"/>
    <x v="0"/>
    <x v="1"/>
    <x v="2"/>
    <x v="4"/>
    <x v="1"/>
    <x v="3"/>
    <x v="2"/>
    <x v="0"/>
    <x v="1"/>
    <x v="4"/>
    <x v="5"/>
    <x v="2"/>
    <x v="1"/>
    <x v="2"/>
    <x v="2"/>
    <x v="1"/>
    <x v="3"/>
    <x v="3"/>
    <x v="2"/>
    <x v="1"/>
    <x v="1"/>
    <x v="2"/>
    <x v="2"/>
    <x v="1"/>
    <x v="1"/>
    <x v="0"/>
    <x v="4"/>
    <x v="1"/>
    <x v="1"/>
    <x v="2"/>
    <x v="1"/>
    <x v="2"/>
    <x v="2"/>
    <x v="1"/>
    <x v="2"/>
    <x v="2"/>
    <x v="1"/>
    <x v="1"/>
    <x v="0"/>
    <x v="2"/>
    <x v="1"/>
    <x v="2"/>
    <x v="2"/>
    <x v="1"/>
    <x v="0"/>
    <x v="1"/>
    <x v="1"/>
    <x v="1"/>
    <x v="5"/>
    <x v="2"/>
    <x v="3"/>
    <x v="2"/>
    <x v="1"/>
    <x v="0"/>
    <x v="2"/>
    <x v="1"/>
    <x v="2"/>
    <x v="1"/>
    <x v="0"/>
    <x v="2"/>
    <x v="0"/>
    <x v="3"/>
    <x v="0"/>
    <x v="2"/>
    <x v="1"/>
    <x v="2"/>
    <x v="1"/>
    <x v="2"/>
    <x v="1"/>
    <x v="3"/>
    <x v="1"/>
    <x v="1"/>
    <x v="4"/>
    <x v="1"/>
    <x v="2"/>
    <x v="1"/>
    <x v="1"/>
    <x v="1"/>
    <x v="0"/>
    <x v="1"/>
    <x v="2"/>
    <x v="1"/>
    <x v="0"/>
    <x v="1"/>
    <x v="2"/>
    <x v="1"/>
    <x v="1"/>
    <x v="2"/>
    <x v="1"/>
    <x v="2"/>
    <x v="1"/>
    <x v="0"/>
    <x v="1"/>
    <x v="1"/>
    <x v="1"/>
    <x v="0"/>
    <m/>
    <n v="20161372075"/>
  </r>
  <r>
    <d v="2017-05-22T18:39:42"/>
    <s v="lugoz1008@gmail.com"/>
    <s v="INGENIERÍA ELÉCTRICA POR CICLOS PROPEDÉUTICOS"/>
    <n v="1"/>
    <x v="3"/>
    <x v="0"/>
    <x v="2"/>
    <x v="1"/>
    <x v="2"/>
    <x v="4"/>
    <x v="4"/>
    <x v="0"/>
    <x v="0"/>
    <x v="0"/>
    <x v="0"/>
    <x v="3"/>
    <x v="3"/>
    <x v="0"/>
    <x v="4"/>
    <x v="1"/>
    <x v="3"/>
    <x v="2"/>
    <x v="3"/>
    <x v="2"/>
    <x v="2"/>
    <x v="3"/>
    <x v="2"/>
    <x v="3"/>
    <x v="1"/>
    <x v="3"/>
    <x v="0"/>
    <x v="0"/>
    <x v="3"/>
    <x v="0"/>
    <x v="1"/>
    <x v="0"/>
    <x v="1"/>
    <x v="1"/>
    <x v="3"/>
    <x v="2"/>
    <x v="1"/>
    <x v="3"/>
    <x v="4"/>
    <x v="0"/>
    <x v="2"/>
    <x v="1"/>
    <x v="0"/>
    <x v="1"/>
    <x v="0"/>
    <x v="1"/>
    <x v="1"/>
    <x v="1"/>
    <x v="3"/>
    <x v="1"/>
    <x v="4"/>
    <x v="3"/>
    <x v="2"/>
    <x v="1"/>
    <x v="0"/>
    <x v="1"/>
    <x v="1"/>
    <x v="1"/>
    <x v="1"/>
    <x v="0"/>
    <x v="1"/>
    <x v="2"/>
    <x v="1"/>
    <x v="0"/>
    <x v="1"/>
    <x v="0"/>
    <x v="1"/>
    <x v="0"/>
    <x v="1"/>
    <x v="0"/>
    <x v="1"/>
    <x v="2"/>
    <x v="2"/>
    <x v="4"/>
    <x v="0"/>
    <x v="1"/>
    <x v="0"/>
    <x v="0"/>
    <x v="0"/>
    <x v="0"/>
    <x v="2"/>
    <x v="1"/>
    <x v="2"/>
    <x v="1"/>
    <x v="0"/>
    <x v="1"/>
    <x v="2"/>
    <x v="0"/>
    <x v="3"/>
    <x v="0"/>
    <x v="1"/>
    <x v="0"/>
    <x v="0"/>
    <x v="1"/>
    <x v="2"/>
    <x v="0"/>
    <x v="1"/>
    <m/>
    <n v="20162372046"/>
  </r>
  <r>
    <d v="2017-05-22T18:40:11"/>
    <s v="winieputo@hotmail.com"/>
    <s v="INGENIERÍA ELÉCTRICA POR CICLOS PROPEDÉUTICOS"/>
    <n v="2"/>
    <x v="2"/>
    <x v="0"/>
    <x v="2"/>
    <x v="2"/>
    <x v="0"/>
    <x v="4"/>
    <x v="1"/>
    <x v="0"/>
    <x v="0"/>
    <x v="0"/>
    <x v="4"/>
    <x v="4"/>
    <x v="4"/>
    <x v="0"/>
    <x v="1"/>
    <x v="2"/>
    <x v="3"/>
    <x v="3"/>
    <x v="3"/>
    <x v="2"/>
    <x v="3"/>
    <x v="2"/>
    <x v="2"/>
    <x v="5"/>
    <x v="1"/>
    <x v="2"/>
    <x v="3"/>
    <x v="0"/>
    <x v="4"/>
    <x v="0"/>
    <x v="4"/>
    <x v="2"/>
    <x v="2"/>
    <x v="2"/>
    <x v="3"/>
    <x v="2"/>
    <x v="0"/>
    <x v="1"/>
    <x v="1"/>
    <x v="0"/>
    <x v="0"/>
    <x v="1"/>
    <x v="2"/>
    <x v="0"/>
    <x v="0"/>
    <x v="1"/>
    <x v="1"/>
    <x v="3"/>
    <x v="3"/>
    <x v="3"/>
    <x v="1"/>
    <x v="3"/>
    <x v="0"/>
    <x v="1"/>
    <x v="0"/>
    <x v="3"/>
    <x v="1"/>
    <x v="1"/>
    <x v="4"/>
    <x v="0"/>
    <x v="1"/>
    <x v="2"/>
    <x v="1"/>
    <x v="2"/>
    <x v="1"/>
    <x v="3"/>
    <x v="1"/>
    <x v="0"/>
    <x v="1"/>
    <x v="2"/>
    <x v="0"/>
    <x v="0"/>
    <x v="2"/>
    <x v="4"/>
    <x v="2"/>
    <x v="3"/>
    <x v="0"/>
    <x v="3"/>
    <x v="0"/>
    <x v="3"/>
    <x v="1"/>
    <x v="0"/>
    <x v="0"/>
    <x v="1"/>
    <x v="0"/>
    <x v="1"/>
    <x v="1"/>
    <x v="1"/>
    <x v="1"/>
    <x v="0"/>
    <x v="1"/>
    <x v="0"/>
    <x v="0"/>
    <x v="1"/>
    <x v="2"/>
    <x v="0"/>
    <x v="1"/>
    <m/>
    <n v="20162372128"/>
  </r>
  <r>
    <d v="2017-05-22T18:43:49"/>
    <s v="jgsaae@correo.udistrital.edu.co"/>
    <s v="TECNOLOGÍA EN SISTEMAS ELÉCTRICOS DE MEDIA Y BAJA TENSIÓN POR CICLOS PROPEDÉUTICOS"/>
    <n v="3"/>
    <x v="2"/>
    <x v="0"/>
    <x v="2"/>
    <x v="2"/>
    <x v="3"/>
    <x v="2"/>
    <x v="1"/>
    <x v="0"/>
    <x v="2"/>
    <x v="1"/>
    <x v="5"/>
    <x v="4"/>
    <x v="3"/>
    <x v="4"/>
    <x v="1"/>
    <x v="1"/>
    <x v="0"/>
    <x v="2"/>
    <x v="1"/>
    <x v="5"/>
    <x v="2"/>
    <x v="4"/>
    <x v="5"/>
    <x v="5"/>
    <x v="3"/>
    <x v="0"/>
    <x v="3"/>
    <x v="1"/>
    <x v="5"/>
    <x v="1"/>
    <x v="0"/>
    <x v="4"/>
    <x v="1"/>
    <x v="2"/>
    <x v="1"/>
    <x v="2"/>
    <x v="1"/>
    <x v="2"/>
    <x v="2"/>
    <x v="4"/>
    <x v="4"/>
    <x v="4"/>
    <x v="2"/>
    <x v="2"/>
    <x v="3"/>
    <x v="0"/>
    <x v="3"/>
    <x v="0"/>
    <x v="0"/>
    <x v="1"/>
    <x v="0"/>
    <x v="2"/>
    <x v="2"/>
    <x v="3"/>
    <x v="4"/>
    <x v="0"/>
    <x v="1"/>
    <x v="3"/>
    <x v="3"/>
    <x v="4"/>
    <x v="1"/>
    <x v="4"/>
    <x v="5"/>
    <x v="4"/>
    <x v="2"/>
    <x v="0"/>
    <x v="3"/>
    <x v="0"/>
    <x v="3"/>
    <x v="1"/>
    <x v="2"/>
    <x v="1"/>
    <x v="2"/>
    <x v="3"/>
    <x v="5"/>
    <x v="2"/>
    <x v="2"/>
    <x v="0"/>
    <x v="1"/>
    <x v="2"/>
    <x v="5"/>
    <x v="5"/>
    <x v="4"/>
    <x v="5"/>
    <x v="2"/>
    <x v="3"/>
    <x v="3"/>
    <x v="2"/>
    <x v="2"/>
    <x v="5"/>
    <x v="1"/>
    <x v="4"/>
    <x v="1"/>
    <x v="4"/>
    <x v="3"/>
    <x v="5"/>
    <x v="0"/>
    <m/>
    <n v="20161772018"/>
  </r>
  <r>
    <d v="2017-05-22T18:46:42"/>
    <s v="maikoll.9213@hotmail.com"/>
    <s v="INGENIERÍA ELÉCTRICA POR CICLOS PROPEDÉUTICOS"/>
    <n v="3"/>
    <x v="5"/>
    <x v="1"/>
    <x v="2"/>
    <x v="2"/>
    <x v="5"/>
    <x v="4"/>
    <x v="3"/>
    <x v="0"/>
    <x v="2"/>
    <x v="0"/>
    <x v="0"/>
    <x v="3"/>
    <x v="3"/>
    <x v="4"/>
    <x v="1"/>
    <x v="2"/>
    <x v="4"/>
    <x v="2"/>
    <x v="2"/>
    <x v="2"/>
    <x v="3"/>
    <x v="2"/>
    <x v="3"/>
    <x v="3"/>
    <x v="3"/>
    <x v="3"/>
    <x v="2"/>
    <x v="0"/>
    <x v="2"/>
    <x v="0"/>
    <x v="0"/>
    <x v="0"/>
    <x v="1"/>
    <x v="2"/>
    <x v="3"/>
    <x v="0"/>
    <x v="3"/>
    <x v="4"/>
    <x v="1"/>
    <x v="0"/>
    <x v="1"/>
    <x v="0"/>
    <x v="2"/>
    <x v="3"/>
    <x v="2"/>
    <x v="2"/>
    <x v="2"/>
    <x v="4"/>
    <x v="3"/>
    <x v="3"/>
    <x v="1"/>
    <x v="3"/>
    <x v="0"/>
    <x v="1"/>
    <x v="2"/>
    <x v="0"/>
    <x v="1"/>
    <x v="4"/>
    <x v="4"/>
    <x v="2"/>
    <x v="3"/>
    <x v="2"/>
    <x v="1"/>
    <x v="2"/>
    <x v="1"/>
    <x v="1"/>
    <x v="3"/>
    <x v="2"/>
    <x v="0"/>
    <x v="0"/>
    <x v="0"/>
    <x v="2"/>
    <x v="4"/>
    <x v="4"/>
    <x v="2"/>
    <x v="3"/>
    <x v="0"/>
    <x v="3"/>
    <x v="2"/>
    <x v="2"/>
    <x v="2"/>
    <x v="1"/>
    <x v="2"/>
    <x v="2"/>
    <x v="0"/>
    <x v="0"/>
    <x v="2"/>
    <x v="0"/>
    <x v="3"/>
    <x v="0"/>
    <x v="3"/>
    <x v="2"/>
    <x v="2"/>
    <x v="0"/>
    <x v="3"/>
    <x v="0"/>
    <x v="2"/>
    <m/>
    <n v="20161372066"/>
  </r>
  <r>
    <d v="2017-05-22T18:51:26"/>
    <s v="andres890508@hotmail.com"/>
    <s v="INGENIERÍA ELÉCTRICA POR CICLOS PROPEDÉUTICOS"/>
    <n v="3"/>
    <x v="3"/>
    <x v="0"/>
    <x v="1"/>
    <x v="2"/>
    <x v="0"/>
    <x v="4"/>
    <x v="4"/>
    <x v="1"/>
    <x v="0"/>
    <x v="2"/>
    <x v="1"/>
    <x v="2"/>
    <x v="3"/>
    <x v="4"/>
    <x v="3"/>
    <x v="1"/>
    <x v="1"/>
    <x v="2"/>
    <x v="1"/>
    <x v="1"/>
    <x v="1"/>
    <x v="1"/>
    <x v="1"/>
    <x v="3"/>
    <x v="5"/>
    <x v="4"/>
    <x v="4"/>
    <x v="0"/>
    <x v="3"/>
    <x v="0"/>
    <x v="0"/>
    <x v="0"/>
    <x v="2"/>
    <x v="1"/>
    <x v="3"/>
    <x v="2"/>
    <x v="1"/>
    <x v="3"/>
    <x v="1"/>
    <x v="1"/>
    <x v="1"/>
    <x v="0"/>
    <x v="1"/>
    <x v="1"/>
    <x v="0"/>
    <x v="0"/>
    <x v="2"/>
    <x v="4"/>
    <x v="3"/>
    <x v="5"/>
    <x v="0"/>
    <x v="0"/>
    <x v="0"/>
    <x v="1"/>
    <x v="0"/>
    <x v="3"/>
    <x v="5"/>
    <x v="2"/>
    <x v="1"/>
    <x v="3"/>
    <x v="1"/>
    <x v="1"/>
    <x v="3"/>
    <x v="1"/>
    <x v="4"/>
    <x v="3"/>
    <x v="3"/>
    <x v="0"/>
    <x v="1"/>
    <x v="0"/>
    <x v="3"/>
    <x v="0"/>
    <x v="2"/>
    <x v="1"/>
    <x v="0"/>
    <x v="1"/>
    <x v="0"/>
    <x v="0"/>
    <x v="1"/>
    <x v="3"/>
    <x v="1"/>
    <x v="2"/>
    <x v="1"/>
    <x v="1"/>
    <x v="0"/>
    <x v="1"/>
    <x v="1"/>
    <x v="1"/>
    <x v="1"/>
    <x v="1"/>
    <x v="1"/>
    <x v="0"/>
    <x v="0"/>
    <x v="2"/>
    <x v="1"/>
    <x v="0"/>
    <x v="1"/>
    <m/>
    <n v="20161372061"/>
  </r>
  <r>
    <d v="2017-05-22T19:01:44"/>
    <s v="nataly.fajardoo@gmail.com"/>
    <s v="INGENIERÍA ELÉCTRICA POR CICLOS PROPEDÉUTICOS"/>
    <n v="3"/>
    <x v="2"/>
    <x v="1"/>
    <x v="2"/>
    <x v="5"/>
    <x v="1"/>
    <x v="4"/>
    <x v="4"/>
    <x v="0"/>
    <x v="2"/>
    <x v="1"/>
    <x v="5"/>
    <x v="1"/>
    <x v="5"/>
    <x v="1"/>
    <x v="3"/>
    <x v="2"/>
    <x v="1"/>
    <x v="3"/>
    <x v="3"/>
    <x v="2"/>
    <x v="2"/>
    <x v="3"/>
    <x v="2"/>
    <x v="1"/>
    <x v="1"/>
    <x v="0"/>
    <x v="3"/>
    <x v="0"/>
    <x v="4"/>
    <x v="0"/>
    <x v="3"/>
    <x v="0"/>
    <x v="2"/>
    <x v="1"/>
    <x v="1"/>
    <x v="2"/>
    <x v="1"/>
    <x v="0"/>
    <x v="2"/>
    <x v="0"/>
    <x v="0"/>
    <x v="1"/>
    <x v="2"/>
    <x v="1"/>
    <x v="0"/>
    <x v="1"/>
    <x v="1"/>
    <x v="1"/>
    <x v="5"/>
    <x v="3"/>
    <x v="5"/>
    <x v="4"/>
    <x v="2"/>
    <x v="1"/>
    <x v="0"/>
    <x v="1"/>
    <x v="5"/>
    <x v="1"/>
    <x v="1"/>
    <x v="2"/>
    <x v="1"/>
    <x v="0"/>
    <x v="1"/>
    <x v="0"/>
    <x v="0"/>
    <x v="1"/>
    <x v="3"/>
    <x v="2"/>
    <x v="0"/>
    <x v="2"/>
    <x v="1"/>
    <x v="2"/>
    <x v="4"/>
    <x v="5"/>
    <x v="2"/>
    <x v="1"/>
    <x v="2"/>
    <x v="0"/>
    <x v="0"/>
    <x v="3"/>
    <x v="5"/>
    <x v="0"/>
    <x v="2"/>
    <x v="2"/>
    <x v="2"/>
    <x v="5"/>
    <x v="5"/>
    <x v="3"/>
    <x v="1"/>
    <x v="0"/>
    <x v="1"/>
    <x v="0"/>
    <x v="0"/>
    <x v="1"/>
    <x v="2"/>
    <x v="2"/>
    <x v="1"/>
    <m/>
    <n v="20161372085"/>
  </r>
  <r>
    <d v="2017-05-22T19:20:35"/>
    <s v="edwinsepulvedad87@gmail.com"/>
    <s v="INGENIERÍA ELÉCTRICA POR CICLOS PROPEDÉUTICOS"/>
    <n v="2"/>
    <x v="2"/>
    <x v="2"/>
    <x v="2"/>
    <x v="0"/>
    <x v="2"/>
    <x v="2"/>
    <x v="3"/>
    <x v="2"/>
    <x v="2"/>
    <x v="0"/>
    <x v="1"/>
    <x v="1"/>
    <x v="4"/>
    <x v="0"/>
    <x v="3"/>
    <x v="2"/>
    <x v="3"/>
    <x v="2"/>
    <x v="2"/>
    <x v="3"/>
    <x v="2"/>
    <x v="3"/>
    <x v="3"/>
    <x v="3"/>
    <x v="3"/>
    <x v="2"/>
    <x v="2"/>
    <x v="4"/>
    <x v="2"/>
    <x v="5"/>
    <x v="0"/>
    <x v="2"/>
    <x v="1"/>
    <x v="2"/>
    <x v="3"/>
    <x v="0"/>
    <x v="0"/>
    <x v="2"/>
    <x v="2"/>
    <x v="0"/>
    <x v="0"/>
    <x v="1"/>
    <x v="2"/>
    <x v="0"/>
    <x v="0"/>
    <x v="1"/>
    <x v="2"/>
    <x v="4"/>
    <x v="3"/>
    <x v="0"/>
    <x v="1"/>
    <x v="0"/>
    <x v="0"/>
    <x v="0"/>
    <x v="2"/>
    <x v="0"/>
    <x v="5"/>
    <x v="4"/>
    <x v="4"/>
    <x v="2"/>
    <x v="3"/>
    <x v="2"/>
    <x v="3"/>
    <x v="2"/>
    <x v="0"/>
    <x v="3"/>
    <x v="3"/>
    <x v="2"/>
    <x v="0"/>
    <x v="2"/>
    <x v="0"/>
    <x v="0"/>
    <x v="4"/>
    <x v="3"/>
    <x v="2"/>
    <x v="3"/>
    <x v="2"/>
    <x v="3"/>
    <x v="2"/>
    <x v="5"/>
    <x v="4"/>
    <x v="0"/>
    <x v="2"/>
    <x v="2"/>
    <x v="2"/>
    <x v="0"/>
    <x v="2"/>
    <x v="0"/>
    <x v="3"/>
    <x v="2"/>
    <x v="3"/>
    <x v="2"/>
    <x v="2"/>
    <x v="0"/>
    <x v="3"/>
    <x v="2"/>
    <x v="2"/>
    <m/>
    <n v="20102372044"/>
  </r>
  <r>
    <d v="2017-05-22T20:26:39"/>
    <s v="serujioshin90@gmail.com"/>
    <s v="INGENIERÍA ELÉCTRICA POR CICLOS PROPEDÉUTICOS"/>
    <n v="1"/>
    <x v="3"/>
    <x v="0"/>
    <x v="1"/>
    <x v="1"/>
    <x v="3"/>
    <x v="4"/>
    <x v="4"/>
    <x v="0"/>
    <x v="2"/>
    <x v="1"/>
    <x v="4"/>
    <x v="1"/>
    <x v="3"/>
    <x v="1"/>
    <x v="3"/>
    <x v="2"/>
    <x v="3"/>
    <x v="3"/>
    <x v="2"/>
    <x v="2"/>
    <x v="1"/>
    <x v="3"/>
    <x v="2"/>
    <x v="3"/>
    <x v="4"/>
    <x v="2"/>
    <x v="0"/>
    <x v="0"/>
    <x v="3"/>
    <x v="5"/>
    <x v="0"/>
    <x v="2"/>
    <x v="2"/>
    <x v="2"/>
    <x v="3"/>
    <x v="0"/>
    <x v="0"/>
    <x v="3"/>
    <x v="1"/>
    <x v="2"/>
    <x v="0"/>
    <x v="0"/>
    <x v="0"/>
    <x v="0"/>
    <x v="2"/>
    <x v="3"/>
    <x v="1"/>
    <x v="4"/>
    <x v="3"/>
    <x v="3"/>
    <x v="4"/>
    <x v="1"/>
    <x v="2"/>
    <x v="0"/>
    <x v="2"/>
    <x v="0"/>
    <x v="5"/>
    <x v="1"/>
    <x v="1"/>
    <x v="0"/>
    <x v="3"/>
    <x v="0"/>
    <x v="3"/>
    <x v="2"/>
    <x v="0"/>
    <x v="1"/>
    <x v="1"/>
    <x v="2"/>
    <x v="0"/>
    <x v="2"/>
    <x v="0"/>
    <x v="0"/>
    <x v="4"/>
    <x v="5"/>
    <x v="2"/>
    <x v="3"/>
    <x v="2"/>
    <x v="3"/>
    <x v="0"/>
    <x v="5"/>
    <x v="4"/>
    <x v="0"/>
    <x v="2"/>
    <x v="2"/>
    <x v="2"/>
    <x v="5"/>
    <x v="5"/>
    <x v="3"/>
    <x v="4"/>
    <x v="2"/>
    <x v="3"/>
    <x v="2"/>
    <x v="2"/>
    <x v="0"/>
    <x v="3"/>
    <x v="2"/>
    <x v="2"/>
    <m/>
    <n v="20171372010"/>
  </r>
  <r>
    <d v="2017-05-22T20:27:34"/>
    <s v="angelaj15@hotmail.com"/>
    <s v="INGENIERÍA ELÉCTRICA POR CICLOS PROPEDÉUTICOS"/>
    <n v="1"/>
    <x v="5"/>
    <x v="0"/>
    <x v="1"/>
    <x v="0"/>
    <x v="5"/>
    <x v="3"/>
    <x v="1"/>
    <x v="1"/>
    <x v="1"/>
    <x v="1"/>
    <x v="3"/>
    <x v="0"/>
    <x v="5"/>
    <x v="1"/>
    <x v="2"/>
    <x v="2"/>
    <x v="4"/>
    <x v="3"/>
    <x v="3"/>
    <x v="1"/>
    <x v="2"/>
    <x v="3"/>
    <x v="1"/>
    <x v="3"/>
    <x v="3"/>
    <x v="2"/>
    <x v="2"/>
    <x v="1"/>
    <x v="1"/>
    <x v="1"/>
    <x v="0"/>
    <x v="4"/>
    <x v="2"/>
    <x v="2"/>
    <x v="1"/>
    <x v="1"/>
    <x v="1"/>
    <x v="1"/>
    <x v="1"/>
    <x v="1"/>
    <x v="1"/>
    <x v="0"/>
    <x v="1"/>
    <x v="1"/>
    <x v="0"/>
    <x v="1"/>
    <x v="1"/>
    <x v="1"/>
    <x v="1"/>
    <x v="1"/>
    <x v="0"/>
    <x v="0"/>
    <x v="5"/>
    <x v="2"/>
    <x v="1"/>
    <x v="2"/>
    <x v="1"/>
    <x v="2"/>
    <x v="2"/>
    <x v="1"/>
    <x v="2"/>
    <x v="1"/>
    <x v="2"/>
    <x v="1"/>
    <x v="0"/>
    <x v="2"/>
    <x v="2"/>
    <x v="0"/>
    <x v="2"/>
    <x v="1"/>
    <x v="3"/>
    <x v="2"/>
    <x v="3"/>
    <x v="1"/>
    <x v="2"/>
    <x v="0"/>
    <x v="5"/>
    <x v="4"/>
    <x v="1"/>
    <x v="3"/>
    <x v="2"/>
    <x v="2"/>
    <x v="1"/>
    <x v="1"/>
    <x v="4"/>
    <x v="2"/>
    <x v="0"/>
    <x v="1"/>
    <x v="3"/>
    <x v="0"/>
    <x v="1"/>
    <x v="0"/>
    <x v="1"/>
    <x v="2"/>
    <x v="1"/>
    <x v="2"/>
    <x v="0"/>
    <m/>
    <n v="201372030"/>
  </r>
  <r>
    <d v="2017-05-22T20:30:55"/>
    <s v="ca.du_arte@hotmail.com"/>
    <s v="INGENIERÍA ELÉCTRICA POR CICLOS PROPEDÉUTICOS"/>
    <n v="1"/>
    <x v="3"/>
    <x v="0"/>
    <x v="1"/>
    <x v="0"/>
    <x v="2"/>
    <x v="2"/>
    <x v="4"/>
    <x v="1"/>
    <x v="1"/>
    <x v="3"/>
    <x v="2"/>
    <x v="2"/>
    <x v="0"/>
    <x v="0"/>
    <x v="2"/>
    <x v="5"/>
    <x v="1"/>
    <x v="3"/>
    <x v="3"/>
    <x v="1"/>
    <x v="1"/>
    <x v="1"/>
    <x v="1"/>
    <x v="1"/>
    <x v="1"/>
    <x v="3"/>
    <x v="0"/>
    <x v="1"/>
    <x v="4"/>
    <x v="2"/>
    <x v="2"/>
    <x v="1"/>
    <x v="0"/>
    <x v="1"/>
    <x v="1"/>
    <x v="2"/>
    <x v="2"/>
    <x v="2"/>
    <x v="0"/>
    <x v="1"/>
    <x v="1"/>
    <x v="0"/>
    <x v="1"/>
    <x v="1"/>
    <x v="3"/>
    <x v="1"/>
    <x v="1"/>
    <x v="0"/>
    <x v="2"/>
    <x v="1"/>
    <x v="3"/>
    <x v="1"/>
    <x v="2"/>
    <x v="2"/>
    <x v="1"/>
    <x v="1"/>
    <x v="5"/>
    <x v="1"/>
    <x v="1"/>
    <x v="0"/>
    <x v="1"/>
    <x v="0"/>
    <x v="1"/>
    <x v="0"/>
    <x v="1"/>
    <x v="2"/>
    <x v="1"/>
    <x v="0"/>
    <x v="1"/>
    <x v="0"/>
    <x v="1"/>
    <x v="1"/>
    <x v="4"/>
    <x v="1"/>
    <x v="0"/>
    <x v="1"/>
    <x v="0"/>
    <x v="0"/>
    <x v="0"/>
    <x v="2"/>
    <x v="5"/>
    <x v="1"/>
    <x v="0"/>
    <x v="1"/>
    <x v="0"/>
    <x v="4"/>
    <x v="5"/>
    <x v="3"/>
    <x v="1"/>
    <x v="0"/>
    <x v="1"/>
    <x v="0"/>
    <x v="0"/>
    <x v="1"/>
    <x v="1"/>
    <x v="0"/>
    <x v="1"/>
    <m/>
    <n v="20171372013"/>
  </r>
  <r>
    <d v="2017-05-22T20:32:08"/>
    <s v="carlitosverdolaga2014@hotmail.com"/>
    <s v="INGENIERÍA ELÉCTRICA POR CICLOS PROPEDÉUTICOS"/>
    <n v="1"/>
    <x v="2"/>
    <x v="0"/>
    <x v="1"/>
    <x v="1"/>
    <x v="0"/>
    <x v="4"/>
    <x v="1"/>
    <x v="0"/>
    <x v="0"/>
    <x v="1"/>
    <x v="1"/>
    <x v="5"/>
    <x v="4"/>
    <x v="4"/>
    <x v="1"/>
    <x v="2"/>
    <x v="1"/>
    <x v="3"/>
    <x v="2"/>
    <x v="2"/>
    <x v="2"/>
    <x v="3"/>
    <x v="5"/>
    <x v="3"/>
    <x v="3"/>
    <x v="4"/>
    <x v="0"/>
    <x v="1"/>
    <x v="4"/>
    <x v="3"/>
    <x v="0"/>
    <x v="2"/>
    <x v="2"/>
    <x v="2"/>
    <x v="1"/>
    <x v="1"/>
    <x v="2"/>
    <x v="1"/>
    <x v="4"/>
    <x v="1"/>
    <x v="1"/>
    <x v="0"/>
    <x v="0"/>
    <x v="0"/>
    <x v="0"/>
    <x v="1"/>
    <x v="1"/>
    <x v="1"/>
    <x v="0"/>
    <x v="3"/>
    <x v="1"/>
    <x v="2"/>
    <x v="1"/>
    <x v="0"/>
    <x v="2"/>
    <x v="0"/>
    <x v="5"/>
    <x v="1"/>
    <x v="4"/>
    <x v="0"/>
    <x v="3"/>
    <x v="0"/>
    <x v="1"/>
    <x v="0"/>
    <x v="2"/>
    <x v="3"/>
    <x v="2"/>
    <x v="2"/>
    <x v="0"/>
    <x v="2"/>
    <x v="0"/>
    <x v="0"/>
    <x v="0"/>
    <x v="5"/>
    <x v="0"/>
    <x v="3"/>
    <x v="0"/>
    <x v="3"/>
    <x v="1"/>
    <x v="5"/>
    <x v="1"/>
    <x v="0"/>
    <x v="2"/>
    <x v="1"/>
    <x v="0"/>
    <x v="4"/>
    <x v="2"/>
    <x v="3"/>
    <x v="3"/>
    <x v="2"/>
    <x v="1"/>
    <x v="0"/>
    <x v="0"/>
    <x v="1"/>
    <x v="3"/>
    <x v="0"/>
    <x v="1"/>
    <m/>
    <n v="20171372002"/>
  </r>
  <r>
    <d v="2017-05-23T08:34:29"/>
    <s v="jdsiabatog@correo.udistrital.edu.co"/>
    <s v="TECNOLOGÍA EN SISTEMAS ELÉCTRICOS DE MEDIA Y BAJA TENSIÓN POR CICLOS PROPEDÉUTICOS"/>
    <n v="4"/>
    <x v="2"/>
    <x v="1"/>
    <x v="2"/>
    <x v="0"/>
    <x v="3"/>
    <x v="5"/>
    <x v="3"/>
    <x v="2"/>
    <x v="2"/>
    <x v="1"/>
    <x v="5"/>
    <x v="4"/>
    <x v="1"/>
    <x v="1"/>
    <x v="3"/>
    <x v="2"/>
    <x v="4"/>
    <x v="2"/>
    <x v="2"/>
    <x v="3"/>
    <x v="2"/>
    <x v="3"/>
    <x v="3"/>
    <x v="4"/>
    <x v="3"/>
    <x v="0"/>
    <x v="3"/>
    <x v="2"/>
    <x v="4"/>
    <x v="5"/>
    <x v="0"/>
    <x v="2"/>
    <x v="1"/>
    <x v="2"/>
    <x v="3"/>
    <x v="2"/>
    <x v="0"/>
    <x v="2"/>
    <x v="2"/>
    <x v="0"/>
    <x v="0"/>
    <x v="2"/>
    <x v="2"/>
    <x v="0"/>
    <x v="2"/>
    <x v="3"/>
    <x v="1"/>
    <x v="4"/>
    <x v="5"/>
    <x v="3"/>
    <x v="5"/>
    <x v="0"/>
    <x v="0"/>
    <x v="4"/>
    <x v="3"/>
    <x v="4"/>
    <x v="5"/>
    <x v="1"/>
    <x v="4"/>
    <x v="0"/>
    <x v="3"/>
    <x v="2"/>
    <x v="0"/>
    <x v="5"/>
    <x v="0"/>
    <x v="3"/>
    <x v="3"/>
    <x v="2"/>
    <x v="0"/>
    <x v="4"/>
    <x v="4"/>
    <x v="0"/>
    <x v="4"/>
    <x v="3"/>
    <x v="2"/>
    <x v="3"/>
    <x v="2"/>
    <x v="0"/>
    <x v="2"/>
    <x v="3"/>
    <x v="5"/>
    <x v="3"/>
    <x v="3"/>
    <x v="3"/>
    <x v="2"/>
    <x v="4"/>
    <x v="5"/>
    <x v="3"/>
    <x v="3"/>
    <x v="2"/>
    <x v="1"/>
    <x v="3"/>
    <x v="0"/>
    <x v="3"/>
    <x v="3"/>
    <x v="2"/>
    <x v="4"/>
    <m/>
    <n v="20161772001"/>
  </r>
  <r>
    <d v="2017-05-23T08:55:47"/>
    <s v="jaironss098@gmail.com"/>
    <s v="TECNOLOGÍA EN SISTEMAS ELÉCTRICOS DE MEDIA Y BAJA TENSIÓN POR CICLOS PROPEDÉUTICOS"/>
    <n v="1"/>
    <x v="2"/>
    <x v="0"/>
    <x v="1"/>
    <x v="3"/>
    <x v="1"/>
    <x v="2"/>
    <x v="3"/>
    <x v="0"/>
    <x v="2"/>
    <x v="1"/>
    <x v="2"/>
    <x v="2"/>
    <x v="2"/>
    <x v="1"/>
    <x v="1"/>
    <x v="2"/>
    <x v="1"/>
    <x v="3"/>
    <x v="3"/>
    <x v="2"/>
    <x v="1"/>
    <x v="1"/>
    <x v="1"/>
    <x v="1"/>
    <x v="1"/>
    <x v="0"/>
    <x v="3"/>
    <x v="3"/>
    <x v="4"/>
    <x v="3"/>
    <x v="5"/>
    <x v="2"/>
    <x v="2"/>
    <x v="1"/>
    <x v="1"/>
    <x v="2"/>
    <x v="1"/>
    <x v="1"/>
    <x v="4"/>
    <x v="0"/>
    <x v="1"/>
    <x v="1"/>
    <x v="1"/>
    <x v="1"/>
    <x v="0"/>
    <x v="1"/>
    <x v="0"/>
    <x v="2"/>
    <x v="1"/>
    <x v="2"/>
    <x v="2"/>
    <x v="3"/>
    <x v="1"/>
    <x v="1"/>
    <x v="0"/>
    <x v="1"/>
    <x v="1"/>
    <x v="1"/>
    <x v="4"/>
    <x v="4"/>
    <x v="3"/>
    <x v="0"/>
    <x v="3"/>
    <x v="0"/>
    <x v="1"/>
    <x v="2"/>
    <x v="1"/>
    <x v="3"/>
    <x v="3"/>
    <x v="2"/>
    <x v="1"/>
    <x v="2"/>
    <x v="3"/>
    <x v="1"/>
    <x v="0"/>
    <x v="3"/>
    <x v="2"/>
    <x v="3"/>
    <x v="0"/>
    <x v="5"/>
    <x v="2"/>
    <x v="2"/>
    <x v="2"/>
    <x v="2"/>
    <x v="2"/>
    <x v="0"/>
    <x v="1"/>
    <x v="1"/>
    <x v="3"/>
    <x v="0"/>
    <x v="3"/>
    <x v="0"/>
    <x v="0"/>
    <x v="1"/>
    <x v="5"/>
    <x v="3"/>
    <x v="3"/>
    <m/>
    <n v="20171772002"/>
  </r>
  <r>
    <d v="2017-05-23T12:11:42"/>
    <s v="ajsalinasp@correo.udistrital.edu.co"/>
    <s v="TECNOLOGÍA EN ELECTRICIDAD"/>
    <n v="3"/>
    <x v="3"/>
    <x v="2"/>
    <x v="1"/>
    <x v="1"/>
    <x v="2"/>
    <x v="3"/>
    <x v="1"/>
    <x v="1"/>
    <x v="4"/>
    <x v="0"/>
    <x v="4"/>
    <x v="4"/>
    <x v="2"/>
    <x v="5"/>
    <x v="2"/>
    <x v="5"/>
    <x v="5"/>
    <x v="1"/>
    <x v="1"/>
    <x v="1"/>
    <x v="0"/>
    <x v="0"/>
    <x v="1"/>
    <x v="3"/>
    <x v="2"/>
    <x v="0"/>
    <x v="3"/>
    <x v="0"/>
    <x v="0"/>
    <x v="0"/>
    <x v="2"/>
    <x v="1"/>
    <x v="1"/>
    <x v="0"/>
    <x v="3"/>
    <x v="1"/>
    <x v="0"/>
    <x v="3"/>
    <x v="1"/>
    <x v="1"/>
    <x v="1"/>
    <x v="0"/>
    <x v="1"/>
    <x v="2"/>
    <x v="1"/>
    <x v="0"/>
    <x v="0"/>
    <x v="2"/>
    <x v="4"/>
    <x v="5"/>
    <x v="2"/>
    <x v="5"/>
    <x v="1"/>
    <x v="2"/>
    <x v="1"/>
    <x v="2"/>
    <x v="2"/>
    <x v="2"/>
    <x v="2"/>
    <x v="1"/>
    <x v="2"/>
    <x v="1"/>
    <x v="2"/>
    <x v="1"/>
    <x v="2"/>
    <x v="2"/>
    <x v="2"/>
    <x v="1"/>
    <x v="2"/>
    <x v="1"/>
    <x v="3"/>
    <x v="1"/>
    <x v="1"/>
    <x v="5"/>
    <x v="1"/>
    <x v="2"/>
    <x v="1"/>
    <x v="4"/>
    <x v="0"/>
    <x v="2"/>
    <x v="0"/>
    <x v="4"/>
    <x v="1"/>
    <x v="0"/>
    <x v="1"/>
    <x v="2"/>
    <x v="3"/>
    <x v="1"/>
    <x v="2"/>
    <x v="1"/>
    <x v="2"/>
    <x v="1"/>
    <x v="1"/>
    <x v="2"/>
    <x v="1"/>
    <x v="1"/>
    <x v="0"/>
    <m/>
    <n v="20122072091"/>
  </r>
  <r>
    <d v="2017-05-23T14:30:46"/>
    <s v="jhonebh@outlook.com"/>
    <s v="TECNOLOGÍA EN ELECTRICIDAD"/>
    <n v="9"/>
    <x v="1"/>
    <x v="0"/>
    <x v="1"/>
    <x v="2"/>
    <x v="5"/>
    <x v="4"/>
    <x v="3"/>
    <x v="0"/>
    <x v="0"/>
    <x v="1"/>
    <x v="0"/>
    <x v="1"/>
    <x v="5"/>
    <x v="4"/>
    <x v="1"/>
    <x v="2"/>
    <x v="3"/>
    <x v="3"/>
    <x v="4"/>
    <x v="2"/>
    <x v="2"/>
    <x v="2"/>
    <x v="2"/>
    <x v="4"/>
    <x v="1"/>
    <x v="3"/>
    <x v="2"/>
    <x v="1"/>
    <x v="3"/>
    <x v="0"/>
    <x v="0"/>
    <x v="2"/>
    <x v="0"/>
    <x v="1"/>
    <x v="1"/>
    <x v="0"/>
    <x v="1"/>
    <x v="3"/>
    <x v="4"/>
    <x v="0"/>
    <x v="1"/>
    <x v="0"/>
    <x v="0"/>
    <x v="0"/>
    <x v="0"/>
    <x v="1"/>
    <x v="1"/>
    <x v="1"/>
    <x v="1"/>
    <x v="3"/>
    <x v="0"/>
    <x v="0"/>
    <x v="5"/>
    <x v="1"/>
    <x v="0"/>
    <x v="1"/>
    <x v="5"/>
    <x v="4"/>
    <x v="1"/>
    <x v="0"/>
    <x v="1"/>
    <x v="2"/>
    <x v="1"/>
    <x v="0"/>
    <x v="0"/>
    <x v="1"/>
    <x v="1"/>
    <x v="2"/>
    <x v="0"/>
    <x v="2"/>
    <x v="1"/>
    <x v="0"/>
    <x v="4"/>
    <x v="4"/>
    <x v="0"/>
    <x v="3"/>
    <x v="2"/>
    <x v="0"/>
    <x v="5"/>
    <x v="2"/>
    <x v="5"/>
    <x v="0"/>
    <x v="2"/>
    <x v="5"/>
    <x v="2"/>
    <x v="1"/>
    <x v="2"/>
    <x v="0"/>
    <x v="1"/>
    <x v="2"/>
    <x v="1"/>
    <x v="0"/>
    <x v="2"/>
    <x v="0"/>
    <x v="2"/>
    <x v="0"/>
    <x v="2"/>
    <m/>
    <n v="20131072043"/>
  </r>
  <r>
    <d v="2017-05-23T15:35:55"/>
    <s v="davidhar1312@gmail.com"/>
    <s v="INGENIERÍA ELÉCTRICA POR CICLOS PROPEDÉUTICOS"/>
    <n v="10"/>
    <x v="1"/>
    <x v="0"/>
    <x v="1"/>
    <x v="2"/>
    <x v="4"/>
    <x v="1"/>
    <x v="3"/>
    <x v="1"/>
    <x v="2"/>
    <x v="1"/>
    <x v="3"/>
    <x v="5"/>
    <x v="5"/>
    <x v="0"/>
    <x v="3"/>
    <x v="2"/>
    <x v="3"/>
    <x v="3"/>
    <x v="3"/>
    <x v="3"/>
    <x v="2"/>
    <x v="3"/>
    <x v="2"/>
    <x v="3"/>
    <x v="1"/>
    <x v="2"/>
    <x v="0"/>
    <x v="4"/>
    <x v="5"/>
    <x v="3"/>
    <x v="4"/>
    <x v="4"/>
    <x v="2"/>
    <x v="1"/>
    <x v="1"/>
    <x v="2"/>
    <x v="1"/>
    <x v="3"/>
    <x v="4"/>
    <x v="0"/>
    <x v="0"/>
    <x v="1"/>
    <x v="2"/>
    <x v="4"/>
    <x v="4"/>
    <x v="1"/>
    <x v="1"/>
    <x v="1"/>
    <x v="1"/>
    <x v="5"/>
    <x v="4"/>
    <x v="3"/>
    <x v="2"/>
    <x v="0"/>
    <x v="2"/>
    <x v="3"/>
    <x v="4"/>
    <x v="3"/>
    <x v="1"/>
    <x v="0"/>
    <x v="3"/>
    <x v="2"/>
    <x v="1"/>
    <x v="0"/>
    <x v="0"/>
    <x v="1"/>
    <x v="3"/>
    <x v="2"/>
    <x v="0"/>
    <x v="2"/>
    <x v="1"/>
    <x v="2"/>
    <x v="2"/>
    <x v="1"/>
    <x v="0"/>
    <x v="3"/>
    <x v="2"/>
    <x v="3"/>
    <x v="0"/>
    <x v="2"/>
    <x v="2"/>
    <x v="1"/>
    <x v="0"/>
    <x v="1"/>
    <x v="0"/>
    <x v="0"/>
    <x v="2"/>
    <x v="0"/>
    <x v="1"/>
    <x v="0"/>
    <x v="3"/>
    <x v="2"/>
    <x v="0"/>
    <x v="1"/>
    <x v="2"/>
    <x v="2"/>
    <x v="1"/>
    <m/>
    <n v="20161372094"/>
  </r>
  <r>
    <d v="2017-05-23T19:00:47"/>
    <s v="alexodion77@hotmail.com"/>
    <s v="INGENIERÍA ELÉCTRICA POR CICLOS PROPEDÉUTICOS"/>
    <n v="1"/>
    <x v="2"/>
    <x v="0"/>
    <x v="1"/>
    <x v="2"/>
    <x v="0"/>
    <x v="4"/>
    <x v="3"/>
    <x v="2"/>
    <x v="0"/>
    <x v="0"/>
    <x v="1"/>
    <x v="3"/>
    <x v="3"/>
    <x v="1"/>
    <x v="1"/>
    <x v="1"/>
    <x v="3"/>
    <x v="1"/>
    <x v="1"/>
    <x v="2"/>
    <x v="2"/>
    <x v="3"/>
    <x v="2"/>
    <x v="1"/>
    <x v="5"/>
    <x v="2"/>
    <x v="0"/>
    <x v="0"/>
    <x v="0"/>
    <x v="0"/>
    <x v="1"/>
    <x v="0"/>
    <x v="2"/>
    <x v="1"/>
    <x v="1"/>
    <x v="2"/>
    <x v="1"/>
    <x v="3"/>
    <x v="4"/>
    <x v="0"/>
    <x v="0"/>
    <x v="1"/>
    <x v="2"/>
    <x v="1"/>
    <x v="0"/>
    <x v="1"/>
    <x v="1"/>
    <x v="1"/>
    <x v="1"/>
    <x v="1"/>
    <x v="4"/>
    <x v="3"/>
    <x v="2"/>
    <x v="1"/>
    <x v="0"/>
    <x v="1"/>
    <x v="1"/>
    <x v="1"/>
    <x v="1"/>
    <x v="0"/>
    <x v="1"/>
    <x v="0"/>
    <x v="1"/>
    <x v="0"/>
    <x v="1"/>
    <x v="3"/>
    <x v="3"/>
    <x v="0"/>
    <x v="1"/>
    <x v="1"/>
    <x v="1"/>
    <x v="0"/>
    <x v="2"/>
    <x v="0"/>
    <x v="0"/>
    <x v="1"/>
    <x v="0"/>
    <x v="0"/>
    <x v="0"/>
    <x v="0"/>
    <x v="1"/>
    <x v="1"/>
    <x v="1"/>
    <x v="0"/>
    <x v="1"/>
    <x v="1"/>
    <x v="0"/>
    <x v="4"/>
    <x v="2"/>
    <x v="1"/>
    <x v="1"/>
    <x v="0"/>
    <x v="2"/>
    <x v="1"/>
    <x v="2"/>
    <x v="1"/>
    <x v="0"/>
    <m/>
    <n v="20171372014"/>
  </r>
  <r>
    <d v="2017-05-23T19:05:24"/>
    <s v="fabiovasquez.col@gmail.com"/>
    <s v="INGENIERÍA ELÉCTRICA POR CICLOS PROPEDÉUTICOS"/>
    <n v="2"/>
    <x v="1"/>
    <x v="0"/>
    <x v="1"/>
    <x v="1"/>
    <x v="5"/>
    <x v="4"/>
    <x v="4"/>
    <x v="0"/>
    <x v="2"/>
    <x v="1"/>
    <x v="2"/>
    <x v="2"/>
    <x v="4"/>
    <x v="3"/>
    <x v="3"/>
    <x v="4"/>
    <x v="2"/>
    <x v="3"/>
    <x v="4"/>
    <x v="2"/>
    <x v="3"/>
    <x v="3"/>
    <x v="3"/>
    <x v="5"/>
    <x v="3"/>
    <x v="4"/>
    <x v="4"/>
    <x v="2"/>
    <x v="3"/>
    <x v="0"/>
    <x v="1"/>
    <x v="4"/>
    <x v="0"/>
    <x v="2"/>
    <x v="1"/>
    <x v="2"/>
    <x v="1"/>
    <x v="1"/>
    <x v="4"/>
    <x v="1"/>
    <x v="1"/>
    <x v="0"/>
    <x v="2"/>
    <x v="1"/>
    <x v="0"/>
    <x v="1"/>
    <x v="1"/>
    <x v="4"/>
    <x v="3"/>
    <x v="3"/>
    <x v="0"/>
    <x v="2"/>
    <x v="5"/>
    <x v="1"/>
    <x v="0"/>
    <x v="5"/>
    <x v="2"/>
    <x v="2"/>
    <x v="2"/>
    <x v="1"/>
    <x v="2"/>
    <x v="2"/>
    <x v="5"/>
    <x v="2"/>
    <x v="4"/>
    <x v="1"/>
    <x v="1"/>
    <x v="2"/>
    <x v="0"/>
    <x v="2"/>
    <x v="0"/>
    <x v="2"/>
    <x v="2"/>
    <x v="4"/>
    <x v="2"/>
    <x v="3"/>
    <x v="2"/>
    <x v="2"/>
    <x v="1"/>
    <x v="2"/>
    <x v="2"/>
    <x v="2"/>
    <x v="0"/>
    <x v="1"/>
    <x v="0"/>
    <x v="3"/>
    <x v="2"/>
    <x v="5"/>
    <x v="3"/>
    <x v="0"/>
    <x v="1"/>
    <x v="2"/>
    <x v="0"/>
    <x v="2"/>
    <x v="2"/>
    <x v="5"/>
    <x v="2"/>
    <m/>
    <n v="20162372127"/>
  </r>
  <r>
    <d v="2017-05-23T19:06:10"/>
    <s v="m_quintero16@hotmail.com"/>
    <s v="INGENIERÍA ELÉCTRICA POR CICLOS PROPEDÉUTICOS"/>
    <n v="1"/>
    <x v="2"/>
    <x v="0"/>
    <x v="1"/>
    <x v="2"/>
    <x v="1"/>
    <x v="0"/>
    <x v="4"/>
    <x v="0"/>
    <x v="2"/>
    <x v="1"/>
    <x v="5"/>
    <x v="2"/>
    <x v="5"/>
    <x v="0"/>
    <x v="3"/>
    <x v="4"/>
    <x v="2"/>
    <x v="1"/>
    <x v="4"/>
    <x v="1"/>
    <x v="2"/>
    <x v="1"/>
    <x v="2"/>
    <x v="5"/>
    <x v="5"/>
    <x v="5"/>
    <x v="2"/>
    <x v="2"/>
    <x v="2"/>
    <x v="3"/>
    <x v="5"/>
    <x v="5"/>
    <x v="5"/>
    <x v="4"/>
    <x v="4"/>
    <x v="2"/>
    <x v="3"/>
    <x v="5"/>
    <x v="2"/>
    <x v="1"/>
    <x v="0"/>
    <x v="0"/>
    <x v="2"/>
    <x v="1"/>
    <x v="0"/>
    <x v="1"/>
    <x v="1"/>
    <x v="0"/>
    <x v="2"/>
    <x v="5"/>
    <x v="3"/>
    <x v="2"/>
    <x v="2"/>
    <x v="1"/>
    <x v="0"/>
    <x v="0"/>
    <x v="1"/>
    <x v="1"/>
    <x v="5"/>
    <x v="0"/>
    <x v="1"/>
    <x v="0"/>
    <x v="1"/>
    <x v="0"/>
    <x v="0"/>
    <x v="4"/>
    <x v="3"/>
    <x v="3"/>
    <x v="3"/>
    <x v="3"/>
    <x v="0"/>
    <x v="4"/>
    <x v="5"/>
    <x v="3"/>
    <x v="3"/>
    <x v="5"/>
    <x v="4"/>
    <x v="4"/>
    <x v="5"/>
    <x v="5"/>
    <x v="4"/>
    <x v="0"/>
    <x v="4"/>
    <x v="4"/>
    <x v="5"/>
    <x v="4"/>
    <x v="3"/>
    <x v="2"/>
    <x v="3"/>
    <x v="5"/>
    <x v="4"/>
    <x v="4"/>
    <x v="2"/>
    <x v="0"/>
    <x v="2"/>
    <x v="0"/>
    <x v="1"/>
    <s v="La coordinación no debería permitir ambigüedad en los contenidos programáticos de las asignaturas"/>
    <n v="20171372025"/>
  </r>
  <r>
    <d v="2017-05-23T19:11:53"/>
    <s v="rayow16@gmail.com"/>
    <s v="INGENIERÍA ELÉCTRICA POR CICLOS PROPEDÉUTICOS"/>
    <n v="1"/>
    <x v="1"/>
    <x v="0"/>
    <x v="2"/>
    <x v="4"/>
    <x v="4"/>
    <x v="0"/>
    <x v="1"/>
    <x v="1"/>
    <x v="1"/>
    <x v="0"/>
    <x v="3"/>
    <x v="1"/>
    <x v="4"/>
    <x v="4"/>
    <x v="1"/>
    <x v="1"/>
    <x v="2"/>
    <x v="1"/>
    <x v="3"/>
    <x v="1"/>
    <x v="3"/>
    <x v="3"/>
    <x v="1"/>
    <x v="2"/>
    <x v="2"/>
    <x v="3"/>
    <x v="3"/>
    <x v="1"/>
    <x v="4"/>
    <x v="3"/>
    <x v="3"/>
    <x v="0"/>
    <x v="0"/>
    <x v="1"/>
    <x v="1"/>
    <x v="1"/>
    <x v="2"/>
    <x v="1"/>
    <x v="1"/>
    <x v="0"/>
    <x v="3"/>
    <x v="0"/>
    <x v="4"/>
    <x v="2"/>
    <x v="2"/>
    <x v="0"/>
    <x v="0"/>
    <x v="3"/>
    <x v="5"/>
    <x v="5"/>
    <x v="3"/>
    <x v="2"/>
    <x v="4"/>
    <x v="1"/>
    <x v="1"/>
    <x v="4"/>
    <x v="5"/>
    <x v="2"/>
    <x v="2"/>
    <x v="1"/>
    <x v="3"/>
    <x v="2"/>
    <x v="3"/>
    <x v="1"/>
    <x v="0"/>
    <x v="2"/>
    <x v="4"/>
    <x v="2"/>
    <x v="0"/>
    <x v="2"/>
    <x v="3"/>
    <x v="0"/>
    <x v="4"/>
    <x v="1"/>
    <x v="0"/>
    <x v="1"/>
    <x v="0"/>
    <x v="0"/>
    <x v="1"/>
    <x v="5"/>
    <x v="1"/>
    <x v="2"/>
    <x v="1"/>
    <x v="2"/>
    <x v="4"/>
    <x v="2"/>
    <x v="0"/>
    <x v="3"/>
    <x v="4"/>
    <x v="3"/>
    <x v="1"/>
    <x v="0"/>
    <x v="1"/>
    <x v="1"/>
    <x v="1"/>
    <x v="2"/>
    <x v="4"/>
    <m/>
    <n v="20171372019"/>
  </r>
  <r>
    <d v="2017-05-23T19:12:21"/>
    <s v="pedrolopezot@gmail.com"/>
    <s v="INGENIERÍA ELÉCTRICA POR CICLOS PROPEDÉUTICOS"/>
    <n v="1"/>
    <x v="1"/>
    <x v="0"/>
    <x v="2"/>
    <x v="1"/>
    <x v="0"/>
    <x v="1"/>
    <x v="4"/>
    <x v="0"/>
    <x v="2"/>
    <x v="4"/>
    <x v="1"/>
    <x v="1"/>
    <x v="4"/>
    <x v="3"/>
    <x v="4"/>
    <x v="3"/>
    <x v="3"/>
    <x v="3"/>
    <x v="2"/>
    <x v="2"/>
    <x v="2"/>
    <x v="3"/>
    <x v="2"/>
    <x v="4"/>
    <x v="4"/>
    <x v="3"/>
    <x v="4"/>
    <x v="5"/>
    <x v="5"/>
    <x v="3"/>
    <x v="4"/>
    <x v="4"/>
    <x v="1"/>
    <x v="2"/>
    <x v="3"/>
    <x v="2"/>
    <x v="0"/>
    <x v="1"/>
    <x v="2"/>
    <x v="1"/>
    <x v="1"/>
    <x v="0"/>
    <x v="1"/>
    <x v="3"/>
    <x v="4"/>
    <x v="1"/>
    <x v="2"/>
    <x v="1"/>
    <x v="1"/>
    <x v="1"/>
    <x v="4"/>
    <x v="3"/>
    <x v="2"/>
    <x v="1"/>
    <x v="0"/>
    <x v="0"/>
    <x v="5"/>
    <x v="4"/>
    <x v="3"/>
    <x v="0"/>
    <x v="0"/>
    <x v="3"/>
    <x v="4"/>
    <x v="2"/>
    <x v="5"/>
    <x v="4"/>
    <x v="0"/>
    <x v="2"/>
    <x v="0"/>
    <x v="2"/>
    <x v="0"/>
    <x v="2"/>
    <x v="4"/>
    <x v="0"/>
    <x v="2"/>
    <x v="3"/>
    <x v="2"/>
    <x v="0"/>
    <x v="0"/>
    <x v="5"/>
    <x v="5"/>
    <x v="1"/>
    <x v="2"/>
    <x v="1"/>
    <x v="0"/>
    <x v="3"/>
    <x v="4"/>
    <x v="5"/>
    <x v="3"/>
    <x v="2"/>
    <x v="3"/>
    <x v="2"/>
    <x v="2"/>
    <x v="0"/>
    <x v="3"/>
    <x v="5"/>
    <x v="2"/>
    <m/>
    <n v="20171372073"/>
  </r>
  <r>
    <d v="2017-05-23T19:24:07"/>
    <s v="bernallunabl@gmail.com"/>
    <s v="INGENIERÍA ELÉCTRICA POR CICLOS PROPEDÉUTICOS"/>
    <n v="7"/>
    <x v="2"/>
    <x v="0"/>
    <x v="1"/>
    <x v="5"/>
    <x v="1"/>
    <x v="4"/>
    <x v="1"/>
    <x v="1"/>
    <x v="1"/>
    <x v="2"/>
    <x v="2"/>
    <x v="2"/>
    <x v="3"/>
    <x v="3"/>
    <x v="4"/>
    <x v="4"/>
    <x v="4"/>
    <x v="2"/>
    <x v="2"/>
    <x v="2"/>
    <x v="2"/>
    <x v="3"/>
    <x v="2"/>
    <x v="3"/>
    <x v="4"/>
    <x v="2"/>
    <x v="2"/>
    <x v="4"/>
    <x v="1"/>
    <x v="1"/>
    <x v="1"/>
    <x v="2"/>
    <x v="2"/>
    <x v="2"/>
    <x v="1"/>
    <x v="2"/>
    <x v="1"/>
    <x v="1"/>
    <x v="1"/>
    <x v="1"/>
    <x v="1"/>
    <x v="0"/>
    <x v="4"/>
    <x v="0"/>
    <x v="1"/>
    <x v="1"/>
    <x v="1"/>
    <x v="0"/>
    <x v="2"/>
    <x v="2"/>
    <x v="3"/>
    <x v="2"/>
    <x v="5"/>
    <x v="1"/>
    <x v="0"/>
    <x v="1"/>
    <x v="3"/>
    <x v="5"/>
    <x v="5"/>
    <x v="0"/>
    <x v="1"/>
    <x v="0"/>
    <x v="1"/>
    <x v="4"/>
    <x v="5"/>
    <x v="0"/>
    <x v="0"/>
    <x v="3"/>
    <x v="3"/>
    <x v="3"/>
    <x v="0"/>
    <x v="0"/>
    <x v="4"/>
    <x v="1"/>
    <x v="0"/>
    <x v="3"/>
    <x v="2"/>
    <x v="2"/>
    <x v="2"/>
    <x v="5"/>
    <x v="5"/>
    <x v="0"/>
    <x v="2"/>
    <x v="2"/>
    <x v="2"/>
    <x v="4"/>
    <x v="3"/>
    <x v="2"/>
    <x v="3"/>
    <x v="2"/>
    <x v="3"/>
    <x v="2"/>
    <x v="2"/>
    <x v="0"/>
    <x v="3"/>
    <x v="2"/>
    <x v="2"/>
    <m/>
    <n v="20141372121"/>
  </r>
  <r>
    <d v="2017-05-23T19:31:51"/>
    <s v="electrizate@gmail.com"/>
    <s v="INGENIERÍA ELÉCTRICA POR CICLOS PROPEDÉUTICOS"/>
    <n v="1"/>
    <x v="3"/>
    <x v="0"/>
    <x v="1"/>
    <x v="5"/>
    <x v="1"/>
    <x v="4"/>
    <x v="1"/>
    <x v="2"/>
    <x v="0"/>
    <x v="1"/>
    <x v="1"/>
    <x v="2"/>
    <x v="4"/>
    <x v="0"/>
    <x v="2"/>
    <x v="4"/>
    <x v="1"/>
    <x v="1"/>
    <x v="4"/>
    <x v="1"/>
    <x v="1"/>
    <x v="1"/>
    <x v="1"/>
    <x v="3"/>
    <x v="2"/>
    <x v="1"/>
    <x v="2"/>
    <x v="1"/>
    <x v="5"/>
    <x v="1"/>
    <x v="5"/>
    <x v="0"/>
    <x v="0"/>
    <x v="0"/>
    <x v="2"/>
    <x v="0"/>
    <x v="1"/>
    <x v="2"/>
    <x v="1"/>
    <x v="1"/>
    <x v="1"/>
    <x v="0"/>
    <x v="1"/>
    <x v="0"/>
    <x v="1"/>
    <x v="0"/>
    <x v="2"/>
    <x v="2"/>
    <x v="3"/>
    <x v="5"/>
    <x v="3"/>
    <x v="2"/>
    <x v="2"/>
    <x v="3"/>
    <x v="4"/>
    <x v="5"/>
    <x v="4"/>
    <x v="2"/>
    <x v="2"/>
    <x v="1"/>
    <x v="4"/>
    <x v="5"/>
    <x v="5"/>
    <x v="1"/>
    <x v="2"/>
    <x v="2"/>
    <x v="3"/>
    <x v="1"/>
    <x v="0"/>
    <x v="1"/>
    <x v="3"/>
    <x v="4"/>
    <x v="3"/>
    <x v="1"/>
    <x v="1"/>
    <x v="5"/>
    <x v="2"/>
    <x v="1"/>
    <x v="1"/>
    <x v="5"/>
    <x v="4"/>
    <x v="2"/>
    <x v="2"/>
    <x v="0"/>
    <x v="2"/>
    <x v="4"/>
    <x v="3"/>
    <x v="3"/>
    <x v="4"/>
    <x v="4"/>
    <x v="2"/>
    <x v="5"/>
    <x v="1"/>
    <x v="2"/>
    <x v="1"/>
    <x v="3"/>
    <x v="0"/>
    <s v="falta accion en cualto a la utilizacion del lote "/>
    <n v="20091372008"/>
  </r>
  <r>
    <d v="2017-05-23T19:39:20"/>
    <s v="ashenry.76@gmail.com"/>
    <s v="INGENIERÍA ELÉCTRICA POR CICLOS PROPEDÉUTICOS"/>
    <n v="7"/>
    <x v="2"/>
    <x v="1"/>
    <x v="1"/>
    <x v="1"/>
    <x v="5"/>
    <x v="4"/>
    <x v="4"/>
    <x v="0"/>
    <x v="2"/>
    <x v="0"/>
    <x v="1"/>
    <x v="3"/>
    <x v="3"/>
    <x v="4"/>
    <x v="1"/>
    <x v="3"/>
    <x v="4"/>
    <x v="4"/>
    <x v="2"/>
    <x v="3"/>
    <x v="5"/>
    <x v="4"/>
    <x v="3"/>
    <x v="5"/>
    <x v="5"/>
    <x v="4"/>
    <x v="4"/>
    <x v="5"/>
    <x v="5"/>
    <x v="3"/>
    <x v="4"/>
    <x v="4"/>
    <x v="3"/>
    <x v="4"/>
    <x v="4"/>
    <x v="4"/>
    <x v="4"/>
    <x v="3"/>
    <x v="4"/>
    <x v="0"/>
    <x v="5"/>
    <x v="0"/>
    <x v="2"/>
    <x v="0"/>
    <x v="4"/>
    <x v="2"/>
    <x v="2"/>
    <x v="5"/>
    <x v="3"/>
    <x v="1"/>
    <x v="0"/>
    <x v="2"/>
    <x v="1"/>
    <x v="0"/>
    <x v="2"/>
    <x v="0"/>
    <x v="5"/>
    <x v="3"/>
    <x v="3"/>
    <x v="3"/>
    <x v="0"/>
    <x v="3"/>
    <x v="3"/>
    <x v="2"/>
    <x v="4"/>
    <x v="3"/>
    <x v="0"/>
    <x v="3"/>
    <x v="3"/>
    <x v="3"/>
    <x v="2"/>
    <x v="5"/>
    <x v="0"/>
    <x v="3"/>
    <x v="5"/>
    <x v="3"/>
    <x v="2"/>
    <x v="2"/>
    <x v="0"/>
    <x v="3"/>
    <x v="5"/>
    <x v="0"/>
    <x v="2"/>
    <x v="5"/>
    <x v="4"/>
    <x v="0"/>
    <x v="3"/>
    <x v="2"/>
    <x v="3"/>
    <x v="5"/>
    <x v="4"/>
    <x v="4"/>
    <x v="4"/>
    <x v="5"/>
    <x v="0"/>
    <x v="5"/>
    <x v="2"/>
    <m/>
    <n v="20141372086"/>
  </r>
  <r>
    <d v="2017-05-23T19:41:47"/>
    <s v="andresprada1030@gmail.com"/>
    <s v="INGENIERÍA ELÉCTRICA POR CICLOS PROPEDÉUTICOS"/>
    <n v="1"/>
    <x v="1"/>
    <x v="0"/>
    <x v="1"/>
    <x v="2"/>
    <x v="0"/>
    <x v="1"/>
    <x v="4"/>
    <x v="0"/>
    <x v="1"/>
    <x v="1"/>
    <x v="4"/>
    <x v="4"/>
    <x v="3"/>
    <x v="0"/>
    <x v="2"/>
    <x v="3"/>
    <x v="4"/>
    <x v="3"/>
    <x v="2"/>
    <x v="1"/>
    <x v="2"/>
    <x v="3"/>
    <x v="3"/>
    <x v="4"/>
    <x v="4"/>
    <x v="2"/>
    <x v="3"/>
    <x v="0"/>
    <x v="4"/>
    <x v="2"/>
    <x v="3"/>
    <x v="2"/>
    <x v="2"/>
    <x v="2"/>
    <x v="3"/>
    <x v="2"/>
    <x v="1"/>
    <x v="0"/>
    <x v="3"/>
    <x v="0"/>
    <x v="0"/>
    <x v="0"/>
    <x v="1"/>
    <x v="0"/>
    <x v="3"/>
    <x v="3"/>
    <x v="1"/>
    <x v="1"/>
    <x v="3"/>
    <x v="3"/>
    <x v="5"/>
    <x v="0"/>
    <x v="5"/>
    <x v="0"/>
    <x v="2"/>
    <x v="0"/>
    <x v="5"/>
    <x v="4"/>
    <x v="4"/>
    <x v="0"/>
    <x v="4"/>
    <x v="3"/>
    <x v="4"/>
    <x v="2"/>
    <x v="4"/>
    <x v="3"/>
    <x v="3"/>
    <x v="2"/>
    <x v="0"/>
    <x v="2"/>
    <x v="0"/>
    <x v="0"/>
    <x v="0"/>
    <x v="0"/>
    <x v="5"/>
    <x v="0"/>
    <x v="5"/>
    <x v="2"/>
    <x v="0"/>
    <x v="5"/>
    <x v="4"/>
    <x v="0"/>
    <x v="2"/>
    <x v="2"/>
    <x v="4"/>
    <x v="5"/>
    <x v="5"/>
    <x v="3"/>
    <x v="0"/>
    <x v="2"/>
    <x v="3"/>
    <x v="2"/>
    <x v="2"/>
    <x v="4"/>
    <x v="0"/>
    <x v="3"/>
    <x v="2"/>
    <m/>
    <n v="20171372005"/>
  </r>
  <r>
    <d v="2017-05-23T19:44:00"/>
    <s v="jmsan88@gmail.com"/>
    <s v="INGENIERÍA ELÉCTRICA POR CICLOS PROPEDÉUTICOS"/>
    <n v="1"/>
    <x v="2"/>
    <x v="1"/>
    <x v="2"/>
    <x v="2"/>
    <x v="0"/>
    <x v="4"/>
    <x v="1"/>
    <x v="1"/>
    <x v="0"/>
    <x v="2"/>
    <x v="0"/>
    <x v="3"/>
    <x v="3"/>
    <x v="0"/>
    <x v="4"/>
    <x v="2"/>
    <x v="3"/>
    <x v="2"/>
    <x v="4"/>
    <x v="2"/>
    <x v="2"/>
    <x v="3"/>
    <x v="2"/>
    <x v="4"/>
    <x v="3"/>
    <x v="2"/>
    <x v="2"/>
    <x v="4"/>
    <x v="3"/>
    <x v="5"/>
    <x v="0"/>
    <x v="4"/>
    <x v="0"/>
    <x v="2"/>
    <x v="1"/>
    <x v="1"/>
    <x v="0"/>
    <x v="3"/>
    <x v="4"/>
    <x v="0"/>
    <x v="1"/>
    <x v="0"/>
    <x v="2"/>
    <x v="0"/>
    <x v="0"/>
    <x v="1"/>
    <x v="1"/>
    <x v="1"/>
    <x v="1"/>
    <x v="3"/>
    <x v="1"/>
    <x v="1"/>
    <x v="2"/>
    <x v="0"/>
    <x v="2"/>
    <x v="3"/>
    <x v="4"/>
    <x v="1"/>
    <x v="1"/>
    <x v="2"/>
    <x v="3"/>
    <x v="2"/>
    <x v="3"/>
    <x v="2"/>
    <x v="1"/>
    <x v="1"/>
    <x v="3"/>
    <x v="2"/>
    <x v="0"/>
    <x v="2"/>
    <x v="1"/>
    <x v="5"/>
    <x v="4"/>
    <x v="3"/>
    <x v="5"/>
    <x v="0"/>
    <x v="2"/>
    <x v="2"/>
    <x v="0"/>
    <x v="3"/>
    <x v="4"/>
    <x v="0"/>
    <x v="2"/>
    <x v="2"/>
    <x v="0"/>
    <x v="0"/>
    <x v="2"/>
    <x v="0"/>
    <x v="3"/>
    <x v="2"/>
    <x v="3"/>
    <x v="2"/>
    <x v="2"/>
    <x v="1"/>
    <x v="2"/>
    <x v="0"/>
    <x v="1"/>
    <m/>
    <n v="20171372001"/>
  </r>
  <r>
    <d v="2017-05-23T19:44:16"/>
    <s v="sanmileg@gmail.com"/>
    <s v="INGENIERÍA ELÉCTRICA POR CICLOS PROPEDÉUTICOS"/>
    <n v="1"/>
    <x v="3"/>
    <x v="0"/>
    <x v="2"/>
    <x v="1"/>
    <x v="1"/>
    <x v="0"/>
    <x v="4"/>
    <x v="0"/>
    <x v="2"/>
    <x v="0"/>
    <x v="2"/>
    <x v="2"/>
    <x v="5"/>
    <x v="0"/>
    <x v="3"/>
    <x v="4"/>
    <x v="2"/>
    <x v="2"/>
    <x v="4"/>
    <x v="3"/>
    <x v="3"/>
    <x v="2"/>
    <x v="4"/>
    <x v="3"/>
    <x v="3"/>
    <x v="5"/>
    <x v="5"/>
    <x v="4"/>
    <x v="5"/>
    <x v="5"/>
    <x v="0"/>
    <x v="2"/>
    <x v="3"/>
    <x v="2"/>
    <x v="4"/>
    <x v="0"/>
    <x v="3"/>
    <x v="5"/>
    <x v="5"/>
    <x v="3"/>
    <x v="2"/>
    <x v="1"/>
    <x v="2"/>
    <x v="0"/>
    <x v="2"/>
    <x v="3"/>
    <x v="2"/>
    <x v="4"/>
    <x v="2"/>
    <x v="2"/>
    <x v="3"/>
    <x v="2"/>
    <x v="3"/>
    <x v="0"/>
    <x v="2"/>
    <x v="0"/>
    <x v="5"/>
    <x v="4"/>
    <x v="4"/>
    <x v="3"/>
    <x v="0"/>
    <x v="3"/>
    <x v="4"/>
    <x v="2"/>
    <x v="0"/>
    <x v="1"/>
    <x v="3"/>
    <x v="2"/>
    <x v="0"/>
    <x v="2"/>
    <x v="0"/>
    <x v="0"/>
    <x v="0"/>
    <x v="1"/>
    <x v="2"/>
    <x v="0"/>
    <x v="5"/>
    <x v="2"/>
    <x v="2"/>
    <x v="0"/>
    <x v="2"/>
    <x v="4"/>
    <x v="5"/>
    <x v="5"/>
    <x v="4"/>
    <x v="3"/>
    <x v="4"/>
    <x v="2"/>
    <x v="5"/>
    <x v="2"/>
    <x v="3"/>
    <x v="2"/>
    <x v="2"/>
    <x v="4"/>
    <x v="0"/>
    <x v="5"/>
    <x v="5"/>
    <m/>
    <n v="20162372058"/>
  </r>
  <r>
    <d v="2017-05-23T19:44:25"/>
    <s v="ahurtadob@correo.udistrital.edu.co"/>
    <s v="TECNOLOGÍA EN ELECTRICIDAD"/>
    <n v="1"/>
    <x v="5"/>
    <x v="0"/>
    <x v="1"/>
    <x v="2"/>
    <x v="5"/>
    <x v="1"/>
    <x v="3"/>
    <x v="1"/>
    <x v="1"/>
    <x v="1"/>
    <x v="1"/>
    <x v="1"/>
    <x v="5"/>
    <x v="1"/>
    <x v="2"/>
    <x v="5"/>
    <x v="1"/>
    <x v="1"/>
    <x v="1"/>
    <x v="1"/>
    <x v="1"/>
    <x v="1"/>
    <x v="1"/>
    <x v="3"/>
    <x v="1"/>
    <x v="3"/>
    <x v="2"/>
    <x v="1"/>
    <x v="1"/>
    <x v="0"/>
    <x v="0"/>
    <x v="0"/>
    <x v="0"/>
    <x v="0"/>
    <x v="2"/>
    <x v="1"/>
    <x v="2"/>
    <x v="1"/>
    <x v="1"/>
    <x v="1"/>
    <x v="1"/>
    <x v="0"/>
    <x v="1"/>
    <x v="1"/>
    <x v="0"/>
    <x v="0"/>
    <x v="0"/>
    <x v="1"/>
    <x v="3"/>
    <x v="3"/>
    <x v="2"/>
    <x v="0"/>
    <x v="1"/>
    <x v="2"/>
    <x v="1"/>
    <x v="2"/>
    <x v="2"/>
    <x v="2"/>
    <x v="2"/>
    <x v="1"/>
    <x v="1"/>
    <x v="1"/>
    <x v="1"/>
    <x v="0"/>
    <x v="1"/>
    <x v="2"/>
    <x v="1"/>
    <x v="0"/>
    <x v="2"/>
    <x v="1"/>
    <x v="3"/>
    <x v="2"/>
    <x v="2"/>
    <x v="1"/>
    <x v="0"/>
    <x v="1"/>
    <x v="2"/>
    <x v="1"/>
    <x v="1"/>
    <x v="2"/>
    <x v="2"/>
    <x v="1"/>
    <x v="0"/>
    <x v="0"/>
    <x v="1"/>
    <x v="1"/>
    <x v="1"/>
    <x v="1"/>
    <x v="1"/>
    <x v="0"/>
    <x v="1"/>
    <x v="0"/>
    <x v="0"/>
    <x v="1"/>
    <x v="2"/>
    <x v="0"/>
    <x v="1"/>
    <m/>
    <n v="20171372003"/>
  </r>
  <r>
    <d v="2017-05-23T19:47:45"/>
    <s v="jnntorres@gmail.com"/>
    <s v="INGENIERÍA ELÉCTRICA POR CICLOS PROPEDÉUTICOS"/>
    <n v="1"/>
    <x v="3"/>
    <x v="0"/>
    <x v="1"/>
    <x v="2"/>
    <x v="4"/>
    <x v="1"/>
    <x v="1"/>
    <x v="1"/>
    <x v="0"/>
    <x v="2"/>
    <x v="0"/>
    <x v="2"/>
    <x v="4"/>
    <x v="1"/>
    <x v="1"/>
    <x v="3"/>
    <x v="4"/>
    <x v="3"/>
    <x v="3"/>
    <x v="2"/>
    <x v="2"/>
    <x v="1"/>
    <x v="2"/>
    <x v="4"/>
    <x v="4"/>
    <x v="3"/>
    <x v="3"/>
    <x v="1"/>
    <x v="2"/>
    <x v="1"/>
    <x v="1"/>
    <x v="4"/>
    <x v="2"/>
    <x v="2"/>
    <x v="1"/>
    <x v="2"/>
    <x v="0"/>
    <x v="3"/>
    <x v="1"/>
    <x v="0"/>
    <x v="1"/>
    <x v="0"/>
    <x v="3"/>
    <x v="1"/>
    <x v="0"/>
    <x v="1"/>
    <x v="1"/>
    <x v="1"/>
    <x v="1"/>
    <x v="1"/>
    <x v="3"/>
    <x v="2"/>
    <x v="3"/>
    <x v="1"/>
    <x v="0"/>
    <x v="0"/>
    <x v="2"/>
    <x v="1"/>
    <x v="1"/>
    <x v="0"/>
    <x v="3"/>
    <x v="0"/>
    <x v="3"/>
    <x v="1"/>
    <x v="2"/>
    <x v="2"/>
    <x v="2"/>
    <x v="0"/>
    <x v="1"/>
    <x v="0"/>
    <x v="0"/>
    <x v="4"/>
    <x v="4"/>
    <x v="1"/>
    <x v="3"/>
    <x v="3"/>
    <x v="2"/>
    <x v="2"/>
    <x v="4"/>
    <x v="5"/>
    <x v="0"/>
    <x v="0"/>
    <x v="2"/>
    <x v="2"/>
    <x v="4"/>
    <x v="4"/>
    <x v="4"/>
    <x v="0"/>
    <x v="3"/>
    <x v="2"/>
    <x v="3"/>
    <x v="2"/>
    <x v="2"/>
    <x v="1"/>
    <x v="3"/>
    <x v="2"/>
    <x v="2"/>
    <m/>
    <n v="20171372007"/>
  </r>
  <r>
    <d v="2017-05-23T19:48:13"/>
    <s v="hen_ry26@yahoo.es"/>
    <s v="INGENIERÍA ELÉCTRICA POR CICLOS PROPEDÉUTICOS"/>
    <n v="1"/>
    <x v="1"/>
    <x v="0"/>
    <x v="0"/>
    <x v="1"/>
    <x v="1"/>
    <x v="0"/>
    <x v="1"/>
    <x v="1"/>
    <x v="1"/>
    <x v="2"/>
    <x v="2"/>
    <x v="2"/>
    <x v="2"/>
    <x v="3"/>
    <x v="1"/>
    <x v="2"/>
    <x v="2"/>
    <x v="3"/>
    <x v="1"/>
    <x v="5"/>
    <x v="4"/>
    <x v="5"/>
    <x v="4"/>
    <x v="1"/>
    <x v="4"/>
    <x v="4"/>
    <x v="4"/>
    <x v="1"/>
    <x v="3"/>
    <x v="0"/>
    <x v="4"/>
    <x v="2"/>
    <x v="2"/>
    <x v="2"/>
    <x v="3"/>
    <x v="0"/>
    <x v="0"/>
    <x v="4"/>
    <x v="2"/>
    <x v="1"/>
    <x v="1"/>
    <x v="0"/>
    <x v="3"/>
    <x v="0"/>
    <x v="0"/>
    <x v="1"/>
    <x v="1"/>
    <x v="4"/>
    <x v="3"/>
    <x v="3"/>
    <x v="0"/>
    <x v="2"/>
    <x v="2"/>
    <x v="5"/>
    <x v="0"/>
    <x v="0"/>
    <x v="5"/>
    <x v="4"/>
    <x v="4"/>
    <x v="2"/>
    <x v="1"/>
    <x v="0"/>
    <x v="4"/>
    <x v="2"/>
    <x v="4"/>
    <x v="3"/>
    <x v="0"/>
    <x v="2"/>
    <x v="1"/>
    <x v="2"/>
    <x v="1"/>
    <x v="0"/>
    <x v="4"/>
    <x v="3"/>
    <x v="0"/>
    <x v="1"/>
    <x v="5"/>
    <x v="2"/>
    <x v="1"/>
    <x v="2"/>
    <x v="1"/>
    <x v="1"/>
    <x v="0"/>
    <x v="5"/>
    <x v="4"/>
    <x v="3"/>
    <x v="4"/>
    <x v="0"/>
    <x v="5"/>
    <x v="4"/>
    <x v="5"/>
    <x v="4"/>
    <x v="0"/>
    <x v="0"/>
    <x v="2"/>
    <x v="0"/>
    <x v="1"/>
    <m/>
    <n v="20141372008"/>
  </r>
  <r>
    <d v="2017-05-23T19:50:15"/>
    <s v="ing.apv@hotmail.com"/>
    <s v="INGENIERÍA ELÉCTRICA POR CICLOS PROPEDÉUTICOS"/>
    <n v="2"/>
    <x v="2"/>
    <x v="0"/>
    <x v="2"/>
    <x v="3"/>
    <x v="4"/>
    <x v="4"/>
    <x v="4"/>
    <x v="0"/>
    <x v="2"/>
    <x v="0"/>
    <x v="1"/>
    <x v="2"/>
    <x v="4"/>
    <x v="4"/>
    <x v="5"/>
    <x v="3"/>
    <x v="4"/>
    <x v="2"/>
    <x v="4"/>
    <x v="5"/>
    <x v="3"/>
    <x v="5"/>
    <x v="3"/>
    <x v="3"/>
    <x v="4"/>
    <x v="4"/>
    <x v="2"/>
    <x v="4"/>
    <x v="2"/>
    <x v="0"/>
    <x v="1"/>
    <x v="4"/>
    <x v="3"/>
    <x v="2"/>
    <x v="0"/>
    <x v="3"/>
    <x v="0"/>
    <x v="4"/>
    <x v="0"/>
    <x v="0"/>
    <x v="0"/>
    <x v="1"/>
    <x v="2"/>
    <x v="4"/>
    <x v="2"/>
    <x v="3"/>
    <x v="2"/>
    <x v="5"/>
    <x v="3"/>
    <x v="0"/>
    <x v="0"/>
    <x v="1"/>
    <x v="0"/>
    <x v="0"/>
    <x v="2"/>
    <x v="0"/>
    <x v="5"/>
    <x v="1"/>
    <x v="1"/>
    <x v="0"/>
    <x v="0"/>
    <x v="2"/>
    <x v="3"/>
    <x v="2"/>
    <x v="0"/>
    <x v="3"/>
    <x v="3"/>
    <x v="2"/>
    <x v="3"/>
    <x v="2"/>
    <x v="0"/>
    <x v="0"/>
    <x v="0"/>
    <x v="3"/>
    <x v="2"/>
    <x v="0"/>
    <x v="5"/>
    <x v="3"/>
    <x v="4"/>
    <x v="5"/>
    <x v="5"/>
    <x v="0"/>
    <x v="2"/>
    <x v="2"/>
    <x v="4"/>
    <x v="0"/>
    <x v="2"/>
    <x v="0"/>
    <x v="3"/>
    <x v="2"/>
    <x v="3"/>
    <x v="2"/>
    <x v="2"/>
    <x v="0"/>
    <x v="3"/>
    <x v="2"/>
    <x v="2"/>
    <m/>
    <n v="20172372054"/>
  </r>
  <r>
    <d v="2017-05-23T19:51:49"/>
    <s v="marcerod222@hotmail.com"/>
    <s v="INGENIERÍA ELÉCTRICA POR CICLOS PROPEDÉUTICOS"/>
    <n v="1"/>
    <x v="1"/>
    <x v="0"/>
    <x v="1"/>
    <x v="1"/>
    <x v="5"/>
    <x v="4"/>
    <x v="1"/>
    <x v="0"/>
    <x v="2"/>
    <x v="1"/>
    <x v="4"/>
    <x v="1"/>
    <x v="5"/>
    <x v="4"/>
    <x v="1"/>
    <x v="2"/>
    <x v="3"/>
    <x v="3"/>
    <x v="2"/>
    <x v="1"/>
    <x v="1"/>
    <x v="1"/>
    <x v="1"/>
    <x v="2"/>
    <x v="1"/>
    <x v="4"/>
    <x v="4"/>
    <x v="4"/>
    <x v="2"/>
    <x v="0"/>
    <x v="4"/>
    <x v="2"/>
    <x v="2"/>
    <x v="2"/>
    <x v="1"/>
    <x v="1"/>
    <x v="1"/>
    <x v="1"/>
    <x v="4"/>
    <x v="1"/>
    <x v="1"/>
    <x v="0"/>
    <x v="2"/>
    <x v="1"/>
    <x v="2"/>
    <x v="1"/>
    <x v="1"/>
    <x v="1"/>
    <x v="1"/>
    <x v="5"/>
    <x v="0"/>
    <x v="0"/>
    <x v="5"/>
    <x v="5"/>
    <x v="2"/>
    <x v="0"/>
    <x v="1"/>
    <x v="4"/>
    <x v="4"/>
    <x v="2"/>
    <x v="3"/>
    <x v="0"/>
    <x v="3"/>
    <x v="1"/>
    <x v="2"/>
    <x v="2"/>
    <x v="1"/>
    <x v="2"/>
    <x v="0"/>
    <x v="2"/>
    <x v="1"/>
    <x v="5"/>
    <x v="0"/>
    <x v="4"/>
    <x v="2"/>
    <x v="0"/>
    <x v="2"/>
    <x v="0"/>
    <x v="1"/>
    <x v="2"/>
    <x v="1"/>
    <x v="1"/>
    <x v="0"/>
    <x v="5"/>
    <x v="2"/>
    <x v="0"/>
    <x v="4"/>
    <x v="0"/>
    <x v="1"/>
    <x v="0"/>
    <x v="1"/>
    <x v="0"/>
    <x v="0"/>
    <x v="1"/>
    <x v="1"/>
    <x v="5"/>
    <x v="2"/>
    <s v="Nuestra sede y los programas que ofrece son una gran oportunidad para las personas que necesitan una opción para acceder a la educación, es un aporte inmenso a la sociedad y la población vulnerable. Es el camino para desarrollar el potencial de las personas y sus núcleos sociales. Una semilla en la sociedad."/>
    <n v="20171372004"/>
  </r>
  <r>
    <d v="2017-05-24T10:09:08"/>
    <s v="jejimenezr@correo.udistrital.edu.co"/>
    <s v="INGENIERÍA ELÉCTRICA POR CICLOS PROPEDÉUTICOS"/>
    <n v="1"/>
    <x v="2"/>
    <x v="0"/>
    <x v="2"/>
    <x v="2"/>
    <x v="0"/>
    <x v="4"/>
    <x v="4"/>
    <x v="0"/>
    <x v="0"/>
    <x v="1"/>
    <x v="2"/>
    <x v="2"/>
    <x v="4"/>
    <x v="3"/>
    <x v="3"/>
    <x v="3"/>
    <x v="4"/>
    <x v="4"/>
    <x v="4"/>
    <x v="3"/>
    <x v="3"/>
    <x v="2"/>
    <x v="3"/>
    <x v="5"/>
    <x v="5"/>
    <x v="2"/>
    <x v="4"/>
    <x v="4"/>
    <x v="4"/>
    <x v="5"/>
    <x v="3"/>
    <x v="2"/>
    <x v="3"/>
    <x v="4"/>
    <x v="4"/>
    <x v="3"/>
    <x v="3"/>
    <x v="2"/>
    <x v="4"/>
    <x v="3"/>
    <x v="1"/>
    <x v="0"/>
    <x v="2"/>
    <x v="4"/>
    <x v="5"/>
    <x v="3"/>
    <x v="3"/>
    <x v="4"/>
    <x v="3"/>
    <x v="0"/>
    <x v="0"/>
    <x v="2"/>
    <x v="5"/>
    <x v="5"/>
    <x v="2"/>
    <x v="0"/>
    <x v="3"/>
    <x v="1"/>
    <x v="1"/>
    <x v="2"/>
    <x v="4"/>
    <x v="4"/>
    <x v="5"/>
    <x v="4"/>
    <x v="5"/>
    <x v="4"/>
    <x v="1"/>
    <x v="3"/>
    <x v="3"/>
    <x v="3"/>
    <x v="5"/>
    <x v="0"/>
    <x v="5"/>
    <x v="0"/>
    <x v="3"/>
    <x v="5"/>
    <x v="4"/>
    <x v="4"/>
    <x v="1"/>
    <x v="5"/>
    <x v="2"/>
    <x v="1"/>
    <x v="2"/>
    <x v="2"/>
    <x v="2"/>
    <x v="3"/>
    <x v="3"/>
    <x v="2"/>
    <x v="3"/>
    <x v="2"/>
    <x v="3"/>
    <x v="2"/>
    <x v="5"/>
    <x v="5"/>
    <x v="5"/>
    <x v="3"/>
    <x v="2"/>
    <m/>
    <n v="20171372016"/>
  </r>
  <r>
    <d v="2017-05-24T18:29:27"/>
    <s v="jtolosav@correo.udistrital.edu.co"/>
    <s v="INGENIERÍA ELÉCTRICA POR CICLOS PROPEDÉUTICOS"/>
    <n v="6"/>
    <x v="2"/>
    <x v="1"/>
    <x v="1"/>
    <x v="1"/>
    <x v="2"/>
    <x v="4"/>
    <x v="4"/>
    <x v="2"/>
    <x v="0"/>
    <x v="1"/>
    <x v="1"/>
    <x v="3"/>
    <x v="3"/>
    <x v="4"/>
    <x v="1"/>
    <x v="0"/>
    <x v="0"/>
    <x v="2"/>
    <x v="0"/>
    <x v="2"/>
    <x v="2"/>
    <x v="3"/>
    <x v="2"/>
    <x v="3"/>
    <x v="2"/>
    <x v="0"/>
    <x v="3"/>
    <x v="1"/>
    <x v="2"/>
    <x v="1"/>
    <x v="1"/>
    <x v="0"/>
    <x v="2"/>
    <x v="1"/>
    <x v="1"/>
    <x v="2"/>
    <x v="0"/>
    <x v="3"/>
    <x v="4"/>
    <x v="1"/>
    <x v="1"/>
    <x v="0"/>
    <x v="4"/>
    <x v="0"/>
    <x v="2"/>
    <x v="1"/>
    <x v="1"/>
    <x v="1"/>
    <x v="4"/>
    <x v="1"/>
    <x v="5"/>
    <x v="2"/>
    <x v="4"/>
    <x v="1"/>
    <x v="0"/>
    <x v="1"/>
    <x v="1"/>
    <x v="1"/>
    <x v="1"/>
    <x v="0"/>
    <x v="3"/>
    <x v="2"/>
    <x v="3"/>
    <x v="0"/>
    <x v="0"/>
    <x v="1"/>
    <x v="3"/>
    <x v="0"/>
    <x v="1"/>
    <x v="0"/>
    <x v="1"/>
    <x v="3"/>
    <x v="3"/>
    <x v="5"/>
    <x v="0"/>
    <x v="1"/>
    <x v="1"/>
    <x v="0"/>
    <x v="1"/>
    <x v="5"/>
    <x v="4"/>
    <x v="0"/>
    <x v="2"/>
    <x v="3"/>
    <x v="3"/>
    <x v="0"/>
    <x v="2"/>
    <x v="0"/>
    <x v="3"/>
    <x v="0"/>
    <x v="3"/>
    <x v="2"/>
    <x v="2"/>
    <x v="0"/>
    <x v="3"/>
    <x v="2"/>
    <x v="1"/>
    <m/>
    <n v="20142372014"/>
  </r>
  <r>
    <d v="2017-05-24T18:30:13"/>
    <s v="efmontenegroa@correo.udistrital.edu.co"/>
    <s v="INGENIERÍA ELÉCTRICA POR CICLOS PROPEDÉUTICOS"/>
    <n v="6"/>
    <x v="1"/>
    <x v="2"/>
    <x v="2"/>
    <x v="2"/>
    <x v="1"/>
    <x v="4"/>
    <x v="3"/>
    <x v="0"/>
    <x v="3"/>
    <x v="4"/>
    <x v="2"/>
    <x v="2"/>
    <x v="3"/>
    <x v="3"/>
    <x v="4"/>
    <x v="4"/>
    <x v="0"/>
    <x v="2"/>
    <x v="3"/>
    <x v="3"/>
    <x v="2"/>
    <x v="4"/>
    <x v="1"/>
    <x v="3"/>
    <x v="2"/>
    <x v="0"/>
    <x v="3"/>
    <x v="1"/>
    <x v="4"/>
    <x v="0"/>
    <x v="0"/>
    <x v="2"/>
    <x v="3"/>
    <x v="2"/>
    <x v="3"/>
    <x v="2"/>
    <x v="0"/>
    <x v="2"/>
    <x v="1"/>
    <x v="0"/>
    <x v="1"/>
    <x v="0"/>
    <x v="1"/>
    <x v="0"/>
    <x v="3"/>
    <x v="1"/>
    <x v="2"/>
    <x v="3"/>
    <x v="2"/>
    <x v="0"/>
    <x v="3"/>
    <x v="2"/>
    <x v="1"/>
    <x v="2"/>
    <x v="1"/>
    <x v="0"/>
    <x v="3"/>
    <x v="1"/>
    <x v="2"/>
    <x v="2"/>
    <x v="0"/>
    <x v="3"/>
    <x v="4"/>
    <x v="1"/>
    <x v="0"/>
    <x v="2"/>
    <x v="5"/>
    <x v="3"/>
    <x v="3"/>
    <x v="2"/>
    <x v="1"/>
    <x v="4"/>
    <x v="3"/>
    <x v="1"/>
    <x v="1"/>
    <x v="5"/>
    <x v="2"/>
    <x v="3"/>
    <x v="1"/>
    <x v="5"/>
    <x v="4"/>
    <x v="4"/>
    <x v="4"/>
    <x v="4"/>
    <x v="5"/>
    <x v="4"/>
    <x v="4"/>
    <x v="4"/>
    <x v="3"/>
    <x v="2"/>
    <x v="1"/>
    <x v="0"/>
    <x v="4"/>
    <x v="4"/>
    <x v="3"/>
    <x v="2"/>
    <x v="2"/>
    <m/>
    <n v="20142372047"/>
  </r>
  <r>
    <d v="2017-05-24T18:31:55"/>
    <s v="wfsanchezd@correo.udistrital.edu.co"/>
    <s v="INGENIERÍA ELÉCTRICA POR CICLOS PROPEDÉUTICOS"/>
    <n v="6"/>
    <x v="5"/>
    <x v="0"/>
    <x v="1"/>
    <x v="1"/>
    <x v="2"/>
    <x v="2"/>
    <x v="3"/>
    <x v="2"/>
    <x v="2"/>
    <x v="0"/>
    <x v="0"/>
    <x v="3"/>
    <x v="3"/>
    <x v="4"/>
    <x v="3"/>
    <x v="3"/>
    <x v="4"/>
    <x v="2"/>
    <x v="4"/>
    <x v="2"/>
    <x v="2"/>
    <x v="3"/>
    <x v="2"/>
    <x v="4"/>
    <x v="4"/>
    <x v="4"/>
    <x v="4"/>
    <x v="5"/>
    <x v="5"/>
    <x v="5"/>
    <x v="0"/>
    <x v="2"/>
    <x v="3"/>
    <x v="4"/>
    <x v="4"/>
    <x v="2"/>
    <x v="3"/>
    <x v="2"/>
    <x v="0"/>
    <x v="0"/>
    <x v="0"/>
    <x v="1"/>
    <x v="3"/>
    <x v="3"/>
    <x v="0"/>
    <x v="1"/>
    <x v="1"/>
    <x v="5"/>
    <x v="0"/>
    <x v="0"/>
    <x v="0"/>
    <x v="1"/>
    <x v="5"/>
    <x v="1"/>
    <x v="5"/>
    <x v="3"/>
    <x v="1"/>
    <x v="4"/>
    <x v="4"/>
    <x v="0"/>
    <x v="0"/>
    <x v="2"/>
    <x v="4"/>
    <x v="2"/>
    <x v="1"/>
    <x v="1"/>
    <x v="3"/>
    <x v="2"/>
    <x v="0"/>
    <x v="2"/>
    <x v="0"/>
    <x v="0"/>
    <x v="4"/>
    <x v="3"/>
    <x v="5"/>
    <x v="0"/>
    <x v="5"/>
    <x v="2"/>
    <x v="2"/>
    <x v="5"/>
    <x v="4"/>
    <x v="5"/>
    <x v="4"/>
    <x v="2"/>
    <x v="5"/>
    <x v="4"/>
    <x v="3"/>
    <x v="2"/>
    <x v="5"/>
    <x v="4"/>
    <x v="5"/>
    <x v="5"/>
    <x v="2"/>
    <x v="5"/>
    <x v="5"/>
    <x v="3"/>
    <x v="3"/>
    <m/>
    <n v="20142372048"/>
  </r>
  <r>
    <d v="2017-05-24T18:32:10"/>
    <s v="carareyesg@correo.udistrital.edu.co"/>
    <s v="INGENIERÍA ELÉCTRICA POR CICLOS PROPEDÉUTICOS"/>
    <n v="9"/>
    <x v="3"/>
    <x v="3"/>
    <x v="2"/>
    <x v="5"/>
    <x v="1"/>
    <x v="0"/>
    <x v="1"/>
    <x v="1"/>
    <x v="1"/>
    <x v="2"/>
    <x v="3"/>
    <x v="2"/>
    <x v="4"/>
    <x v="3"/>
    <x v="5"/>
    <x v="4"/>
    <x v="2"/>
    <x v="1"/>
    <x v="5"/>
    <x v="4"/>
    <x v="1"/>
    <x v="5"/>
    <x v="4"/>
    <x v="5"/>
    <x v="2"/>
    <x v="1"/>
    <x v="5"/>
    <x v="5"/>
    <x v="5"/>
    <x v="3"/>
    <x v="2"/>
    <x v="1"/>
    <x v="0"/>
    <x v="5"/>
    <x v="2"/>
    <x v="1"/>
    <x v="3"/>
    <x v="1"/>
    <x v="5"/>
    <x v="1"/>
    <x v="1"/>
    <x v="0"/>
    <x v="1"/>
    <x v="4"/>
    <x v="1"/>
    <x v="0"/>
    <x v="4"/>
    <x v="2"/>
    <x v="4"/>
    <x v="5"/>
    <x v="2"/>
    <x v="2"/>
    <x v="3"/>
    <x v="3"/>
    <x v="4"/>
    <x v="5"/>
    <x v="2"/>
    <x v="2"/>
    <x v="2"/>
    <x v="1"/>
    <x v="2"/>
    <x v="1"/>
    <x v="5"/>
    <x v="3"/>
    <x v="2"/>
    <x v="2"/>
    <x v="2"/>
    <x v="1"/>
    <x v="2"/>
    <x v="1"/>
    <x v="3"/>
    <x v="4"/>
    <x v="5"/>
    <x v="1"/>
    <x v="1"/>
    <x v="2"/>
    <x v="1"/>
    <x v="1"/>
    <x v="1"/>
    <x v="1"/>
    <x v="0"/>
    <x v="2"/>
    <x v="0"/>
    <x v="4"/>
    <x v="4"/>
    <x v="2"/>
    <x v="4"/>
    <x v="5"/>
    <x v="2"/>
    <x v="1"/>
    <x v="1"/>
    <x v="1"/>
    <x v="1"/>
    <x v="2"/>
    <x v="1"/>
    <x v="1"/>
    <x v="0"/>
    <m/>
    <n v="20131372010"/>
  </r>
  <r>
    <d v="2017-05-24T18:33:04"/>
    <s v="nfernando_vera@hotmail.com"/>
    <s v="INGENIERÍA ELÉCTRICA POR CICLOS PROPEDÉUTICOS"/>
    <n v="10"/>
    <x v="2"/>
    <x v="0"/>
    <x v="1"/>
    <x v="2"/>
    <x v="4"/>
    <x v="1"/>
    <x v="1"/>
    <x v="1"/>
    <x v="0"/>
    <x v="2"/>
    <x v="4"/>
    <x v="2"/>
    <x v="5"/>
    <x v="1"/>
    <x v="1"/>
    <x v="2"/>
    <x v="3"/>
    <x v="3"/>
    <x v="3"/>
    <x v="2"/>
    <x v="1"/>
    <x v="1"/>
    <x v="1"/>
    <x v="1"/>
    <x v="3"/>
    <x v="1"/>
    <x v="1"/>
    <x v="5"/>
    <x v="2"/>
    <x v="0"/>
    <x v="0"/>
    <x v="0"/>
    <x v="2"/>
    <x v="1"/>
    <x v="1"/>
    <x v="2"/>
    <x v="0"/>
    <x v="3"/>
    <x v="4"/>
    <x v="1"/>
    <x v="1"/>
    <x v="0"/>
    <x v="0"/>
    <x v="0"/>
    <x v="1"/>
    <x v="1"/>
    <x v="1"/>
    <x v="1"/>
    <x v="1"/>
    <x v="4"/>
    <x v="5"/>
    <x v="2"/>
    <x v="0"/>
    <x v="2"/>
    <x v="1"/>
    <x v="2"/>
    <x v="3"/>
    <x v="4"/>
    <x v="4"/>
    <x v="0"/>
    <x v="1"/>
    <x v="2"/>
    <x v="3"/>
    <x v="0"/>
    <x v="1"/>
    <x v="1"/>
    <x v="1"/>
    <x v="0"/>
    <x v="1"/>
    <x v="0"/>
    <x v="1"/>
    <x v="2"/>
    <x v="4"/>
    <x v="1"/>
    <x v="0"/>
    <x v="1"/>
    <x v="0"/>
    <x v="0"/>
    <x v="2"/>
    <x v="5"/>
    <x v="4"/>
    <x v="1"/>
    <x v="0"/>
    <x v="5"/>
    <x v="0"/>
    <x v="0"/>
    <x v="2"/>
    <x v="0"/>
    <x v="1"/>
    <x v="0"/>
    <x v="1"/>
    <x v="0"/>
    <x v="2"/>
    <x v="1"/>
    <x v="0"/>
    <x v="3"/>
    <x v="3"/>
    <m/>
    <n v="20072272028"/>
  </r>
  <r>
    <d v="2017-05-24T18:35:52"/>
    <s v="je_bj21@hotmail.com"/>
    <s v="INGENIERÍA ELÉCTRICA POR CICLOS PROPEDÉUTICOS"/>
    <n v="2"/>
    <x v="1"/>
    <x v="0"/>
    <x v="1"/>
    <x v="0"/>
    <x v="4"/>
    <x v="2"/>
    <x v="3"/>
    <x v="1"/>
    <x v="2"/>
    <x v="1"/>
    <x v="0"/>
    <x v="2"/>
    <x v="5"/>
    <x v="0"/>
    <x v="1"/>
    <x v="2"/>
    <x v="3"/>
    <x v="3"/>
    <x v="3"/>
    <x v="2"/>
    <x v="2"/>
    <x v="3"/>
    <x v="1"/>
    <x v="3"/>
    <x v="2"/>
    <x v="0"/>
    <x v="1"/>
    <x v="1"/>
    <x v="1"/>
    <x v="1"/>
    <x v="2"/>
    <x v="1"/>
    <x v="0"/>
    <x v="2"/>
    <x v="3"/>
    <x v="0"/>
    <x v="0"/>
    <x v="1"/>
    <x v="1"/>
    <x v="1"/>
    <x v="1"/>
    <x v="0"/>
    <x v="1"/>
    <x v="3"/>
    <x v="0"/>
    <x v="0"/>
    <x v="1"/>
    <x v="3"/>
    <x v="5"/>
    <x v="5"/>
    <x v="3"/>
    <x v="2"/>
    <x v="0"/>
    <x v="2"/>
    <x v="1"/>
    <x v="2"/>
    <x v="5"/>
    <x v="2"/>
    <x v="2"/>
    <x v="1"/>
    <x v="3"/>
    <x v="1"/>
    <x v="1"/>
    <x v="0"/>
    <x v="1"/>
    <x v="2"/>
    <x v="2"/>
    <x v="0"/>
    <x v="1"/>
    <x v="0"/>
    <x v="1"/>
    <x v="0"/>
    <x v="2"/>
    <x v="1"/>
    <x v="0"/>
    <x v="0"/>
    <x v="0"/>
    <x v="3"/>
    <x v="0"/>
    <x v="0"/>
    <x v="1"/>
    <x v="1"/>
    <x v="0"/>
    <x v="1"/>
    <x v="0"/>
    <x v="1"/>
    <x v="1"/>
    <x v="1"/>
    <x v="1"/>
    <x v="0"/>
    <x v="1"/>
    <x v="0"/>
    <x v="0"/>
    <x v="1"/>
    <x v="2"/>
    <x v="0"/>
    <x v="1"/>
    <m/>
    <n v="20131372029"/>
  </r>
  <r>
    <d v="2017-05-24T18:38:37"/>
    <s v="gsgerenat@correo.udistrital.edu.co"/>
    <s v="INGENIERÍA ELÉCTRICA POR CICLOS PROPEDÉUTICOS"/>
    <n v="6"/>
    <x v="1"/>
    <x v="0"/>
    <x v="2"/>
    <x v="2"/>
    <x v="1"/>
    <x v="4"/>
    <x v="5"/>
    <x v="4"/>
    <x v="2"/>
    <x v="1"/>
    <x v="1"/>
    <x v="2"/>
    <x v="0"/>
    <x v="3"/>
    <x v="3"/>
    <x v="3"/>
    <x v="4"/>
    <x v="2"/>
    <x v="2"/>
    <x v="3"/>
    <x v="5"/>
    <x v="2"/>
    <x v="1"/>
    <x v="3"/>
    <x v="3"/>
    <x v="1"/>
    <x v="3"/>
    <x v="1"/>
    <x v="1"/>
    <x v="1"/>
    <x v="2"/>
    <x v="2"/>
    <x v="1"/>
    <x v="2"/>
    <x v="3"/>
    <x v="2"/>
    <x v="1"/>
    <x v="2"/>
    <x v="2"/>
    <x v="3"/>
    <x v="1"/>
    <x v="0"/>
    <x v="1"/>
    <x v="0"/>
    <x v="0"/>
    <x v="0"/>
    <x v="2"/>
    <x v="3"/>
    <x v="5"/>
    <x v="4"/>
    <x v="3"/>
    <x v="2"/>
    <x v="4"/>
    <x v="1"/>
    <x v="0"/>
    <x v="1"/>
    <x v="2"/>
    <x v="4"/>
    <x v="1"/>
    <x v="0"/>
    <x v="3"/>
    <x v="2"/>
    <x v="1"/>
    <x v="1"/>
    <x v="0"/>
    <x v="1"/>
    <x v="3"/>
    <x v="0"/>
    <x v="1"/>
    <x v="0"/>
    <x v="1"/>
    <x v="0"/>
    <x v="3"/>
    <x v="1"/>
    <x v="0"/>
    <x v="1"/>
    <x v="0"/>
    <x v="3"/>
    <x v="1"/>
    <x v="5"/>
    <x v="3"/>
    <x v="1"/>
    <x v="0"/>
    <x v="2"/>
    <x v="4"/>
    <x v="4"/>
    <x v="2"/>
    <x v="2"/>
    <x v="4"/>
    <x v="2"/>
    <x v="1"/>
    <x v="0"/>
    <x v="2"/>
    <x v="0"/>
    <x v="2"/>
    <x v="0"/>
    <x v="2"/>
    <s v="Podemos mejorar y fortalecer los vínculos entre la academia y la comunidad. Es preciso poner nuestras capacidades al servicio de la gente. Solucionar problemas de nuestro entorno cercano  en temas como aprovechamiento del agua, la energía y para aumentar la calidad de vida de la población. Debemos cuidarnos de llegar a ser sólo una máquina que suministra mano de obra a multinacionales que no retornan los beneficios suficientes al país.      "/>
    <n v="20142372010"/>
  </r>
  <r>
    <d v="2017-05-24T21:16:13"/>
    <s v="nikobiker0357@gmail.com"/>
    <s v="TECNOLOGÍA EN SISTEMAS ELÉCTRICOS DE MEDIA Y BAJA TENSIÓN POR CICLOS PROPEDÉUTICOS"/>
    <n v="1"/>
    <x v="2"/>
    <x v="2"/>
    <x v="1"/>
    <x v="1"/>
    <x v="5"/>
    <x v="1"/>
    <x v="1"/>
    <x v="2"/>
    <x v="1"/>
    <x v="1"/>
    <x v="4"/>
    <x v="2"/>
    <x v="3"/>
    <x v="2"/>
    <x v="3"/>
    <x v="3"/>
    <x v="4"/>
    <x v="3"/>
    <x v="3"/>
    <x v="3"/>
    <x v="2"/>
    <x v="2"/>
    <x v="3"/>
    <x v="4"/>
    <x v="1"/>
    <x v="2"/>
    <x v="3"/>
    <x v="3"/>
    <x v="4"/>
    <x v="0"/>
    <x v="3"/>
    <x v="1"/>
    <x v="0"/>
    <x v="2"/>
    <x v="1"/>
    <x v="0"/>
    <x v="2"/>
    <x v="1"/>
    <x v="4"/>
    <x v="0"/>
    <x v="1"/>
    <x v="0"/>
    <x v="1"/>
    <x v="3"/>
    <x v="1"/>
    <x v="0"/>
    <x v="2"/>
    <x v="1"/>
    <x v="3"/>
    <x v="0"/>
    <x v="5"/>
    <x v="1"/>
    <x v="2"/>
    <x v="5"/>
    <x v="5"/>
    <x v="3"/>
    <x v="5"/>
    <x v="4"/>
    <x v="4"/>
    <x v="0"/>
    <x v="3"/>
    <x v="3"/>
    <x v="4"/>
    <x v="2"/>
    <x v="3"/>
    <x v="2"/>
    <x v="3"/>
    <x v="3"/>
    <x v="0"/>
    <x v="2"/>
    <x v="0"/>
    <x v="5"/>
    <x v="2"/>
    <x v="1"/>
    <x v="1"/>
    <x v="2"/>
    <x v="1"/>
    <x v="1"/>
    <x v="0"/>
    <x v="4"/>
    <x v="1"/>
    <x v="5"/>
    <x v="0"/>
    <x v="4"/>
    <x v="2"/>
    <x v="5"/>
    <x v="3"/>
    <x v="3"/>
    <x v="4"/>
    <x v="2"/>
    <x v="0"/>
    <x v="4"/>
    <x v="3"/>
    <x v="3"/>
    <x v="2"/>
    <x v="0"/>
    <x v="2"/>
    <m/>
    <n v="20171772034"/>
  </r>
  <r>
    <d v="2017-05-25T20:45:34"/>
    <s v="cristiangh3196@gmail.com"/>
    <s v="TECNOLOGÍA EN SISTEMAS ELÉCTRICOS DE MEDIA Y BAJA TENSIÓN POR CICLOS PROPEDÉUTICOS"/>
    <n v="1"/>
    <x v="1"/>
    <x v="2"/>
    <x v="1"/>
    <x v="2"/>
    <x v="1"/>
    <x v="0"/>
    <x v="1"/>
    <x v="2"/>
    <x v="2"/>
    <x v="1"/>
    <x v="2"/>
    <x v="3"/>
    <x v="5"/>
    <x v="1"/>
    <x v="1"/>
    <x v="3"/>
    <x v="4"/>
    <x v="3"/>
    <x v="4"/>
    <x v="2"/>
    <x v="2"/>
    <x v="3"/>
    <x v="2"/>
    <x v="1"/>
    <x v="2"/>
    <x v="0"/>
    <x v="3"/>
    <x v="0"/>
    <x v="0"/>
    <x v="5"/>
    <x v="1"/>
    <x v="2"/>
    <x v="2"/>
    <x v="1"/>
    <x v="1"/>
    <x v="2"/>
    <x v="1"/>
    <x v="3"/>
    <x v="1"/>
    <x v="1"/>
    <x v="0"/>
    <x v="0"/>
    <x v="2"/>
    <x v="1"/>
    <x v="0"/>
    <x v="1"/>
    <x v="1"/>
    <x v="1"/>
    <x v="3"/>
    <x v="0"/>
    <x v="0"/>
    <x v="0"/>
    <x v="0"/>
    <x v="1"/>
    <x v="1"/>
    <x v="1"/>
    <x v="5"/>
    <x v="4"/>
    <x v="1"/>
    <x v="4"/>
    <x v="0"/>
    <x v="3"/>
    <x v="1"/>
    <x v="0"/>
    <x v="1"/>
    <x v="1"/>
    <x v="1"/>
    <x v="3"/>
    <x v="1"/>
    <x v="0"/>
    <x v="1"/>
    <x v="0"/>
    <x v="4"/>
    <x v="3"/>
    <x v="0"/>
    <x v="1"/>
    <x v="0"/>
    <x v="0"/>
    <x v="1"/>
    <x v="2"/>
    <x v="2"/>
    <x v="0"/>
    <x v="2"/>
    <x v="5"/>
    <x v="4"/>
    <x v="3"/>
    <x v="3"/>
    <x v="3"/>
    <x v="3"/>
    <x v="2"/>
    <x v="3"/>
    <x v="2"/>
    <x v="2"/>
    <x v="4"/>
    <x v="5"/>
    <x v="3"/>
    <x v="3"/>
    <m/>
    <n v="20171772003"/>
  </r>
  <r>
    <d v="2017-06-01T21:42:57"/>
    <s v="cristianmoralesm41@gmail.com"/>
    <s v="TECNOLOGÍA EN SISTEMAS ELÉCTRICOS DE MEDIA Y BAJA TENSIÓN POR CICLOS PROPEDÉUTICOS"/>
    <n v="1"/>
    <x v="1"/>
    <x v="0"/>
    <x v="1"/>
    <x v="1"/>
    <x v="1"/>
    <x v="1"/>
    <x v="4"/>
    <x v="0"/>
    <x v="0"/>
    <x v="1"/>
    <x v="4"/>
    <x v="4"/>
    <x v="5"/>
    <x v="1"/>
    <x v="2"/>
    <x v="1"/>
    <x v="1"/>
    <x v="3"/>
    <x v="3"/>
    <x v="2"/>
    <x v="2"/>
    <x v="3"/>
    <x v="3"/>
    <x v="1"/>
    <x v="1"/>
    <x v="3"/>
    <x v="3"/>
    <x v="3"/>
    <x v="2"/>
    <x v="5"/>
    <x v="0"/>
    <x v="0"/>
    <x v="2"/>
    <x v="1"/>
    <x v="1"/>
    <x v="2"/>
    <x v="1"/>
    <x v="3"/>
    <x v="1"/>
    <x v="1"/>
    <x v="1"/>
    <x v="0"/>
    <x v="1"/>
    <x v="1"/>
    <x v="0"/>
    <x v="1"/>
    <x v="1"/>
    <x v="1"/>
    <x v="5"/>
    <x v="3"/>
    <x v="1"/>
    <x v="2"/>
    <x v="2"/>
    <x v="1"/>
    <x v="0"/>
    <x v="1"/>
    <x v="2"/>
    <x v="2"/>
    <x v="1"/>
    <x v="0"/>
    <x v="5"/>
    <x v="1"/>
    <x v="0"/>
    <x v="1"/>
    <x v="2"/>
    <x v="2"/>
    <x v="1"/>
    <x v="0"/>
    <x v="1"/>
    <x v="0"/>
    <x v="1"/>
    <x v="2"/>
    <x v="2"/>
    <x v="5"/>
    <x v="0"/>
    <x v="1"/>
    <x v="0"/>
    <x v="0"/>
    <x v="0"/>
    <x v="0"/>
    <x v="1"/>
    <x v="1"/>
    <x v="0"/>
    <x v="1"/>
    <x v="0"/>
    <x v="1"/>
    <x v="1"/>
    <x v="1"/>
    <x v="4"/>
    <x v="0"/>
    <x v="1"/>
    <x v="0"/>
    <x v="0"/>
    <x v="1"/>
    <x v="3"/>
    <x v="2"/>
    <x v="1"/>
    <m/>
    <n v="20171772001"/>
  </r>
  <r>
    <d v="2017-06-02T12:28:44"/>
    <s v="camisant10@hotmail.com"/>
    <s v="INGENIERÍA ELÉCTRICA POR CICLOS PROPEDÉUTICOS"/>
    <n v="7"/>
    <x v="3"/>
    <x v="1"/>
    <x v="2"/>
    <x v="2"/>
    <x v="1"/>
    <x v="2"/>
    <x v="1"/>
    <x v="0"/>
    <x v="2"/>
    <x v="0"/>
    <x v="4"/>
    <x v="2"/>
    <x v="3"/>
    <x v="4"/>
    <x v="3"/>
    <x v="3"/>
    <x v="2"/>
    <x v="2"/>
    <x v="4"/>
    <x v="5"/>
    <x v="5"/>
    <x v="4"/>
    <x v="3"/>
    <x v="3"/>
    <x v="4"/>
    <x v="2"/>
    <x v="2"/>
    <x v="0"/>
    <x v="2"/>
    <x v="0"/>
    <x v="0"/>
    <x v="5"/>
    <x v="1"/>
    <x v="2"/>
    <x v="4"/>
    <x v="0"/>
    <x v="0"/>
    <x v="2"/>
    <x v="4"/>
    <x v="0"/>
    <x v="0"/>
    <x v="0"/>
    <x v="2"/>
    <x v="3"/>
    <x v="2"/>
    <x v="3"/>
    <x v="2"/>
    <x v="4"/>
    <x v="0"/>
    <x v="2"/>
    <x v="0"/>
    <x v="2"/>
    <x v="4"/>
    <x v="0"/>
    <x v="2"/>
    <x v="0"/>
    <x v="1"/>
    <x v="1"/>
    <x v="4"/>
    <x v="2"/>
    <x v="3"/>
    <x v="2"/>
    <x v="3"/>
    <x v="2"/>
    <x v="0"/>
    <x v="3"/>
    <x v="3"/>
    <x v="2"/>
    <x v="0"/>
    <x v="2"/>
    <x v="0"/>
    <x v="0"/>
    <x v="0"/>
    <x v="3"/>
    <x v="4"/>
    <x v="4"/>
    <x v="3"/>
    <x v="5"/>
    <x v="2"/>
    <x v="5"/>
    <x v="4"/>
    <x v="5"/>
    <x v="2"/>
    <x v="2"/>
    <x v="4"/>
    <x v="5"/>
    <x v="5"/>
    <x v="3"/>
    <x v="0"/>
    <x v="5"/>
    <x v="3"/>
    <x v="2"/>
    <x v="3"/>
    <x v="3"/>
    <x v="3"/>
    <x v="2"/>
    <x v="2"/>
    <m/>
    <n v="20141372056"/>
  </r>
  <r>
    <d v="2017-06-02T12:29:04"/>
    <s v="eduar.gr@gmail.com"/>
    <s v="INGENIERÍA ELÉCTRICA POR CICLOS PROPEDÉUTICOS"/>
    <n v="10"/>
    <x v="3"/>
    <x v="2"/>
    <x v="0"/>
    <x v="2"/>
    <x v="1"/>
    <x v="4"/>
    <x v="1"/>
    <x v="1"/>
    <x v="2"/>
    <x v="0"/>
    <x v="2"/>
    <x v="2"/>
    <x v="3"/>
    <x v="1"/>
    <x v="3"/>
    <x v="2"/>
    <x v="3"/>
    <x v="1"/>
    <x v="3"/>
    <x v="2"/>
    <x v="2"/>
    <x v="3"/>
    <x v="2"/>
    <x v="3"/>
    <x v="3"/>
    <x v="0"/>
    <x v="5"/>
    <x v="1"/>
    <x v="5"/>
    <x v="1"/>
    <x v="3"/>
    <x v="1"/>
    <x v="2"/>
    <x v="2"/>
    <x v="4"/>
    <x v="0"/>
    <x v="0"/>
    <x v="1"/>
    <x v="1"/>
    <x v="1"/>
    <x v="1"/>
    <x v="0"/>
    <x v="1"/>
    <x v="0"/>
    <x v="1"/>
    <x v="3"/>
    <x v="1"/>
    <x v="0"/>
    <x v="2"/>
    <x v="2"/>
    <x v="5"/>
    <x v="2"/>
    <x v="4"/>
    <x v="2"/>
    <x v="1"/>
    <x v="1"/>
    <x v="5"/>
    <x v="1"/>
    <x v="1"/>
    <x v="0"/>
    <x v="0"/>
    <x v="2"/>
    <x v="1"/>
    <x v="0"/>
    <x v="1"/>
    <x v="1"/>
    <x v="1"/>
    <x v="0"/>
    <x v="1"/>
    <x v="0"/>
    <x v="0"/>
    <x v="0"/>
    <x v="4"/>
    <x v="1"/>
    <x v="0"/>
    <x v="5"/>
    <x v="2"/>
    <x v="3"/>
    <x v="4"/>
    <x v="5"/>
    <x v="4"/>
    <x v="0"/>
    <x v="2"/>
    <x v="2"/>
    <x v="2"/>
    <x v="4"/>
    <x v="3"/>
    <x v="2"/>
    <x v="5"/>
    <x v="4"/>
    <x v="5"/>
    <x v="5"/>
    <x v="0"/>
    <x v="1"/>
    <x v="2"/>
    <x v="0"/>
    <x v="2"/>
    <m/>
    <n v="20111372047"/>
  </r>
  <r>
    <d v="2017-06-02T12:35:43"/>
    <s v="cesar.m.19@hotmail.com"/>
    <s v="INGENIERÍA ELÉCTRICA POR CICLOS PROPEDÉUTICOS"/>
    <n v="1"/>
    <x v="3"/>
    <x v="0"/>
    <x v="1"/>
    <x v="0"/>
    <x v="0"/>
    <x v="2"/>
    <x v="1"/>
    <x v="1"/>
    <x v="2"/>
    <x v="2"/>
    <x v="1"/>
    <x v="1"/>
    <x v="4"/>
    <x v="1"/>
    <x v="1"/>
    <x v="5"/>
    <x v="1"/>
    <x v="3"/>
    <x v="1"/>
    <x v="2"/>
    <x v="1"/>
    <x v="3"/>
    <x v="1"/>
    <x v="3"/>
    <x v="1"/>
    <x v="1"/>
    <x v="3"/>
    <x v="1"/>
    <x v="4"/>
    <x v="1"/>
    <x v="2"/>
    <x v="0"/>
    <x v="0"/>
    <x v="1"/>
    <x v="1"/>
    <x v="1"/>
    <x v="1"/>
    <x v="2"/>
    <x v="2"/>
    <x v="1"/>
    <x v="1"/>
    <x v="0"/>
    <x v="1"/>
    <x v="1"/>
    <x v="2"/>
    <x v="0"/>
    <x v="2"/>
    <x v="4"/>
    <x v="5"/>
    <x v="1"/>
    <x v="2"/>
    <x v="4"/>
    <x v="2"/>
    <x v="2"/>
    <x v="0"/>
    <x v="2"/>
    <x v="1"/>
    <x v="2"/>
    <x v="2"/>
    <x v="1"/>
    <x v="2"/>
    <x v="1"/>
    <x v="2"/>
    <x v="0"/>
    <x v="2"/>
    <x v="3"/>
    <x v="3"/>
    <x v="1"/>
    <x v="1"/>
    <x v="1"/>
    <x v="3"/>
    <x v="1"/>
    <x v="2"/>
    <x v="5"/>
    <x v="1"/>
    <x v="1"/>
    <x v="1"/>
    <x v="0"/>
    <x v="1"/>
    <x v="2"/>
    <x v="2"/>
    <x v="0"/>
    <x v="1"/>
    <x v="0"/>
    <x v="1"/>
    <x v="1"/>
    <x v="2"/>
    <x v="0"/>
    <x v="3"/>
    <x v="2"/>
    <x v="3"/>
    <x v="2"/>
    <x v="2"/>
    <x v="0"/>
    <x v="2"/>
    <x v="1"/>
    <x v="0"/>
    <m/>
    <n v="20162372041"/>
  </r>
  <r>
    <d v="2017-06-02T13:37:02"/>
    <s v="crisal007@hotmail.com"/>
    <s v="TECNOLOGÍA EN ELECTRICIDAD"/>
    <n v="2"/>
    <x v="1"/>
    <x v="1"/>
    <x v="1"/>
    <x v="0"/>
    <x v="2"/>
    <x v="4"/>
    <x v="4"/>
    <x v="0"/>
    <x v="0"/>
    <x v="4"/>
    <x v="2"/>
    <x v="2"/>
    <x v="4"/>
    <x v="4"/>
    <x v="4"/>
    <x v="2"/>
    <x v="2"/>
    <x v="3"/>
    <x v="2"/>
    <x v="3"/>
    <x v="3"/>
    <x v="2"/>
    <x v="2"/>
    <x v="2"/>
    <x v="4"/>
    <x v="3"/>
    <x v="2"/>
    <x v="1"/>
    <x v="2"/>
    <x v="1"/>
    <x v="1"/>
    <x v="2"/>
    <x v="1"/>
    <x v="2"/>
    <x v="3"/>
    <x v="4"/>
    <x v="3"/>
    <x v="3"/>
    <x v="4"/>
    <x v="0"/>
    <x v="1"/>
    <x v="1"/>
    <x v="1"/>
    <x v="3"/>
    <x v="0"/>
    <x v="1"/>
    <x v="2"/>
    <x v="4"/>
    <x v="4"/>
    <x v="5"/>
    <x v="5"/>
    <x v="2"/>
    <x v="4"/>
    <x v="3"/>
    <x v="5"/>
    <x v="3"/>
    <x v="4"/>
    <x v="3"/>
    <x v="3"/>
    <x v="2"/>
    <x v="4"/>
    <x v="4"/>
    <x v="5"/>
    <x v="4"/>
    <x v="0"/>
    <x v="3"/>
    <x v="1"/>
    <x v="5"/>
    <x v="4"/>
    <x v="3"/>
    <x v="4"/>
    <x v="5"/>
    <x v="5"/>
    <x v="1"/>
    <x v="0"/>
    <x v="3"/>
    <x v="2"/>
    <x v="0"/>
    <x v="1"/>
    <x v="5"/>
    <x v="2"/>
    <x v="1"/>
    <x v="0"/>
    <x v="5"/>
    <x v="5"/>
    <x v="3"/>
    <x v="4"/>
    <x v="5"/>
    <x v="1"/>
    <x v="0"/>
    <x v="3"/>
    <x v="0"/>
    <x v="3"/>
    <x v="3"/>
    <x v="3"/>
    <x v="2"/>
    <x v="2"/>
    <m/>
    <n v="20122072089"/>
  </r>
  <r>
    <d v="2017-06-02T14:33:39"/>
    <s v="migarodrigueza@correo.udistrital.edu.co"/>
    <s v="TECNOLOGÍA EN ELECTRICIDAD"/>
    <n v="9"/>
    <x v="4"/>
    <x v="0"/>
    <x v="0"/>
    <x v="2"/>
    <x v="1"/>
    <x v="0"/>
    <x v="4"/>
    <x v="2"/>
    <x v="2"/>
    <x v="1"/>
    <x v="2"/>
    <x v="2"/>
    <x v="4"/>
    <x v="0"/>
    <x v="3"/>
    <x v="2"/>
    <x v="3"/>
    <x v="2"/>
    <x v="3"/>
    <x v="2"/>
    <x v="2"/>
    <x v="3"/>
    <x v="2"/>
    <x v="4"/>
    <x v="4"/>
    <x v="2"/>
    <x v="4"/>
    <x v="0"/>
    <x v="5"/>
    <x v="5"/>
    <x v="0"/>
    <x v="5"/>
    <x v="1"/>
    <x v="4"/>
    <x v="3"/>
    <x v="0"/>
    <x v="0"/>
    <x v="1"/>
    <x v="4"/>
    <x v="1"/>
    <x v="2"/>
    <x v="4"/>
    <x v="2"/>
    <x v="0"/>
    <x v="2"/>
    <x v="3"/>
    <x v="1"/>
    <x v="3"/>
    <x v="5"/>
    <x v="2"/>
    <x v="5"/>
    <x v="4"/>
    <x v="4"/>
    <x v="5"/>
    <x v="5"/>
    <x v="5"/>
    <x v="3"/>
    <x v="5"/>
    <x v="5"/>
    <x v="0"/>
    <x v="0"/>
    <x v="3"/>
    <x v="4"/>
    <x v="2"/>
    <x v="0"/>
    <x v="1"/>
    <x v="0"/>
    <x v="3"/>
    <x v="3"/>
    <x v="3"/>
    <x v="2"/>
    <x v="5"/>
    <x v="0"/>
    <x v="1"/>
    <x v="4"/>
    <x v="5"/>
    <x v="4"/>
    <x v="4"/>
    <x v="5"/>
    <x v="5"/>
    <x v="4"/>
    <x v="0"/>
    <x v="2"/>
    <x v="5"/>
    <x v="4"/>
    <x v="3"/>
    <x v="1"/>
    <x v="4"/>
    <x v="0"/>
    <x v="5"/>
    <x v="4"/>
    <x v="4"/>
    <x v="4"/>
    <x v="4"/>
    <x v="5"/>
    <x v="3"/>
    <x v="5"/>
    <m/>
    <n v="20121072059"/>
  </r>
  <r>
    <d v="2017-06-02T15:08:03"/>
    <s v="anderson.017@hotmail.es"/>
    <s v="TECNOLOGÍA EN ELECTRICIDAD"/>
    <n v="8"/>
    <x v="3"/>
    <x v="1"/>
    <x v="1"/>
    <x v="1"/>
    <x v="2"/>
    <x v="1"/>
    <x v="4"/>
    <x v="0"/>
    <x v="2"/>
    <x v="1"/>
    <x v="2"/>
    <x v="2"/>
    <x v="5"/>
    <x v="0"/>
    <x v="3"/>
    <x v="4"/>
    <x v="2"/>
    <x v="3"/>
    <x v="4"/>
    <x v="3"/>
    <x v="2"/>
    <x v="2"/>
    <x v="2"/>
    <x v="3"/>
    <x v="3"/>
    <x v="2"/>
    <x v="2"/>
    <x v="0"/>
    <x v="2"/>
    <x v="0"/>
    <x v="1"/>
    <x v="0"/>
    <x v="1"/>
    <x v="1"/>
    <x v="1"/>
    <x v="2"/>
    <x v="1"/>
    <x v="3"/>
    <x v="4"/>
    <x v="0"/>
    <x v="0"/>
    <x v="3"/>
    <x v="3"/>
    <x v="1"/>
    <x v="2"/>
    <x v="1"/>
    <x v="1"/>
    <x v="4"/>
    <x v="1"/>
    <x v="3"/>
    <x v="1"/>
    <x v="0"/>
    <x v="0"/>
    <x v="3"/>
    <x v="4"/>
    <x v="3"/>
    <x v="4"/>
    <x v="3"/>
    <x v="4"/>
    <x v="2"/>
    <x v="3"/>
    <x v="2"/>
    <x v="5"/>
    <x v="0"/>
    <x v="0"/>
    <x v="1"/>
    <x v="3"/>
    <x v="3"/>
    <x v="0"/>
    <x v="2"/>
    <x v="0"/>
    <x v="5"/>
    <x v="0"/>
    <x v="0"/>
    <x v="2"/>
    <x v="0"/>
    <x v="5"/>
    <x v="3"/>
    <x v="0"/>
    <x v="5"/>
    <x v="4"/>
    <x v="0"/>
    <x v="0"/>
    <x v="5"/>
    <x v="2"/>
    <x v="3"/>
    <x v="3"/>
    <x v="5"/>
    <x v="1"/>
    <x v="2"/>
    <x v="3"/>
    <x v="2"/>
    <x v="2"/>
    <x v="0"/>
    <x v="0"/>
    <x v="3"/>
    <x v="1"/>
    <m/>
    <n v="20131072059"/>
  </r>
  <r>
    <d v="2017-06-02T17:47:27"/>
    <s v="juanestebanhe@gmail.com"/>
    <s v="TECNOLOGÍA EN SISTEMAS ELÉCTRICOS DE MEDIA Y BAJA TENSIÓN POR CICLOS PROPEDÉUTICOS"/>
    <n v="1"/>
    <x v="2"/>
    <x v="0"/>
    <x v="1"/>
    <x v="0"/>
    <x v="3"/>
    <x v="5"/>
    <x v="1"/>
    <x v="1"/>
    <x v="1"/>
    <x v="3"/>
    <x v="0"/>
    <x v="0"/>
    <x v="0"/>
    <x v="5"/>
    <x v="1"/>
    <x v="5"/>
    <x v="0"/>
    <x v="2"/>
    <x v="3"/>
    <x v="2"/>
    <x v="2"/>
    <x v="3"/>
    <x v="3"/>
    <x v="3"/>
    <x v="1"/>
    <x v="3"/>
    <x v="3"/>
    <x v="4"/>
    <x v="2"/>
    <x v="0"/>
    <x v="4"/>
    <x v="0"/>
    <x v="0"/>
    <x v="3"/>
    <x v="5"/>
    <x v="2"/>
    <x v="5"/>
    <x v="1"/>
    <x v="1"/>
    <x v="1"/>
    <x v="3"/>
    <x v="0"/>
    <x v="2"/>
    <x v="1"/>
    <x v="2"/>
    <x v="5"/>
    <x v="5"/>
    <x v="3"/>
    <x v="5"/>
    <x v="4"/>
    <x v="5"/>
    <x v="2"/>
    <x v="2"/>
    <x v="4"/>
    <x v="3"/>
    <x v="4"/>
    <x v="5"/>
    <x v="4"/>
    <x v="4"/>
    <x v="2"/>
    <x v="5"/>
    <x v="0"/>
    <x v="0"/>
    <x v="5"/>
    <x v="0"/>
    <x v="2"/>
    <x v="2"/>
    <x v="2"/>
    <x v="0"/>
    <x v="5"/>
    <x v="1"/>
    <x v="2"/>
    <x v="3"/>
    <x v="5"/>
    <x v="0"/>
    <x v="1"/>
    <x v="0"/>
    <x v="0"/>
    <x v="1"/>
    <x v="4"/>
    <x v="3"/>
    <x v="0"/>
    <x v="3"/>
    <x v="1"/>
    <x v="0"/>
    <x v="3"/>
    <x v="5"/>
    <x v="3"/>
    <x v="1"/>
    <x v="0"/>
    <x v="1"/>
    <x v="2"/>
    <x v="3"/>
    <x v="3"/>
    <x v="2"/>
    <x v="4"/>
    <x v="1"/>
    <m/>
    <n v="20171572008"/>
  </r>
  <r>
    <d v="2017-06-02T17:53:17"/>
    <s v="butjoel@yahoo.es"/>
    <s v="INGENIERÍA ELÉCTRICA POR CICLOS PROPEDÉUTICOS"/>
    <n v="1"/>
    <x v="2"/>
    <x v="0"/>
    <x v="2"/>
    <x v="1"/>
    <x v="3"/>
    <x v="1"/>
    <x v="1"/>
    <x v="0"/>
    <x v="0"/>
    <x v="1"/>
    <x v="4"/>
    <x v="1"/>
    <x v="3"/>
    <x v="0"/>
    <x v="3"/>
    <x v="2"/>
    <x v="3"/>
    <x v="3"/>
    <x v="3"/>
    <x v="2"/>
    <x v="2"/>
    <x v="3"/>
    <x v="3"/>
    <x v="1"/>
    <x v="1"/>
    <x v="2"/>
    <x v="0"/>
    <x v="0"/>
    <x v="5"/>
    <x v="0"/>
    <x v="1"/>
    <x v="2"/>
    <x v="2"/>
    <x v="0"/>
    <x v="2"/>
    <x v="1"/>
    <x v="2"/>
    <x v="1"/>
    <x v="1"/>
    <x v="1"/>
    <x v="1"/>
    <x v="0"/>
    <x v="4"/>
    <x v="2"/>
    <x v="1"/>
    <x v="0"/>
    <x v="0"/>
    <x v="2"/>
    <x v="2"/>
    <x v="1"/>
    <x v="3"/>
    <x v="2"/>
    <x v="1"/>
    <x v="3"/>
    <x v="0"/>
    <x v="1"/>
    <x v="3"/>
    <x v="1"/>
    <x v="1"/>
    <x v="0"/>
    <x v="1"/>
    <x v="0"/>
    <x v="1"/>
    <x v="0"/>
    <x v="1"/>
    <x v="1"/>
    <x v="1"/>
    <x v="0"/>
    <x v="1"/>
    <x v="0"/>
    <x v="1"/>
    <x v="0"/>
    <x v="4"/>
    <x v="1"/>
    <x v="2"/>
    <x v="3"/>
    <x v="2"/>
    <x v="3"/>
    <x v="0"/>
    <x v="0"/>
    <x v="1"/>
    <x v="1"/>
    <x v="0"/>
    <x v="1"/>
    <x v="0"/>
    <x v="0"/>
    <x v="2"/>
    <x v="0"/>
    <x v="1"/>
    <x v="1"/>
    <x v="2"/>
    <x v="1"/>
    <x v="0"/>
    <x v="1"/>
    <x v="3"/>
    <x v="2"/>
    <x v="1"/>
    <m/>
    <n v="20072272001"/>
  </r>
  <r>
    <d v="2017-06-02T18:39:52"/>
    <s v="yerismora99@gmail.com"/>
    <s v="TECNOLOGÍA EN SISTEMAS ELÉCTRICOS DE MEDIA Y BAJA TENSIÓN POR CICLOS PROPEDÉUTICOS"/>
    <n v="1"/>
    <x v="3"/>
    <x v="0"/>
    <x v="1"/>
    <x v="0"/>
    <x v="2"/>
    <x v="3"/>
    <x v="1"/>
    <x v="0"/>
    <x v="0"/>
    <x v="1"/>
    <x v="4"/>
    <x v="5"/>
    <x v="1"/>
    <x v="1"/>
    <x v="1"/>
    <x v="1"/>
    <x v="1"/>
    <x v="3"/>
    <x v="3"/>
    <x v="2"/>
    <x v="2"/>
    <x v="3"/>
    <x v="2"/>
    <x v="1"/>
    <x v="1"/>
    <x v="3"/>
    <x v="0"/>
    <x v="0"/>
    <x v="0"/>
    <x v="0"/>
    <x v="1"/>
    <x v="1"/>
    <x v="0"/>
    <x v="0"/>
    <x v="2"/>
    <x v="2"/>
    <x v="2"/>
    <x v="1"/>
    <x v="4"/>
    <x v="1"/>
    <x v="1"/>
    <x v="0"/>
    <x v="2"/>
    <x v="1"/>
    <x v="1"/>
    <x v="0"/>
    <x v="1"/>
    <x v="2"/>
    <x v="1"/>
    <x v="1"/>
    <x v="4"/>
    <x v="3"/>
    <x v="2"/>
    <x v="2"/>
    <x v="1"/>
    <x v="2"/>
    <x v="1"/>
    <x v="1"/>
    <x v="2"/>
    <x v="1"/>
    <x v="2"/>
    <x v="1"/>
    <x v="1"/>
    <x v="1"/>
    <x v="2"/>
    <x v="2"/>
    <x v="2"/>
    <x v="0"/>
    <x v="1"/>
    <x v="0"/>
    <x v="3"/>
    <x v="1"/>
    <x v="1"/>
    <x v="2"/>
    <x v="1"/>
    <x v="4"/>
    <x v="0"/>
    <x v="1"/>
    <x v="1"/>
    <x v="1"/>
    <x v="0"/>
    <x v="1"/>
    <x v="0"/>
    <x v="1"/>
    <x v="1"/>
    <x v="2"/>
    <x v="1"/>
    <x v="1"/>
    <x v="1"/>
    <x v="1"/>
    <x v="1"/>
    <x v="0"/>
    <x v="0"/>
    <x v="2"/>
    <x v="2"/>
    <x v="0"/>
    <x v="1"/>
    <m/>
    <n v="20171572072"/>
  </r>
  <r>
    <d v="2017-06-02T19:16:11"/>
    <s v="harol886@gmail.com"/>
    <s v="TECNOLOGÍA EN SISTEMAS ELÉCTRICOS DE MEDIA Y BAJA TENSIÓN POR CICLOS PROPEDÉUTICOS"/>
    <n v="1"/>
    <x v="1"/>
    <x v="1"/>
    <x v="1"/>
    <x v="1"/>
    <x v="5"/>
    <x v="3"/>
    <x v="3"/>
    <x v="1"/>
    <x v="1"/>
    <x v="2"/>
    <x v="1"/>
    <x v="5"/>
    <x v="2"/>
    <x v="1"/>
    <x v="1"/>
    <x v="1"/>
    <x v="5"/>
    <x v="2"/>
    <x v="1"/>
    <x v="1"/>
    <x v="1"/>
    <x v="3"/>
    <x v="1"/>
    <x v="1"/>
    <x v="1"/>
    <x v="3"/>
    <x v="1"/>
    <x v="0"/>
    <x v="1"/>
    <x v="0"/>
    <x v="1"/>
    <x v="1"/>
    <x v="2"/>
    <x v="2"/>
    <x v="1"/>
    <x v="1"/>
    <x v="2"/>
    <x v="1"/>
    <x v="4"/>
    <x v="0"/>
    <x v="2"/>
    <x v="1"/>
    <x v="2"/>
    <x v="2"/>
    <x v="1"/>
    <x v="0"/>
    <x v="0"/>
    <x v="2"/>
    <x v="1"/>
    <x v="1"/>
    <x v="4"/>
    <x v="3"/>
    <x v="0"/>
    <x v="0"/>
    <x v="0"/>
    <x v="2"/>
    <x v="2"/>
    <x v="4"/>
    <x v="1"/>
    <x v="0"/>
    <x v="2"/>
    <x v="0"/>
    <x v="1"/>
    <x v="2"/>
    <x v="2"/>
    <x v="2"/>
    <x v="2"/>
    <x v="1"/>
    <x v="3"/>
    <x v="0"/>
    <x v="1"/>
    <x v="0"/>
    <x v="2"/>
    <x v="4"/>
    <x v="0"/>
    <x v="3"/>
    <x v="0"/>
    <x v="1"/>
    <x v="1"/>
    <x v="1"/>
    <x v="0"/>
    <x v="1"/>
    <x v="0"/>
    <x v="1"/>
    <x v="0"/>
    <x v="1"/>
    <x v="2"/>
    <x v="4"/>
    <x v="2"/>
    <x v="1"/>
    <x v="3"/>
    <x v="1"/>
    <x v="0"/>
    <x v="1"/>
    <x v="2"/>
    <x v="0"/>
    <x v="1"/>
    <m/>
    <n v="20171572073"/>
  </r>
  <r>
    <d v="2017-06-02T23:08:02"/>
    <s v="electricoadomicilio26@gmail.com"/>
    <s v="TECNOLOGÍA EN ELECTRICIDAD"/>
    <n v="10"/>
    <x v="3"/>
    <x v="0"/>
    <x v="1"/>
    <x v="1"/>
    <x v="2"/>
    <x v="4"/>
    <x v="4"/>
    <x v="0"/>
    <x v="3"/>
    <x v="1"/>
    <x v="4"/>
    <x v="3"/>
    <x v="3"/>
    <x v="4"/>
    <x v="3"/>
    <x v="2"/>
    <x v="4"/>
    <x v="3"/>
    <x v="4"/>
    <x v="2"/>
    <x v="1"/>
    <x v="1"/>
    <x v="1"/>
    <x v="1"/>
    <x v="2"/>
    <x v="3"/>
    <x v="3"/>
    <x v="4"/>
    <x v="4"/>
    <x v="5"/>
    <x v="0"/>
    <x v="5"/>
    <x v="0"/>
    <x v="1"/>
    <x v="1"/>
    <x v="2"/>
    <x v="0"/>
    <x v="3"/>
    <x v="1"/>
    <x v="1"/>
    <x v="1"/>
    <x v="0"/>
    <x v="3"/>
    <x v="5"/>
    <x v="0"/>
    <x v="0"/>
    <x v="1"/>
    <x v="4"/>
    <x v="3"/>
    <x v="3"/>
    <x v="1"/>
    <x v="0"/>
    <x v="0"/>
    <x v="5"/>
    <x v="0"/>
    <x v="1"/>
    <x v="5"/>
    <x v="1"/>
    <x v="1"/>
    <x v="0"/>
    <x v="0"/>
    <x v="0"/>
    <x v="1"/>
    <x v="0"/>
    <x v="1"/>
    <x v="1"/>
    <x v="2"/>
    <x v="2"/>
    <x v="1"/>
    <x v="2"/>
    <x v="4"/>
    <x v="2"/>
    <x v="4"/>
    <x v="3"/>
    <x v="4"/>
    <x v="3"/>
    <x v="2"/>
    <x v="0"/>
    <x v="1"/>
    <x v="5"/>
    <x v="4"/>
    <x v="1"/>
    <x v="2"/>
    <x v="2"/>
    <x v="4"/>
    <x v="0"/>
    <x v="2"/>
    <x v="5"/>
    <x v="1"/>
    <x v="0"/>
    <x v="1"/>
    <x v="0"/>
    <x v="0"/>
    <x v="1"/>
    <x v="5"/>
    <x v="3"/>
    <x v="1"/>
    <m/>
    <n v="20112072121"/>
  </r>
  <r>
    <d v="2017-06-02T23:52:24"/>
    <s v="asprilla_123@hotmail.com"/>
    <s v="TECNOLOGÍA EN SISTEMAS ELÉCTRICOS DE MEDIA Y BAJA TENSIÓN POR CICLOS PROPEDÉUTICOS"/>
    <n v="1"/>
    <x v="1"/>
    <x v="0"/>
    <x v="1"/>
    <x v="2"/>
    <x v="5"/>
    <x v="4"/>
    <x v="3"/>
    <x v="2"/>
    <x v="0"/>
    <x v="1"/>
    <x v="4"/>
    <x v="1"/>
    <x v="5"/>
    <x v="3"/>
    <x v="3"/>
    <x v="2"/>
    <x v="5"/>
    <x v="1"/>
    <x v="3"/>
    <x v="2"/>
    <x v="1"/>
    <x v="1"/>
    <x v="1"/>
    <x v="1"/>
    <x v="2"/>
    <x v="2"/>
    <x v="3"/>
    <x v="3"/>
    <x v="4"/>
    <x v="2"/>
    <x v="1"/>
    <x v="1"/>
    <x v="3"/>
    <x v="2"/>
    <x v="3"/>
    <x v="2"/>
    <x v="0"/>
    <x v="1"/>
    <x v="1"/>
    <x v="1"/>
    <x v="1"/>
    <x v="0"/>
    <x v="2"/>
    <x v="0"/>
    <x v="1"/>
    <x v="1"/>
    <x v="1"/>
    <x v="2"/>
    <x v="1"/>
    <x v="5"/>
    <x v="4"/>
    <x v="1"/>
    <x v="5"/>
    <x v="5"/>
    <x v="2"/>
    <x v="2"/>
    <x v="5"/>
    <x v="2"/>
    <x v="2"/>
    <x v="3"/>
    <x v="4"/>
    <x v="4"/>
    <x v="3"/>
    <x v="1"/>
    <x v="1"/>
    <x v="1"/>
    <x v="1"/>
    <x v="3"/>
    <x v="3"/>
    <x v="4"/>
    <x v="4"/>
    <x v="2"/>
    <x v="1"/>
    <x v="5"/>
    <x v="1"/>
    <x v="1"/>
    <x v="1"/>
    <x v="1"/>
    <x v="1"/>
    <x v="4"/>
    <x v="3"/>
    <x v="1"/>
    <x v="3"/>
    <x v="3"/>
    <x v="0"/>
    <x v="4"/>
    <x v="5"/>
    <x v="3"/>
    <x v="4"/>
    <x v="1"/>
    <x v="2"/>
    <x v="1"/>
    <x v="4"/>
    <x v="3"/>
    <x v="5"/>
    <x v="3"/>
    <x v="0"/>
    <s v="En  muchas preguntas no puedo responder ya que me encuentro en la sede del INEM y es muy difícil opinar en cuanto a lo q pasa y conocer muchas cosas de la universidad . Como los directivos y de más cosas gracias"/>
    <n v="20171772037"/>
  </r>
  <r>
    <d v="2017-06-03T00:02:34"/>
    <s v="leon.farith16@gmail.com"/>
    <s v="TECNOLOGÍA EN SISTEMAS ELÉCTRICOS DE MEDIA Y BAJA TENSIÓN POR CICLOS PROPEDÉUTICOS"/>
    <n v="1"/>
    <x v="2"/>
    <x v="0"/>
    <x v="1"/>
    <x v="2"/>
    <x v="1"/>
    <x v="5"/>
    <x v="4"/>
    <x v="2"/>
    <x v="2"/>
    <x v="0"/>
    <x v="1"/>
    <x v="2"/>
    <x v="5"/>
    <x v="1"/>
    <x v="1"/>
    <x v="1"/>
    <x v="1"/>
    <x v="3"/>
    <x v="3"/>
    <x v="2"/>
    <x v="2"/>
    <x v="2"/>
    <x v="2"/>
    <x v="3"/>
    <x v="3"/>
    <x v="3"/>
    <x v="3"/>
    <x v="3"/>
    <x v="4"/>
    <x v="0"/>
    <x v="1"/>
    <x v="0"/>
    <x v="0"/>
    <x v="4"/>
    <x v="1"/>
    <x v="0"/>
    <x v="0"/>
    <x v="2"/>
    <x v="4"/>
    <x v="0"/>
    <x v="2"/>
    <x v="1"/>
    <x v="2"/>
    <x v="1"/>
    <x v="0"/>
    <x v="1"/>
    <x v="1"/>
    <x v="1"/>
    <x v="1"/>
    <x v="4"/>
    <x v="5"/>
    <x v="2"/>
    <x v="4"/>
    <x v="4"/>
    <x v="3"/>
    <x v="4"/>
    <x v="0"/>
    <x v="0"/>
    <x v="0"/>
    <x v="2"/>
    <x v="3"/>
    <x v="2"/>
    <x v="3"/>
    <x v="2"/>
    <x v="0"/>
    <x v="3"/>
    <x v="1"/>
    <x v="2"/>
    <x v="0"/>
    <x v="2"/>
    <x v="0"/>
    <x v="2"/>
    <x v="3"/>
    <x v="1"/>
    <x v="2"/>
    <x v="3"/>
    <x v="2"/>
    <x v="3"/>
    <x v="2"/>
    <x v="2"/>
    <x v="2"/>
    <x v="0"/>
    <x v="2"/>
    <x v="2"/>
    <x v="2"/>
    <x v="0"/>
    <x v="5"/>
    <x v="3"/>
    <x v="3"/>
    <x v="2"/>
    <x v="3"/>
    <x v="2"/>
    <x v="3"/>
    <x v="3"/>
    <x v="2"/>
    <x v="2"/>
    <x v="1"/>
    <m/>
    <n v="20171572029"/>
  </r>
  <r>
    <d v="2017-06-03T06:11:09"/>
    <s v="jorgealonso_96@hotmail.com"/>
    <s v="TECNOLOGÍA EN ELECTRICIDAD"/>
    <n v="8"/>
    <x v="1"/>
    <x v="0"/>
    <x v="2"/>
    <x v="1"/>
    <x v="4"/>
    <x v="1"/>
    <x v="1"/>
    <x v="0"/>
    <x v="0"/>
    <x v="1"/>
    <x v="3"/>
    <x v="0"/>
    <x v="1"/>
    <x v="1"/>
    <x v="2"/>
    <x v="5"/>
    <x v="1"/>
    <x v="3"/>
    <x v="3"/>
    <x v="1"/>
    <x v="1"/>
    <x v="1"/>
    <x v="1"/>
    <x v="1"/>
    <x v="2"/>
    <x v="3"/>
    <x v="1"/>
    <x v="1"/>
    <x v="0"/>
    <x v="0"/>
    <x v="1"/>
    <x v="0"/>
    <x v="0"/>
    <x v="0"/>
    <x v="2"/>
    <x v="2"/>
    <x v="2"/>
    <x v="3"/>
    <x v="1"/>
    <x v="0"/>
    <x v="1"/>
    <x v="0"/>
    <x v="2"/>
    <x v="2"/>
    <x v="1"/>
    <x v="0"/>
    <x v="0"/>
    <x v="1"/>
    <x v="4"/>
    <x v="5"/>
    <x v="1"/>
    <x v="5"/>
    <x v="2"/>
    <x v="1"/>
    <x v="1"/>
    <x v="1"/>
    <x v="2"/>
    <x v="1"/>
    <x v="2"/>
    <x v="0"/>
    <x v="2"/>
    <x v="0"/>
    <x v="2"/>
    <x v="2"/>
    <x v="1"/>
    <x v="1"/>
    <x v="1"/>
    <x v="1"/>
    <x v="2"/>
    <x v="1"/>
    <x v="1"/>
    <x v="2"/>
    <x v="2"/>
    <x v="2"/>
    <x v="1"/>
    <x v="1"/>
    <x v="0"/>
    <x v="0"/>
    <x v="1"/>
    <x v="1"/>
    <x v="5"/>
    <x v="5"/>
    <x v="2"/>
    <x v="1"/>
    <x v="2"/>
    <x v="0"/>
    <x v="0"/>
    <x v="1"/>
    <x v="1"/>
    <x v="0"/>
    <x v="2"/>
    <x v="2"/>
    <x v="2"/>
    <x v="0"/>
    <x v="1"/>
    <x v="1"/>
    <x v="1"/>
    <m/>
    <n v="20131072083"/>
  </r>
  <r>
    <d v="2017-06-03T23:11:53"/>
    <s v="ojsolanog@correo.udistrital.edu.co"/>
    <s v="TECNOLOGÍA EN ELECTRICIDAD"/>
    <n v="2"/>
    <x v="3"/>
    <x v="0"/>
    <x v="2"/>
    <x v="0"/>
    <x v="1"/>
    <x v="4"/>
    <x v="2"/>
    <x v="4"/>
    <x v="5"/>
    <x v="4"/>
    <x v="2"/>
    <x v="2"/>
    <x v="2"/>
    <x v="5"/>
    <x v="3"/>
    <x v="3"/>
    <x v="4"/>
    <x v="3"/>
    <x v="4"/>
    <x v="1"/>
    <x v="1"/>
    <x v="2"/>
    <x v="2"/>
    <x v="1"/>
    <x v="3"/>
    <x v="0"/>
    <x v="3"/>
    <x v="0"/>
    <x v="2"/>
    <x v="0"/>
    <x v="3"/>
    <x v="4"/>
    <x v="2"/>
    <x v="4"/>
    <x v="1"/>
    <x v="3"/>
    <x v="0"/>
    <x v="5"/>
    <x v="0"/>
    <x v="0"/>
    <x v="1"/>
    <x v="1"/>
    <x v="2"/>
    <x v="4"/>
    <x v="4"/>
    <x v="1"/>
    <x v="1"/>
    <x v="0"/>
    <x v="2"/>
    <x v="4"/>
    <x v="3"/>
    <x v="2"/>
    <x v="1"/>
    <x v="5"/>
    <x v="0"/>
    <x v="3"/>
    <x v="5"/>
    <x v="4"/>
    <x v="5"/>
    <x v="2"/>
    <x v="4"/>
    <x v="2"/>
    <x v="4"/>
    <x v="2"/>
    <x v="0"/>
    <x v="3"/>
    <x v="4"/>
    <x v="2"/>
    <x v="0"/>
    <x v="2"/>
    <x v="4"/>
    <x v="5"/>
    <x v="3"/>
    <x v="1"/>
    <x v="2"/>
    <x v="5"/>
    <x v="2"/>
    <x v="3"/>
    <x v="1"/>
    <x v="5"/>
    <x v="5"/>
    <x v="1"/>
    <x v="0"/>
    <x v="5"/>
    <x v="4"/>
    <x v="4"/>
    <x v="4"/>
    <x v="5"/>
    <x v="3"/>
    <x v="5"/>
    <x v="3"/>
    <x v="2"/>
    <x v="2"/>
    <x v="0"/>
    <x v="3"/>
    <x v="2"/>
    <x v="5"/>
    <m/>
    <n v="20132072087"/>
  </r>
  <r>
    <d v="2017-06-04T04:13:15"/>
    <s v="eanavass@gmail.com"/>
    <s v="TECNOLOGÍA EN ELECTRICIDAD"/>
    <n v="1"/>
    <x v="3"/>
    <x v="1"/>
    <x v="0"/>
    <x v="0"/>
    <x v="1"/>
    <x v="0"/>
    <x v="1"/>
    <x v="0"/>
    <x v="2"/>
    <x v="5"/>
    <x v="2"/>
    <x v="1"/>
    <x v="2"/>
    <x v="3"/>
    <x v="5"/>
    <x v="2"/>
    <x v="4"/>
    <x v="2"/>
    <x v="2"/>
    <x v="4"/>
    <x v="3"/>
    <x v="4"/>
    <x v="5"/>
    <x v="3"/>
    <x v="3"/>
    <x v="4"/>
    <x v="3"/>
    <x v="1"/>
    <x v="4"/>
    <x v="1"/>
    <x v="2"/>
    <x v="2"/>
    <x v="1"/>
    <x v="2"/>
    <x v="3"/>
    <x v="4"/>
    <x v="0"/>
    <x v="1"/>
    <x v="1"/>
    <x v="0"/>
    <x v="1"/>
    <x v="0"/>
    <x v="1"/>
    <x v="1"/>
    <x v="2"/>
    <x v="3"/>
    <x v="2"/>
    <x v="4"/>
    <x v="1"/>
    <x v="0"/>
    <x v="3"/>
    <x v="2"/>
    <x v="0"/>
    <x v="0"/>
    <x v="2"/>
    <x v="0"/>
    <x v="5"/>
    <x v="1"/>
    <x v="1"/>
    <x v="2"/>
    <x v="3"/>
    <x v="2"/>
    <x v="3"/>
    <x v="4"/>
    <x v="1"/>
    <x v="3"/>
    <x v="2"/>
    <x v="5"/>
    <x v="0"/>
    <x v="0"/>
    <x v="0"/>
    <x v="0"/>
    <x v="0"/>
    <x v="1"/>
    <x v="3"/>
    <x v="5"/>
    <x v="2"/>
    <x v="4"/>
    <x v="2"/>
    <x v="5"/>
    <x v="2"/>
    <x v="0"/>
    <x v="2"/>
    <x v="2"/>
    <x v="2"/>
    <x v="4"/>
    <x v="2"/>
    <x v="0"/>
    <x v="3"/>
    <x v="4"/>
    <x v="3"/>
    <x v="5"/>
    <x v="2"/>
    <x v="0"/>
    <x v="3"/>
    <x v="5"/>
    <x v="2"/>
    <m/>
    <n v="20131072061"/>
  </r>
  <r>
    <d v="2017-06-04T12:30:45"/>
    <s v="alexarpillo@yahoo.es"/>
    <s v="TECNOLOGÍA EN ELECTRICIDAD"/>
    <n v="10"/>
    <x v="3"/>
    <x v="4"/>
    <x v="4"/>
    <x v="0"/>
    <x v="5"/>
    <x v="4"/>
    <x v="2"/>
    <x v="5"/>
    <x v="0"/>
    <x v="1"/>
    <x v="1"/>
    <x v="3"/>
    <x v="4"/>
    <x v="1"/>
    <x v="1"/>
    <x v="2"/>
    <x v="1"/>
    <x v="3"/>
    <x v="5"/>
    <x v="2"/>
    <x v="2"/>
    <x v="1"/>
    <x v="2"/>
    <x v="3"/>
    <x v="1"/>
    <x v="3"/>
    <x v="2"/>
    <x v="4"/>
    <x v="2"/>
    <x v="5"/>
    <x v="0"/>
    <x v="0"/>
    <x v="2"/>
    <x v="1"/>
    <x v="1"/>
    <x v="2"/>
    <x v="1"/>
    <x v="3"/>
    <x v="5"/>
    <x v="1"/>
    <x v="1"/>
    <x v="0"/>
    <x v="1"/>
    <x v="1"/>
    <x v="0"/>
    <x v="1"/>
    <x v="1"/>
    <x v="1"/>
    <x v="1"/>
    <x v="1"/>
    <x v="4"/>
    <x v="1"/>
    <x v="0"/>
    <x v="0"/>
    <x v="0"/>
    <x v="1"/>
    <x v="1"/>
    <x v="1"/>
    <x v="1"/>
    <x v="0"/>
    <x v="1"/>
    <x v="0"/>
    <x v="1"/>
    <x v="0"/>
    <x v="1"/>
    <x v="1"/>
    <x v="1"/>
    <x v="0"/>
    <x v="1"/>
    <x v="0"/>
    <x v="1"/>
    <x v="2"/>
    <x v="2"/>
    <x v="4"/>
    <x v="0"/>
    <x v="1"/>
    <x v="0"/>
    <x v="0"/>
    <x v="0"/>
    <x v="0"/>
    <x v="1"/>
    <x v="1"/>
    <x v="0"/>
    <x v="1"/>
    <x v="0"/>
    <x v="1"/>
    <x v="1"/>
    <x v="1"/>
    <x v="1"/>
    <x v="0"/>
    <x v="1"/>
    <x v="0"/>
    <x v="0"/>
    <x v="1"/>
    <x v="2"/>
    <x v="0"/>
    <x v="1"/>
    <m/>
    <n v="200610762077"/>
  </r>
  <r>
    <d v="2017-06-04T12:47:24"/>
    <s v="jguana.r@hotmail.com"/>
    <s v="TECNOLOGÍA EN SISTEMAS ELÉCTRICOS DE MEDIA Y BAJA TENSIÓN POR CICLOS PROPEDÉUTICOS"/>
    <n v="1"/>
    <x v="1"/>
    <x v="2"/>
    <x v="1"/>
    <x v="2"/>
    <x v="1"/>
    <x v="0"/>
    <x v="4"/>
    <x v="2"/>
    <x v="2"/>
    <x v="0"/>
    <x v="1"/>
    <x v="2"/>
    <x v="0"/>
    <x v="2"/>
    <x v="1"/>
    <x v="2"/>
    <x v="3"/>
    <x v="3"/>
    <x v="3"/>
    <x v="2"/>
    <x v="1"/>
    <x v="1"/>
    <x v="2"/>
    <x v="1"/>
    <x v="0"/>
    <x v="5"/>
    <x v="1"/>
    <x v="1"/>
    <x v="1"/>
    <x v="2"/>
    <x v="3"/>
    <x v="0"/>
    <x v="2"/>
    <x v="0"/>
    <x v="1"/>
    <x v="1"/>
    <x v="2"/>
    <x v="1"/>
    <x v="1"/>
    <x v="1"/>
    <x v="1"/>
    <x v="0"/>
    <x v="0"/>
    <x v="1"/>
    <x v="0"/>
    <x v="0"/>
    <x v="2"/>
    <x v="4"/>
    <x v="2"/>
    <x v="5"/>
    <x v="1"/>
    <x v="2"/>
    <x v="1"/>
    <x v="2"/>
    <x v="1"/>
    <x v="0"/>
    <x v="2"/>
    <x v="2"/>
    <x v="2"/>
    <x v="0"/>
    <x v="3"/>
    <x v="0"/>
    <x v="3"/>
    <x v="1"/>
    <x v="3"/>
    <x v="2"/>
    <x v="4"/>
    <x v="2"/>
    <x v="1"/>
    <x v="2"/>
    <x v="3"/>
    <x v="1"/>
    <x v="1"/>
    <x v="5"/>
    <x v="1"/>
    <x v="2"/>
    <x v="1"/>
    <x v="1"/>
    <x v="1"/>
    <x v="1"/>
    <x v="3"/>
    <x v="2"/>
    <x v="2"/>
    <x v="2"/>
    <x v="0"/>
    <x v="0"/>
    <x v="0"/>
    <x v="0"/>
    <x v="2"/>
    <x v="3"/>
    <x v="2"/>
    <x v="1"/>
    <x v="1"/>
    <x v="0"/>
    <x v="3"/>
    <x v="2"/>
    <x v="2"/>
    <m/>
    <n v="20171772020"/>
  </r>
  <r>
    <d v="2017-06-04T18:03:25"/>
    <s v="waltyss@hotmail.com"/>
    <s v="TECNOLOGÍA EN SISTEMAS ELÉCTRICOS DE MEDIA Y BAJA TENSIÓN POR CICLOS PROPEDÉUTICOS"/>
    <n v="1"/>
    <x v="2"/>
    <x v="1"/>
    <x v="2"/>
    <x v="1"/>
    <x v="3"/>
    <x v="5"/>
    <x v="4"/>
    <x v="2"/>
    <x v="5"/>
    <x v="3"/>
    <x v="5"/>
    <x v="4"/>
    <x v="1"/>
    <x v="4"/>
    <x v="1"/>
    <x v="1"/>
    <x v="0"/>
    <x v="2"/>
    <x v="0"/>
    <x v="2"/>
    <x v="2"/>
    <x v="2"/>
    <x v="3"/>
    <x v="1"/>
    <x v="0"/>
    <x v="3"/>
    <x v="3"/>
    <x v="3"/>
    <x v="4"/>
    <x v="0"/>
    <x v="1"/>
    <x v="3"/>
    <x v="1"/>
    <x v="2"/>
    <x v="3"/>
    <x v="2"/>
    <x v="0"/>
    <x v="3"/>
    <x v="2"/>
    <x v="0"/>
    <x v="0"/>
    <x v="1"/>
    <x v="5"/>
    <x v="5"/>
    <x v="0"/>
    <x v="1"/>
    <x v="1"/>
    <x v="1"/>
    <x v="3"/>
    <x v="4"/>
    <x v="5"/>
    <x v="2"/>
    <x v="0"/>
    <x v="1"/>
    <x v="0"/>
    <x v="1"/>
    <x v="5"/>
    <x v="4"/>
    <x v="4"/>
    <x v="0"/>
    <x v="3"/>
    <x v="2"/>
    <x v="3"/>
    <x v="2"/>
    <x v="0"/>
    <x v="1"/>
    <x v="4"/>
    <x v="2"/>
    <x v="1"/>
    <x v="0"/>
    <x v="4"/>
    <x v="3"/>
    <x v="2"/>
    <x v="0"/>
    <x v="2"/>
    <x v="0"/>
    <x v="2"/>
    <x v="2"/>
    <x v="3"/>
    <x v="4"/>
    <x v="3"/>
    <x v="3"/>
    <x v="3"/>
    <x v="3"/>
    <x v="3"/>
    <x v="0"/>
    <x v="5"/>
    <x v="2"/>
    <x v="4"/>
    <x v="3"/>
    <x v="0"/>
    <x v="3"/>
    <x v="3"/>
    <x v="3"/>
    <x v="4"/>
    <x v="4"/>
    <x v="4"/>
    <m/>
    <n v="20162572503"/>
  </r>
  <r>
    <d v="2017-06-04T20:19:38"/>
    <s v="sherill-12@hotmail.com"/>
    <s v="TECNOLOGÍA EN SISTEMAS ELÉCTRICOS DE MEDIA Y BAJA TENSIÓN POR CICLOS PROPEDÉUTICOS"/>
    <n v="1"/>
    <x v="2"/>
    <x v="1"/>
    <x v="1"/>
    <x v="1"/>
    <x v="1"/>
    <x v="0"/>
    <x v="5"/>
    <x v="0"/>
    <x v="3"/>
    <x v="1"/>
    <x v="2"/>
    <x v="2"/>
    <x v="2"/>
    <x v="1"/>
    <x v="3"/>
    <x v="2"/>
    <x v="1"/>
    <x v="3"/>
    <x v="3"/>
    <x v="1"/>
    <x v="2"/>
    <x v="1"/>
    <x v="2"/>
    <x v="3"/>
    <x v="5"/>
    <x v="2"/>
    <x v="0"/>
    <x v="0"/>
    <x v="4"/>
    <x v="2"/>
    <x v="0"/>
    <x v="1"/>
    <x v="2"/>
    <x v="1"/>
    <x v="1"/>
    <x v="2"/>
    <x v="0"/>
    <x v="5"/>
    <x v="4"/>
    <x v="1"/>
    <x v="0"/>
    <x v="1"/>
    <x v="2"/>
    <x v="1"/>
    <x v="0"/>
    <x v="1"/>
    <x v="1"/>
    <x v="5"/>
    <x v="2"/>
    <x v="0"/>
    <x v="0"/>
    <x v="0"/>
    <x v="2"/>
    <x v="2"/>
    <x v="0"/>
    <x v="0"/>
    <x v="1"/>
    <x v="2"/>
    <x v="1"/>
    <x v="0"/>
    <x v="1"/>
    <x v="0"/>
    <x v="1"/>
    <x v="0"/>
    <x v="4"/>
    <x v="0"/>
    <x v="3"/>
    <x v="3"/>
    <x v="4"/>
    <x v="3"/>
    <x v="1"/>
    <x v="1"/>
    <x v="2"/>
    <x v="1"/>
    <x v="0"/>
    <x v="1"/>
    <x v="2"/>
    <x v="0"/>
    <x v="0"/>
    <x v="2"/>
    <x v="1"/>
    <x v="3"/>
    <x v="0"/>
    <x v="1"/>
    <x v="0"/>
    <x v="3"/>
    <x v="4"/>
    <x v="5"/>
    <x v="1"/>
    <x v="2"/>
    <x v="3"/>
    <x v="2"/>
    <x v="0"/>
    <x v="0"/>
    <x v="2"/>
    <x v="0"/>
    <x v="1"/>
    <m/>
    <n v="20171772022"/>
  </r>
  <r>
    <d v="2017-06-05T07:54:08"/>
    <s v="degutierrez.28@gmail.com"/>
    <s v="TECNOLOGÍA EN SISTEMAS ELÉCTRICOS DE MEDIA Y BAJA TENSIÓN POR CICLOS PROPEDÉUTICOS"/>
    <n v="1"/>
    <x v="2"/>
    <x v="0"/>
    <x v="1"/>
    <x v="1"/>
    <x v="3"/>
    <x v="4"/>
    <x v="4"/>
    <x v="1"/>
    <x v="0"/>
    <x v="2"/>
    <x v="0"/>
    <x v="3"/>
    <x v="5"/>
    <x v="2"/>
    <x v="3"/>
    <x v="0"/>
    <x v="0"/>
    <x v="3"/>
    <x v="3"/>
    <x v="2"/>
    <x v="1"/>
    <x v="1"/>
    <x v="1"/>
    <x v="1"/>
    <x v="1"/>
    <x v="2"/>
    <x v="3"/>
    <x v="3"/>
    <x v="4"/>
    <x v="4"/>
    <x v="1"/>
    <x v="2"/>
    <x v="1"/>
    <x v="2"/>
    <x v="1"/>
    <x v="0"/>
    <x v="0"/>
    <x v="4"/>
    <x v="2"/>
    <x v="0"/>
    <x v="1"/>
    <x v="0"/>
    <x v="3"/>
    <x v="1"/>
    <x v="0"/>
    <x v="3"/>
    <x v="2"/>
    <x v="5"/>
    <x v="0"/>
    <x v="4"/>
    <x v="5"/>
    <x v="1"/>
    <x v="0"/>
    <x v="1"/>
    <x v="0"/>
    <x v="1"/>
    <x v="5"/>
    <x v="4"/>
    <x v="4"/>
    <x v="2"/>
    <x v="0"/>
    <x v="2"/>
    <x v="0"/>
    <x v="0"/>
    <x v="1"/>
    <x v="1"/>
    <x v="4"/>
    <x v="2"/>
    <x v="0"/>
    <x v="2"/>
    <x v="1"/>
    <x v="3"/>
    <x v="4"/>
    <x v="5"/>
    <x v="2"/>
    <x v="3"/>
    <x v="0"/>
    <x v="3"/>
    <x v="2"/>
    <x v="5"/>
    <x v="5"/>
    <x v="0"/>
    <x v="0"/>
    <x v="1"/>
    <x v="0"/>
    <x v="1"/>
    <x v="2"/>
    <x v="3"/>
    <x v="4"/>
    <x v="0"/>
    <x v="1"/>
    <x v="0"/>
    <x v="0"/>
    <x v="1"/>
    <x v="2"/>
    <x v="0"/>
    <x v="1"/>
    <m/>
    <n v="20171572063"/>
  </r>
  <r>
    <d v="2017-06-05T15:51:42"/>
    <s v="bhrojasd@correo.udistrital.edu.co"/>
    <s v="INGENIERÍA ELÉCTRICA POR CICLOS PROPEDÉUTICOS"/>
    <n v="2"/>
    <x v="2"/>
    <x v="0"/>
    <x v="2"/>
    <x v="1"/>
    <x v="0"/>
    <x v="0"/>
    <x v="4"/>
    <x v="0"/>
    <x v="2"/>
    <x v="4"/>
    <x v="4"/>
    <x v="2"/>
    <x v="5"/>
    <x v="4"/>
    <x v="3"/>
    <x v="2"/>
    <x v="3"/>
    <x v="3"/>
    <x v="3"/>
    <x v="2"/>
    <x v="2"/>
    <x v="3"/>
    <x v="2"/>
    <x v="4"/>
    <x v="3"/>
    <x v="3"/>
    <x v="3"/>
    <x v="0"/>
    <x v="4"/>
    <x v="0"/>
    <x v="0"/>
    <x v="2"/>
    <x v="2"/>
    <x v="2"/>
    <x v="3"/>
    <x v="0"/>
    <x v="1"/>
    <x v="3"/>
    <x v="4"/>
    <x v="0"/>
    <x v="0"/>
    <x v="1"/>
    <x v="0"/>
    <x v="0"/>
    <x v="0"/>
    <x v="1"/>
    <x v="1"/>
    <x v="1"/>
    <x v="3"/>
    <x v="0"/>
    <x v="1"/>
    <x v="4"/>
    <x v="0"/>
    <x v="5"/>
    <x v="0"/>
    <x v="3"/>
    <x v="4"/>
    <x v="1"/>
    <x v="1"/>
    <x v="0"/>
    <x v="0"/>
    <x v="0"/>
    <x v="3"/>
    <x v="0"/>
    <x v="1"/>
    <x v="1"/>
    <x v="1"/>
    <x v="3"/>
    <x v="1"/>
    <x v="2"/>
    <x v="1"/>
    <x v="2"/>
    <x v="3"/>
    <x v="3"/>
    <x v="5"/>
    <x v="0"/>
    <x v="2"/>
    <x v="3"/>
    <x v="2"/>
    <x v="2"/>
    <x v="5"/>
    <x v="5"/>
    <x v="4"/>
    <x v="2"/>
    <x v="3"/>
    <x v="0"/>
    <x v="4"/>
    <x v="5"/>
    <x v="3"/>
    <x v="5"/>
    <x v="3"/>
    <x v="4"/>
    <x v="4"/>
    <x v="4"/>
    <x v="3"/>
    <x v="5"/>
    <x v="2"/>
    <s v="No hay control sobre los administrativos, almuerzan 2 o mas horas, llegan tarde, se van temprano, atienden de mala gana."/>
    <n v="20162372050"/>
  </r>
  <r>
    <d v="2017-06-05T15:56:44"/>
    <s v="rockput@hotmail.com"/>
    <s v="TECNOLOGÍA EN ELECTRICIDAD"/>
    <n v="2"/>
    <x v="0"/>
    <x v="2"/>
    <x v="0"/>
    <x v="1"/>
    <x v="1"/>
    <x v="4"/>
    <x v="3"/>
    <x v="1"/>
    <x v="5"/>
    <x v="2"/>
    <x v="2"/>
    <x v="2"/>
    <x v="3"/>
    <x v="1"/>
    <x v="5"/>
    <x v="0"/>
    <x v="0"/>
    <x v="1"/>
    <x v="3"/>
    <x v="3"/>
    <x v="2"/>
    <x v="2"/>
    <x v="2"/>
    <x v="1"/>
    <x v="3"/>
    <x v="3"/>
    <x v="3"/>
    <x v="1"/>
    <x v="4"/>
    <x v="1"/>
    <x v="2"/>
    <x v="0"/>
    <x v="1"/>
    <x v="1"/>
    <x v="3"/>
    <x v="2"/>
    <x v="0"/>
    <x v="0"/>
    <x v="0"/>
    <x v="1"/>
    <x v="0"/>
    <x v="3"/>
    <x v="4"/>
    <x v="1"/>
    <x v="0"/>
    <x v="1"/>
    <x v="1"/>
    <x v="3"/>
    <x v="5"/>
    <x v="4"/>
    <x v="4"/>
    <x v="2"/>
    <x v="2"/>
    <x v="1"/>
    <x v="2"/>
    <x v="1"/>
    <x v="1"/>
    <x v="1"/>
    <x v="1"/>
    <x v="0"/>
    <x v="3"/>
    <x v="0"/>
    <x v="1"/>
    <x v="0"/>
    <x v="1"/>
    <x v="1"/>
    <x v="1"/>
    <x v="4"/>
    <x v="5"/>
    <x v="4"/>
    <x v="4"/>
    <x v="2"/>
    <x v="4"/>
    <x v="1"/>
    <x v="0"/>
    <x v="3"/>
    <x v="0"/>
    <x v="3"/>
    <x v="0"/>
    <x v="5"/>
    <x v="5"/>
    <x v="1"/>
    <x v="0"/>
    <x v="1"/>
    <x v="2"/>
    <x v="4"/>
    <x v="5"/>
    <x v="3"/>
    <x v="1"/>
    <x v="0"/>
    <x v="1"/>
    <x v="0"/>
    <x v="0"/>
    <x v="1"/>
    <x v="2"/>
    <x v="2"/>
    <x v="1"/>
    <s v="siempre he creído que se necesita mas dedicación hacia los estudiantes, para que nosotros podamos aprender y entender mas claramente los temas a los estamos involucrados._x000a_gracias"/>
    <n v="200071072035"/>
  </r>
  <r>
    <d v="2017-06-06T13:01:26"/>
    <s v="mvescobarg@correo.udistrital.edu.co"/>
    <s v="TECNOLOGÍA EN SISTEMAS ELÉCTRICOS DE MEDIA Y BAJA TENSIÓN POR CICLOS PROPEDÉUTICOS"/>
    <n v="1"/>
    <x v="2"/>
    <x v="0"/>
    <x v="1"/>
    <x v="1"/>
    <x v="3"/>
    <x v="4"/>
    <x v="4"/>
    <x v="0"/>
    <x v="0"/>
    <x v="3"/>
    <x v="0"/>
    <x v="1"/>
    <x v="1"/>
    <x v="1"/>
    <x v="1"/>
    <x v="1"/>
    <x v="3"/>
    <x v="1"/>
    <x v="3"/>
    <x v="2"/>
    <x v="1"/>
    <x v="1"/>
    <x v="2"/>
    <x v="2"/>
    <x v="3"/>
    <x v="3"/>
    <x v="0"/>
    <x v="3"/>
    <x v="0"/>
    <x v="5"/>
    <x v="0"/>
    <x v="0"/>
    <x v="2"/>
    <x v="1"/>
    <x v="2"/>
    <x v="1"/>
    <x v="1"/>
    <x v="1"/>
    <x v="1"/>
    <x v="0"/>
    <x v="1"/>
    <x v="0"/>
    <x v="2"/>
    <x v="1"/>
    <x v="3"/>
    <x v="1"/>
    <x v="1"/>
    <x v="1"/>
    <x v="3"/>
    <x v="4"/>
    <x v="5"/>
    <x v="2"/>
    <x v="1"/>
    <x v="5"/>
    <x v="2"/>
    <x v="0"/>
    <x v="1"/>
    <x v="1"/>
    <x v="1"/>
    <x v="0"/>
    <x v="0"/>
    <x v="2"/>
    <x v="1"/>
    <x v="0"/>
    <x v="1"/>
    <x v="1"/>
    <x v="1"/>
    <x v="3"/>
    <x v="0"/>
    <x v="2"/>
    <x v="1"/>
    <x v="1"/>
    <x v="2"/>
    <x v="1"/>
    <x v="0"/>
    <x v="3"/>
    <x v="0"/>
    <x v="0"/>
    <x v="0"/>
    <x v="5"/>
    <x v="1"/>
    <x v="1"/>
    <x v="0"/>
    <x v="0"/>
    <x v="0"/>
    <x v="0"/>
    <x v="4"/>
    <x v="5"/>
    <x v="1"/>
    <x v="2"/>
    <x v="1"/>
    <x v="2"/>
    <x v="1"/>
    <x v="2"/>
    <x v="2"/>
    <x v="5"/>
    <x v="1"/>
    <m/>
    <n v="20171572036"/>
  </r>
  <r>
    <d v="2017-06-06T17:47:53"/>
    <s v="aleja1ps@hotmail.com"/>
    <s v="TECNOLOGÍA EN ELECTRICIDAD"/>
    <n v="10"/>
    <x v="1"/>
    <x v="0"/>
    <x v="0"/>
    <x v="5"/>
    <x v="3"/>
    <x v="3"/>
    <x v="1"/>
    <x v="1"/>
    <x v="3"/>
    <x v="2"/>
    <x v="1"/>
    <x v="2"/>
    <x v="4"/>
    <x v="1"/>
    <x v="2"/>
    <x v="1"/>
    <x v="2"/>
    <x v="2"/>
    <x v="1"/>
    <x v="1"/>
    <x v="4"/>
    <x v="4"/>
    <x v="3"/>
    <x v="5"/>
    <x v="2"/>
    <x v="5"/>
    <x v="5"/>
    <x v="0"/>
    <x v="5"/>
    <x v="4"/>
    <x v="5"/>
    <x v="5"/>
    <x v="5"/>
    <x v="5"/>
    <x v="1"/>
    <x v="1"/>
    <x v="0"/>
    <x v="5"/>
    <x v="1"/>
    <x v="3"/>
    <x v="1"/>
    <x v="0"/>
    <x v="4"/>
    <x v="1"/>
    <x v="0"/>
    <x v="1"/>
    <x v="1"/>
    <x v="2"/>
    <x v="1"/>
    <x v="2"/>
    <x v="1"/>
    <x v="2"/>
    <x v="3"/>
    <x v="5"/>
    <x v="0"/>
    <x v="0"/>
    <x v="5"/>
    <x v="4"/>
    <x v="1"/>
    <x v="1"/>
    <x v="3"/>
    <x v="1"/>
    <x v="1"/>
    <x v="1"/>
    <x v="0"/>
    <x v="2"/>
    <x v="2"/>
    <x v="0"/>
    <x v="2"/>
    <x v="1"/>
    <x v="3"/>
    <x v="2"/>
    <x v="0"/>
    <x v="1"/>
    <x v="4"/>
    <x v="4"/>
    <x v="3"/>
    <x v="5"/>
    <x v="1"/>
    <x v="5"/>
    <x v="4"/>
    <x v="0"/>
    <x v="2"/>
    <x v="2"/>
    <x v="5"/>
    <x v="4"/>
    <x v="3"/>
    <x v="2"/>
    <x v="3"/>
    <x v="2"/>
    <x v="3"/>
    <x v="2"/>
    <x v="0"/>
    <x v="1"/>
    <x v="3"/>
    <x v="2"/>
    <x v="2"/>
    <m/>
    <n v="20121072079"/>
  </r>
  <r>
    <d v="2017-06-06T18:34:05"/>
    <s v="ximena_kr@hotmail.com"/>
    <s v="TECNOLOGÍA EN ELECTRICIDAD"/>
    <n v="6"/>
    <x v="2"/>
    <x v="0"/>
    <x v="1"/>
    <x v="1"/>
    <x v="2"/>
    <x v="1"/>
    <x v="4"/>
    <x v="2"/>
    <x v="0"/>
    <x v="1"/>
    <x v="1"/>
    <x v="1"/>
    <x v="1"/>
    <x v="4"/>
    <x v="3"/>
    <x v="1"/>
    <x v="3"/>
    <x v="3"/>
    <x v="3"/>
    <x v="2"/>
    <x v="2"/>
    <x v="3"/>
    <x v="2"/>
    <x v="3"/>
    <x v="1"/>
    <x v="3"/>
    <x v="0"/>
    <x v="0"/>
    <x v="2"/>
    <x v="0"/>
    <x v="1"/>
    <x v="0"/>
    <x v="2"/>
    <x v="1"/>
    <x v="3"/>
    <x v="0"/>
    <x v="1"/>
    <x v="3"/>
    <x v="4"/>
    <x v="0"/>
    <x v="0"/>
    <x v="0"/>
    <x v="3"/>
    <x v="0"/>
    <x v="0"/>
    <x v="0"/>
    <x v="1"/>
    <x v="3"/>
    <x v="0"/>
    <x v="0"/>
    <x v="5"/>
    <x v="0"/>
    <x v="2"/>
    <x v="0"/>
    <x v="0"/>
    <x v="0"/>
    <x v="4"/>
    <x v="1"/>
    <x v="1"/>
    <x v="0"/>
    <x v="0"/>
    <x v="0"/>
    <x v="1"/>
    <x v="3"/>
    <x v="1"/>
    <x v="1"/>
    <x v="1"/>
    <x v="2"/>
    <x v="1"/>
    <x v="0"/>
    <x v="1"/>
    <x v="1"/>
    <x v="2"/>
    <x v="3"/>
    <x v="0"/>
    <x v="0"/>
    <x v="0"/>
    <x v="3"/>
    <x v="0"/>
    <x v="2"/>
    <x v="2"/>
    <x v="1"/>
    <x v="0"/>
    <x v="1"/>
    <x v="0"/>
    <x v="5"/>
    <x v="5"/>
    <x v="3"/>
    <x v="1"/>
    <x v="0"/>
    <x v="1"/>
    <x v="0"/>
    <x v="0"/>
    <x v="1"/>
    <x v="3"/>
    <x v="2"/>
    <x v="1"/>
    <m/>
    <n v="20131072047"/>
  </r>
  <r>
    <d v="2017-06-09T23:31:00"/>
    <s v="spvaleroc@gmail.com"/>
    <s v="INGENIERÍA ELÉCTRICA POR CICLOS PROPEDÉUTICOS"/>
    <n v="3"/>
    <x v="3"/>
    <x v="0"/>
    <x v="3"/>
    <x v="3"/>
    <x v="2"/>
    <x v="0"/>
    <x v="4"/>
    <x v="1"/>
    <x v="3"/>
    <x v="4"/>
    <x v="2"/>
    <x v="2"/>
    <x v="4"/>
    <x v="3"/>
    <x v="5"/>
    <x v="4"/>
    <x v="2"/>
    <x v="5"/>
    <x v="5"/>
    <x v="4"/>
    <x v="3"/>
    <x v="4"/>
    <x v="2"/>
    <x v="5"/>
    <x v="5"/>
    <x v="4"/>
    <x v="5"/>
    <x v="4"/>
    <x v="2"/>
    <x v="3"/>
    <x v="5"/>
    <x v="5"/>
    <x v="5"/>
    <x v="4"/>
    <x v="0"/>
    <x v="4"/>
    <x v="4"/>
    <x v="5"/>
    <x v="5"/>
    <x v="3"/>
    <x v="0"/>
    <x v="1"/>
    <x v="1"/>
    <x v="4"/>
    <x v="2"/>
    <x v="4"/>
    <x v="4"/>
    <x v="0"/>
    <x v="0"/>
    <x v="2"/>
    <x v="3"/>
    <x v="2"/>
    <x v="3"/>
    <x v="3"/>
    <x v="5"/>
    <x v="5"/>
    <x v="3"/>
    <x v="5"/>
    <x v="5"/>
    <x v="3"/>
    <x v="4"/>
    <x v="4"/>
    <x v="5"/>
    <x v="4"/>
    <x v="5"/>
    <x v="1"/>
    <x v="3"/>
    <x v="3"/>
    <x v="3"/>
    <x v="5"/>
    <x v="5"/>
    <x v="4"/>
    <x v="5"/>
    <x v="4"/>
    <x v="3"/>
    <x v="5"/>
    <x v="4"/>
    <x v="4"/>
    <x v="4"/>
    <x v="5"/>
    <x v="4"/>
    <x v="5"/>
    <x v="4"/>
    <x v="5"/>
    <x v="4"/>
    <x v="4"/>
    <x v="3"/>
    <x v="2"/>
    <x v="5"/>
    <x v="4"/>
    <x v="5"/>
    <x v="5"/>
    <x v="5"/>
    <x v="5"/>
    <x v="5"/>
    <x v="5"/>
    <x v="2"/>
    <s v="La metodología de los &quot;docentes&quot; que fueron laboratoristas y egresados de la Universidad no es correcta , no conocen de pedagogia  exigen resultados más allá de lo que como docentes ofrecen, no retroalimentan en caso de no ser correcto el resultado , incluso se dirigen al alumno con frases como no me haga perder el tiempo , ademas algunos docentes que hasta poseen doctorados se basan en copias de capítulos de libros esto no es malo , pero que sólo nos lean lo que podemos leer por nosotros mismos y traspasar los ejemplos del libro al tablero sin tener claro el porque de de esos resultados ,contestar de forma irrespetuosa cuando se le hace una pregunta y sólo remitirnos nuevamente al libro , no es la forma , la Universidad necesita reforma en todos esos aspectos y en otros más ."/>
    <n v="20161372119"/>
  </r>
  <r>
    <d v="2017-10-10T12:36:19"/>
    <s v="brodri.24@gmail.com"/>
    <s v="TECNOLOGÍA EN SISTEMAS ELÉCTRICOS DE MEDIA Y BAJA TENSIÓN POR CICLOS PROPEDÉUTICOS"/>
    <n v="1"/>
    <x v="2"/>
    <x v="1"/>
    <x v="2"/>
    <x v="1"/>
    <x v="0"/>
    <x v="4"/>
    <x v="3"/>
    <x v="2"/>
    <x v="0"/>
    <x v="1"/>
    <x v="4"/>
    <x v="5"/>
    <x v="5"/>
    <x v="0"/>
    <x v="3"/>
    <x v="1"/>
    <x v="3"/>
    <x v="2"/>
    <x v="3"/>
    <x v="2"/>
    <x v="3"/>
    <x v="2"/>
    <x v="3"/>
    <x v="1"/>
    <x v="3"/>
    <x v="2"/>
    <x v="2"/>
    <x v="0"/>
    <x v="0"/>
    <x v="0"/>
    <x v="1"/>
    <x v="2"/>
    <x v="1"/>
    <x v="1"/>
    <x v="3"/>
    <x v="0"/>
    <x v="0"/>
    <x v="3"/>
    <x v="4"/>
    <x v="0"/>
    <x v="0"/>
    <x v="4"/>
    <x v="2"/>
    <x v="1"/>
    <x v="0"/>
    <x v="3"/>
    <x v="1"/>
    <x v="1"/>
    <x v="0"/>
    <x v="1"/>
    <x v="1"/>
    <x v="0"/>
    <x v="5"/>
    <x v="0"/>
    <x v="0"/>
    <x v="0"/>
    <x v="5"/>
    <x v="1"/>
    <x v="1"/>
    <x v="0"/>
    <x v="1"/>
    <x v="0"/>
    <x v="1"/>
    <x v="0"/>
    <x v="1"/>
    <x v="1"/>
    <x v="1"/>
    <x v="0"/>
    <x v="1"/>
    <x v="0"/>
    <x v="1"/>
    <x v="2"/>
    <x v="2"/>
    <x v="3"/>
    <x v="0"/>
    <x v="0"/>
    <x v="0"/>
    <x v="0"/>
    <x v="2"/>
    <x v="3"/>
    <x v="5"/>
    <x v="1"/>
    <x v="0"/>
    <x v="1"/>
    <x v="0"/>
    <x v="1"/>
    <x v="1"/>
    <x v="0"/>
    <x v="1"/>
    <x v="0"/>
    <x v="1"/>
    <x v="0"/>
    <x v="0"/>
    <x v="1"/>
    <x v="2"/>
    <x v="0"/>
    <x v="1"/>
    <m/>
    <n v="20171572001"/>
  </r>
  <r>
    <d v="2017-10-10T12:39:10"/>
    <s v="jac.99@hotmail.com"/>
    <s v="TECNOLOGÍA EN SISTEMAS ELÉCTRICOS DE MEDIA Y BAJA TENSIÓN POR CICLOS PROPEDÉUTICOS"/>
    <n v="2"/>
    <x v="2"/>
    <x v="0"/>
    <x v="1"/>
    <x v="1"/>
    <x v="1"/>
    <x v="0"/>
    <x v="2"/>
    <x v="0"/>
    <x v="2"/>
    <x v="2"/>
    <x v="2"/>
    <x v="3"/>
    <x v="3"/>
    <x v="4"/>
    <x v="2"/>
    <x v="1"/>
    <x v="1"/>
    <x v="3"/>
    <x v="3"/>
    <x v="1"/>
    <x v="1"/>
    <x v="1"/>
    <x v="2"/>
    <x v="1"/>
    <x v="1"/>
    <x v="3"/>
    <x v="0"/>
    <x v="0"/>
    <x v="1"/>
    <x v="0"/>
    <x v="1"/>
    <x v="0"/>
    <x v="2"/>
    <x v="0"/>
    <x v="2"/>
    <x v="0"/>
    <x v="2"/>
    <x v="2"/>
    <x v="4"/>
    <x v="1"/>
    <x v="1"/>
    <x v="0"/>
    <x v="2"/>
    <x v="0"/>
    <x v="0"/>
    <x v="1"/>
    <x v="1"/>
    <x v="2"/>
    <x v="1"/>
    <x v="5"/>
    <x v="2"/>
    <x v="3"/>
    <x v="1"/>
    <x v="2"/>
    <x v="1"/>
    <x v="0"/>
    <x v="2"/>
    <x v="2"/>
    <x v="1"/>
    <x v="1"/>
    <x v="1"/>
    <x v="1"/>
    <x v="2"/>
    <x v="2"/>
    <x v="1"/>
    <x v="2"/>
    <x v="1"/>
    <x v="0"/>
    <x v="2"/>
    <x v="1"/>
    <x v="3"/>
    <x v="1"/>
    <x v="2"/>
    <x v="2"/>
    <x v="1"/>
    <x v="3"/>
    <x v="0"/>
    <x v="0"/>
    <x v="2"/>
    <x v="5"/>
    <x v="4"/>
    <x v="2"/>
    <x v="1"/>
    <x v="1"/>
    <x v="0"/>
    <x v="1"/>
    <x v="1"/>
    <x v="1"/>
    <x v="2"/>
    <x v="0"/>
    <x v="2"/>
    <x v="1"/>
    <x v="1"/>
    <x v="1"/>
    <x v="1"/>
    <x v="1"/>
    <x v="0"/>
    <m/>
    <n v="20171572012"/>
  </r>
  <r>
    <d v="2017-10-10T12:39:57"/>
    <s v="vtola57@gmail.com"/>
    <s v="TECNOLOGÍA EN SISTEMAS ELÉCTRICOS DE MEDIA Y BAJA TENSIÓN POR CICLOS PROPEDÉUTICOS"/>
    <n v="2"/>
    <x v="1"/>
    <x v="0"/>
    <x v="1"/>
    <x v="1"/>
    <x v="0"/>
    <x v="3"/>
    <x v="1"/>
    <x v="1"/>
    <x v="0"/>
    <x v="2"/>
    <x v="4"/>
    <x v="5"/>
    <x v="2"/>
    <x v="2"/>
    <x v="2"/>
    <x v="1"/>
    <x v="1"/>
    <x v="1"/>
    <x v="1"/>
    <x v="1"/>
    <x v="1"/>
    <x v="1"/>
    <x v="2"/>
    <x v="1"/>
    <x v="1"/>
    <x v="3"/>
    <x v="0"/>
    <x v="1"/>
    <x v="1"/>
    <x v="1"/>
    <x v="1"/>
    <x v="0"/>
    <x v="0"/>
    <x v="0"/>
    <x v="2"/>
    <x v="1"/>
    <x v="2"/>
    <x v="1"/>
    <x v="1"/>
    <x v="1"/>
    <x v="1"/>
    <x v="0"/>
    <x v="2"/>
    <x v="2"/>
    <x v="1"/>
    <x v="0"/>
    <x v="0"/>
    <x v="2"/>
    <x v="1"/>
    <x v="5"/>
    <x v="4"/>
    <x v="2"/>
    <x v="1"/>
    <x v="1"/>
    <x v="0"/>
    <x v="1"/>
    <x v="2"/>
    <x v="2"/>
    <x v="2"/>
    <x v="1"/>
    <x v="2"/>
    <x v="1"/>
    <x v="2"/>
    <x v="1"/>
    <x v="2"/>
    <x v="2"/>
    <x v="2"/>
    <x v="1"/>
    <x v="2"/>
    <x v="1"/>
    <x v="3"/>
    <x v="1"/>
    <x v="1"/>
    <x v="1"/>
    <x v="0"/>
    <x v="2"/>
    <x v="1"/>
    <x v="1"/>
    <x v="1"/>
    <x v="2"/>
    <x v="2"/>
    <x v="1"/>
    <x v="0"/>
    <x v="1"/>
    <x v="1"/>
    <x v="2"/>
    <x v="0"/>
    <x v="0"/>
    <x v="1"/>
    <x v="0"/>
    <x v="1"/>
    <x v="0"/>
    <x v="0"/>
    <x v="1"/>
    <x v="1"/>
    <x v="1"/>
    <x v="0"/>
    <m/>
    <n v="20171572007"/>
  </r>
  <r>
    <d v="2017-10-10T12:40:01"/>
    <s v="victorcruz_inf@hotmail.com"/>
    <s v="TECNOLOGÍA EN SISTEMAS ELÉCTRICOS DE MEDIA Y BAJA TENSIÓN POR CICLOS PROPEDÉUTICOS"/>
    <n v="2"/>
    <x v="2"/>
    <x v="1"/>
    <x v="2"/>
    <x v="1"/>
    <x v="2"/>
    <x v="4"/>
    <x v="4"/>
    <x v="2"/>
    <x v="4"/>
    <x v="0"/>
    <x v="0"/>
    <x v="2"/>
    <x v="4"/>
    <x v="0"/>
    <x v="3"/>
    <x v="2"/>
    <x v="4"/>
    <x v="3"/>
    <x v="2"/>
    <x v="3"/>
    <x v="2"/>
    <x v="3"/>
    <x v="2"/>
    <x v="1"/>
    <x v="3"/>
    <x v="3"/>
    <x v="2"/>
    <x v="0"/>
    <x v="2"/>
    <x v="3"/>
    <x v="4"/>
    <x v="5"/>
    <x v="5"/>
    <x v="4"/>
    <x v="3"/>
    <x v="0"/>
    <x v="0"/>
    <x v="3"/>
    <x v="1"/>
    <x v="3"/>
    <x v="0"/>
    <x v="0"/>
    <x v="2"/>
    <x v="0"/>
    <x v="0"/>
    <x v="3"/>
    <x v="2"/>
    <x v="4"/>
    <x v="1"/>
    <x v="1"/>
    <x v="3"/>
    <x v="2"/>
    <x v="0"/>
    <x v="0"/>
    <x v="2"/>
    <x v="3"/>
    <x v="5"/>
    <x v="4"/>
    <x v="4"/>
    <x v="2"/>
    <x v="3"/>
    <x v="2"/>
    <x v="3"/>
    <x v="2"/>
    <x v="1"/>
    <x v="1"/>
    <x v="3"/>
    <x v="0"/>
    <x v="0"/>
    <x v="0"/>
    <x v="1"/>
    <x v="0"/>
    <x v="4"/>
    <x v="0"/>
    <x v="2"/>
    <x v="3"/>
    <x v="1"/>
    <x v="3"/>
    <x v="0"/>
    <x v="0"/>
    <x v="1"/>
    <x v="1"/>
    <x v="0"/>
    <x v="1"/>
    <x v="0"/>
    <x v="4"/>
    <x v="5"/>
    <x v="3"/>
    <x v="4"/>
    <x v="3"/>
    <x v="0"/>
    <x v="2"/>
    <x v="2"/>
    <x v="4"/>
    <x v="3"/>
    <x v="2"/>
    <x v="1"/>
    <m/>
    <n v="20171572028"/>
  </r>
  <r>
    <d v="2017-10-10T12:40:05"/>
    <s v="jimenez.aleja03@gmail.com"/>
    <s v="TECNOLOGÍA EN SISTEMAS ELÉCTRICOS DE MEDIA Y BAJA TENSIÓN POR CICLOS PROPEDÉUTICOS"/>
    <n v="2"/>
    <x v="1"/>
    <x v="2"/>
    <x v="1"/>
    <x v="1"/>
    <x v="0"/>
    <x v="4"/>
    <x v="1"/>
    <x v="1"/>
    <x v="0"/>
    <x v="1"/>
    <x v="1"/>
    <x v="1"/>
    <x v="5"/>
    <x v="0"/>
    <x v="3"/>
    <x v="1"/>
    <x v="3"/>
    <x v="3"/>
    <x v="2"/>
    <x v="1"/>
    <x v="1"/>
    <x v="3"/>
    <x v="2"/>
    <x v="2"/>
    <x v="1"/>
    <x v="3"/>
    <x v="3"/>
    <x v="0"/>
    <x v="4"/>
    <x v="1"/>
    <x v="0"/>
    <x v="0"/>
    <x v="2"/>
    <x v="2"/>
    <x v="1"/>
    <x v="2"/>
    <x v="1"/>
    <x v="1"/>
    <x v="1"/>
    <x v="1"/>
    <x v="1"/>
    <x v="0"/>
    <x v="2"/>
    <x v="1"/>
    <x v="0"/>
    <x v="1"/>
    <x v="1"/>
    <x v="3"/>
    <x v="5"/>
    <x v="3"/>
    <x v="5"/>
    <x v="2"/>
    <x v="0"/>
    <x v="0"/>
    <x v="2"/>
    <x v="0"/>
    <x v="4"/>
    <x v="4"/>
    <x v="4"/>
    <x v="4"/>
    <x v="0"/>
    <x v="2"/>
    <x v="3"/>
    <x v="0"/>
    <x v="0"/>
    <x v="3"/>
    <x v="1"/>
    <x v="3"/>
    <x v="3"/>
    <x v="3"/>
    <x v="0"/>
    <x v="2"/>
    <x v="4"/>
    <x v="1"/>
    <x v="0"/>
    <x v="3"/>
    <x v="2"/>
    <x v="0"/>
    <x v="1"/>
    <x v="2"/>
    <x v="2"/>
    <x v="0"/>
    <x v="2"/>
    <x v="2"/>
    <x v="2"/>
    <x v="3"/>
    <x v="4"/>
    <x v="3"/>
    <x v="3"/>
    <x v="2"/>
    <x v="3"/>
    <x v="2"/>
    <x v="2"/>
    <x v="0"/>
    <x v="3"/>
    <x v="5"/>
    <x v="2"/>
    <m/>
    <n v="20171572020"/>
  </r>
  <r>
    <d v="2017-10-10T12:41:53"/>
    <s v="ehmerchan93@gmail.com"/>
    <s v="INGENIERÍA ELÉCTRICA POR CICLOS PROPEDÉUTICOS"/>
    <n v="1"/>
    <x v="2"/>
    <x v="0"/>
    <x v="1"/>
    <x v="2"/>
    <x v="5"/>
    <x v="1"/>
    <x v="4"/>
    <x v="0"/>
    <x v="2"/>
    <x v="1"/>
    <x v="4"/>
    <x v="1"/>
    <x v="1"/>
    <x v="0"/>
    <x v="3"/>
    <x v="2"/>
    <x v="1"/>
    <x v="3"/>
    <x v="3"/>
    <x v="2"/>
    <x v="2"/>
    <x v="3"/>
    <x v="2"/>
    <x v="1"/>
    <x v="1"/>
    <x v="3"/>
    <x v="2"/>
    <x v="0"/>
    <x v="0"/>
    <x v="5"/>
    <x v="1"/>
    <x v="0"/>
    <x v="2"/>
    <x v="1"/>
    <x v="3"/>
    <x v="2"/>
    <x v="1"/>
    <x v="3"/>
    <x v="4"/>
    <x v="0"/>
    <x v="0"/>
    <x v="1"/>
    <x v="2"/>
    <x v="1"/>
    <x v="0"/>
    <x v="1"/>
    <x v="1"/>
    <x v="1"/>
    <x v="3"/>
    <x v="1"/>
    <x v="1"/>
    <x v="1"/>
    <x v="2"/>
    <x v="1"/>
    <x v="0"/>
    <x v="1"/>
    <x v="1"/>
    <x v="1"/>
    <x v="1"/>
    <x v="0"/>
    <x v="4"/>
    <x v="2"/>
    <x v="3"/>
    <x v="0"/>
    <x v="0"/>
    <x v="3"/>
    <x v="3"/>
    <x v="0"/>
    <x v="0"/>
    <x v="0"/>
    <x v="1"/>
    <x v="2"/>
    <x v="2"/>
    <x v="0"/>
    <x v="0"/>
    <x v="1"/>
    <x v="0"/>
    <x v="0"/>
    <x v="1"/>
    <x v="0"/>
    <x v="1"/>
    <x v="1"/>
    <x v="0"/>
    <x v="1"/>
    <x v="0"/>
    <x v="0"/>
    <x v="0"/>
    <x v="1"/>
    <x v="1"/>
    <x v="0"/>
    <x v="1"/>
    <x v="0"/>
    <x v="0"/>
    <x v="1"/>
    <x v="3"/>
    <x v="2"/>
    <x v="2"/>
    <m/>
    <n v="20172572070"/>
  </r>
  <r>
    <d v="2017-10-10T12:43:02"/>
    <s v="sbeltrang@correo.udistrital.edu.co"/>
    <s v="INGENIERÍA ELÉCTRICA POR CICLOS PROPEDÉUTICOS"/>
    <n v="1"/>
    <x v="2"/>
    <x v="0"/>
    <x v="1"/>
    <x v="2"/>
    <x v="0"/>
    <x v="3"/>
    <x v="1"/>
    <x v="1"/>
    <x v="1"/>
    <x v="2"/>
    <x v="1"/>
    <x v="1"/>
    <x v="1"/>
    <x v="2"/>
    <x v="1"/>
    <x v="1"/>
    <x v="1"/>
    <x v="1"/>
    <x v="1"/>
    <x v="1"/>
    <x v="1"/>
    <x v="1"/>
    <x v="1"/>
    <x v="2"/>
    <x v="2"/>
    <x v="3"/>
    <x v="1"/>
    <x v="1"/>
    <x v="1"/>
    <x v="3"/>
    <x v="2"/>
    <x v="2"/>
    <x v="0"/>
    <x v="0"/>
    <x v="1"/>
    <x v="1"/>
    <x v="1"/>
    <x v="1"/>
    <x v="1"/>
    <x v="0"/>
    <x v="1"/>
    <x v="0"/>
    <x v="0"/>
    <x v="1"/>
    <x v="1"/>
    <x v="0"/>
    <x v="0"/>
    <x v="2"/>
    <x v="4"/>
    <x v="5"/>
    <x v="2"/>
    <x v="0"/>
    <x v="0"/>
    <x v="2"/>
    <x v="1"/>
    <x v="2"/>
    <x v="2"/>
    <x v="2"/>
    <x v="2"/>
    <x v="1"/>
    <x v="2"/>
    <x v="1"/>
    <x v="2"/>
    <x v="1"/>
    <x v="2"/>
    <x v="2"/>
    <x v="2"/>
    <x v="1"/>
    <x v="2"/>
    <x v="1"/>
    <x v="3"/>
    <x v="1"/>
    <x v="1"/>
    <x v="2"/>
    <x v="1"/>
    <x v="2"/>
    <x v="1"/>
    <x v="1"/>
    <x v="1"/>
    <x v="1"/>
    <x v="0"/>
    <x v="2"/>
    <x v="1"/>
    <x v="0"/>
    <x v="1"/>
    <x v="2"/>
    <x v="0"/>
    <x v="4"/>
    <x v="2"/>
    <x v="1"/>
    <x v="2"/>
    <x v="1"/>
    <x v="1"/>
    <x v="2"/>
    <x v="1"/>
    <x v="1"/>
    <x v="0"/>
    <m/>
    <n v="20172572075"/>
  </r>
  <r>
    <d v="2017-10-10T12:43:08"/>
    <s v="juank-sc@hotmail.com"/>
    <s v="TECNOLOGÍA EN SISTEMAS ELÉCTRICOS DE MEDIA Y BAJA TENSIÓN POR CICLOS PROPEDÉUTICOS"/>
    <n v="1"/>
    <x v="2"/>
    <x v="0"/>
    <x v="1"/>
    <x v="1"/>
    <x v="0"/>
    <x v="4"/>
    <x v="4"/>
    <x v="1"/>
    <x v="1"/>
    <x v="2"/>
    <x v="4"/>
    <x v="1"/>
    <x v="1"/>
    <x v="2"/>
    <x v="2"/>
    <x v="1"/>
    <x v="5"/>
    <x v="3"/>
    <x v="1"/>
    <x v="1"/>
    <x v="1"/>
    <x v="1"/>
    <x v="2"/>
    <x v="1"/>
    <x v="2"/>
    <x v="3"/>
    <x v="0"/>
    <x v="0"/>
    <x v="0"/>
    <x v="2"/>
    <x v="2"/>
    <x v="0"/>
    <x v="2"/>
    <x v="0"/>
    <x v="2"/>
    <x v="1"/>
    <x v="2"/>
    <x v="1"/>
    <x v="4"/>
    <x v="1"/>
    <x v="1"/>
    <x v="1"/>
    <x v="1"/>
    <x v="2"/>
    <x v="1"/>
    <x v="0"/>
    <x v="1"/>
    <x v="2"/>
    <x v="1"/>
    <x v="1"/>
    <x v="0"/>
    <x v="0"/>
    <x v="1"/>
    <x v="1"/>
    <x v="0"/>
    <x v="1"/>
    <x v="2"/>
    <x v="2"/>
    <x v="2"/>
    <x v="1"/>
    <x v="2"/>
    <x v="1"/>
    <x v="2"/>
    <x v="0"/>
    <x v="2"/>
    <x v="2"/>
    <x v="1"/>
    <x v="1"/>
    <x v="2"/>
    <x v="1"/>
    <x v="3"/>
    <x v="1"/>
    <x v="4"/>
    <x v="0"/>
    <x v="0"/>
    <x v="2"/>
    <x v="1"/>
    <x v="1"/>
    <x v="1"/>
    <x v="1"/>
    <x v="0"/>
    <x v="2"/>
    <x v="1"/>
    <x v="0"/>
    <x v="1"/>
    <x v="1"/>
    <x v="0"/>
    <x v="4"/>
    <x v="2"/>
    <x v="1"/>
    <x v="2"/>
    <x v="0"/>
    <x v="1"/>
    <x v="2"/>
    <x v="1"/>
    <x v="0"/>
    <x v="1"/>
    <m/>
    <n v="20172572074"/>
  </r>
  <r>
    <d v="2017-10-10T12:43:55"/>
    <s v="dscr1996@gmail.com"/>
    <s v="TECNOLOGÍA EN SISTEMAS ELÉCTRICOS DE MEDIA Y BAJA TENSIÓN POR CICLOS PROPEDÉUTICOS"/>
    <n v="1"/>
    <x v="2"/>
    <x v="1"/>
    <x v="2"/>
    <x v="2"/>
    <x v="3"/>
    <x v="1"/>
    <x v="4"/>
    <x v="3"/>
    <x v="0"/>
    <x v="1"/>
    <x v="4"/>
    <x v="4"/>
    <x v="5"/>
    <x v="1"/>
    <x v="1"/>
    <x v="1"/>
    <x v="1"/>
    <x v="2"/>
    <x v="2"/>
    <x v="2"/>
    <x v="2"/>
    <x v="3"/>
    <x v="2"/>
    <x v="3"/>
    <x v="3"/>
    <x v="0"/>
    <x v="3"/>
    <x v="0"/>
    <x v="1"/>
    <x v="0"/>
    <x v="1"/>
    <x v="0"/>
    <x v="0"/>
    <x v="1"/>
    <x v="3"/>
    <x v="2"/>
    <x v="0"/>
    <x v="1"/>
    <x v="1"/>
    <x v="1"/>
    <x v="1"/>
    <x v="0"/>
    <x v="4"/>
    <x v="1"/>
    <x v="1"/>
    <x v="3"/>
    <x v="1"/>
    <x v="1"/>
    <x v="5"/>
    <x v="4"/>
    <x v="5"/>
    <x v="4"/>
    <x v="2"/>
    <x v="1"/>
    <x v="0"/>
    <x v="1"/>
    <x v="1"/>
    <x v="1"/>
    <x v="1"/>
    <x v="0"/>
    <x v="1"/>
    <x v="0"/>
    <x v="1"/>
    <x v="0"/>
    <x v="1"/>
    <x v="1"/>
    <x v="1"/>
    <x v="0"/>
    <x v="1"/>
    <x v="0"/>
    <x v="1"/>
    <x v="2"/>
    <x v="2"/>
    <x v="5"/>
    <x v="1"/>
    <x v="2"/>
    <x v="1"/>
    <x v="1"/>
    <x v="1"/>
    <x v="1"/>
    <x v="0"/>
    <x v="2"/>
    <x v="1"/>
    <x v="0"/>
    <x v="1"/>
    <x v="1"/>
    <x v="1"/>
    <x v="1"/>
    <x v="1"/>
    <x v="0"/>
    <x v="1"/>
    <x v="0"/>
    <x v="0"/>
    <x v="1"/>
    <x v="2"/>
    <x v="0"/>
    <x v="1"/>
    <m/>
    <n v="20172572068"/>
  </r>
  <r>
    <d v="2017-10-10T12:43:59"/>
    <s v="aguirreedicr7@gmail.com"/>
    <s v="TECNOLOGÍA EN SISTEMAS ELÉCTRICOS DE MEDIA Y BAJA TENSIÓN POR CICLOS PROPEDÉUTICOS"/>
    <n v="2"/>
    <x v="1"/>
    <x v="0"/>
    <x v="1"/>
    <x v="5"/>
    <x v="3"/>
    <x v="4"/>
    <x v="3"/>
    <x v="2"/>
    <x v="1"/>
    <x v="2"/>
    <x v="1"/>
    <x v="1"/>
    <x v="0"/>
    <x v="1"/>
    <x v="1"/>
    <x v="1"/>
    <x v="1"/>
    <x v="1"/>
    <x v="3"/>
    <x v="1"/>
    <x v="1"/>
    <x v="1"/>
    <x v="2"/>
    <x v="1"/>
    <x v="2"/>
    <x v="3"/>
    <x v="0"/>
    <x v="0"/>
    <x v="1"/>
    <x v="1"/>
    <x v="1"/>
    <x v="0"/>
    <x v="1"/>
    <x v="2"/>
    <x v="1"/>
    <x v="2"/>
    <x v="1"/>
    <x v="1"/>
    <x v="4"/>
    <x v="1"/>
    <x v="1"/>
    <x v="0"/>
    <x v="0"/>
    <x v="1"/>
    <x v="2"/>
    <x v="1"/>
    <x v="2"/>
    <x v="1"/>
    <x v="5"/>
    <x v="4"/>
    <x v="5"/>
    <x v="4"/>
    <x v="4"/>
    <x v="1"/>
    <x v="2"/>
    <x v="0"/>
    <x v="1"/>
    <x v="1"/>
    <x v="4"/>
    <x v="0"/>
    <x v="3"/>
    <x v="0"/>
    <x v="3"/>
    <x v="0"/>
    <x v="1"/>
    <x v="1"/>
    <x v="1"/>
    <x v="0"/>
    <x v="1"/>
    <x v="2"/>
    <x v="0"/>
    <x v="1"/>
    <x v="1"/>
    <x v="5"/>
    <x v="2"/>
    <x v="1"/>
    <x v="0"/>
    <x v="0"/>
    <x v="1"/>
    <x v="3"/>
    <x v="2"/>
    <x v="0"/>
    <x v="0"/>
    <x v="1"/>
    <x v="3"/>
    <x v="1"/>
    <x v="1"/>
    <x v="1"/>
    <x v="1"/>
    <x v="0"/>
    <x v="0"/>
    <x v="3"/>
    <x v="2"/>
    <x v="0"/>
    <x v="4"/>
    <x v="4"/>
    <x v="4"/>
    <m/>
    <n v="20171572074"/>
  </r>
  <r>
    <d v="2017-10-10T12:45:26"/>
    <s v="damian57.p@hotmail.com"/>
    <s v="TECNOLOGÍA EN ELECTRICIDAD"/>
    <n v="1"/>
    <x v="2"/>
    <x v="0"/>
    <x v="1"/>
    <x v="2"/>
    <x v="5"/>
    <x v="4"/>
    <x v="4"/>
    <x v="0"/>
    <x v="0"/>
    <x v="0"/>
    <x v="1"/>
    <x v="3"/>
    <x v="1"/>
    <x v="1"/>
    <x v="1"/>
    <x v="1"/>
    <x v="1"/>
    <x v="1"/>
    <x v="3"/>
    <x v="1"/>
    <x v="1"/>
    <x v="1"/>
    <x v="2"/>
    <x v="2"/>
    <x v="2"/>
    <x v="1"/>
    <x v="0"/>
    <x v="1"/>
    <x v="2"/>
    <x v="0"/>
    <x v="1"/>
    <x v="0"/>
    <x v="0"/>
    <x v="1"/>
    <x v="3"/>
    <x v="2"/>
    <x v="1"/>
    <x v="3"/>
    <x v="4"/>
    <x v="0"/>
    <x v="3"/>
    <x v="0"/>
    <x v="1"/>
    <x v="1"/>
    <x v="2"/>
    <x v="1"/>
    <x v="1"/>
    <x v="1"/>
    <x v="3"/>
    <x v="5"/>
    <x v="0"/>
    <x v="2"/>
    <x v="1"/>
    <x v="1"/>
    <x v="0"/>
    <x v="1"/>
    <x v="1"/>
    <x v="1"/>
    <x v="1"/>
    <x v="0"/>
    <x v="1"/>
    <x v="0"/>
    <x v="1"/>
    <x v="0"/>
    <x v="1"/>
    <x v="2"/>
    <x v="1"/>
    <x v="0"/>
    <x v="1"/>
    <x v="0"/>
    <x v="1"/>
    <x v="2"/>
    <x v="2"/>
    <x v="0"/>
    <x v="0"/>
    <x v="1"/>
    <x v="0"/>
    <x v="0"/>
    <x v="0"/>
    <x v="2"/>
    <x v="1"/>
    <x v="1"/>
    <x v="0"/>
    <x v="1"/>
    <x v="0"/>
    <x v="1"/>
    <x v="1"/>
    <x v="1"/>
    <x v="1"/>
    <x v="0"/>
    <x v="2"/>
    <x v="0"/>
    <x v="0"/>
    <x v="1"/>
    <x v="2"/>
    <x v="0"/>
    <x v="2"/>
    <m/>
    <n v="20172572077"/>
  </r>
  <r>
    <d v="2017-10-10T12:46:58"/>
    <s v="paolitagonita1997@gmail.com"/>
    <s v="TECNOLOGÍA EN ELECTRICIDAD"/>
    <n v="1"/>
    <x v="1"/>
    <x v="0"/>
    <x v="1"/>
    <x v="2"/>
    <x v="1"/>
    <x v="0"/>
    <x v="4"/>
    <x v="4"/>
    <x v="4"/>
    <x v="1"/>
    <x v="2"/>
    <x v="1"/>
    <x v="3"/>
    <x v="0"/>
    <x v="3"/>
    <x v="3"/>
    <x v="2"/>
    <x v="1"/>
    <x v="1"/>
    <x v="1"/>
    <x v="1"/>
    <x v="1"/>
    <x v="1"/>
    <x v="2"/>
    <x v="2"/>
    <x v="0"/>
    <x v="3"/>
    <x v="1"/>
    <x v="1"/>
    <x v="1"/>
    <x v="2"/>
    <x v="0"/>
    <x v="0"/>
    <x v="0"/>
    <x v="1"/>
    <x v="1"/>
    <x v="2"/>
    <x v="1"/>
    <x v="2"/>
    <x v="1"/>
    <x v="1"/>
    <x v="0"/>
    <x v="0"/>
    <x v="2"/>
    <x v="1"/>
    <x v="0"/>
    <x v="0"/>
    <x v="4"/>
    <x v="2"/>
    <x v="4"/>
    <x v="3"/>
    <x v="2"/>
    <x v="4"/>
    <x v="3"/>
    <x v="0"/>
    <x v="5"/>
    <x v="3"/>
    <x v="1"/>
    <x v="1"/>
    <x v="0"/>
    <x v="4"/>
    <x v="0"/>
    <x v="3"/>
    <x v="0"/>
    <x v="0"/>
    <x v="3"/>
    <x v="0"/>
    <x v="5"/>
    <x v="0"/>
    <x v="2"/>
    <x v="1"/>
    <x v="3"/>
    <x v="2"/>
    <x v="2"/>
    <x v="2"/>
    <x v="5"/>
    <x v="5"/>
    <x v="2"/>
    <x v="4"/>
    <x v="0"/>
    <x v="1"/>
    <x v="4"/>
    <x v="2"/>
    <x v="2"/>
    <x v="4"/>
    <x v="4"/>
    <x v="0"/>
    <x v="1"/>
    <x v="1"/>
    <x v="2"/>
    <x v="1"/>
    <x v="2"/>
    <x v="0"/>
    <x v="0"/>
    <x v="3"/>
    <x v="2"/>
    <x v="2"/>
    <m/>
    <n v="20172572076"/>
  </r>
  <r>
    <d v="2017-10-10T12:47:56"/>
    <s v="juanestebanhe@gmail.com"/>
    <s v="TECNOLOGÍA EN SISTEMAS ELÉCTRICOS DE MEDIA Y BAJA TENSIÓN POR CICLOS PROPEDÉUTICOS"/>
    <n v="2"/>
    <x v="2"/>
    <x v="0"/>
    <x v="1"/>
    <x v="5"/>
    <x v="3"/>
    <x v="5"/>
    <x v="1"/>
    <x v="1"/>
    <x v="0"/>
    <x v="1"/>
    <x v="1"/>
    <x v="5"/>
    <x v="3"/>
    <x v="4"/>
    <x v="2"/>
    <x v="1"/>
    <x v="1"/>
    <x v="2"/>
    <x v="3"/>
    <x v="1"/>
    <x v="1"/>
    <x v="1"/>
    <x v="5"/>
    <x v="4"/>
    <x v="3"/>
    <x v="1"/>
    <x v="3"/>
    <x v="1"/>
    <x v="4"/>
    <x v="1"/>
    <x v="3"/>
    <x v="0"/>
    <x v="0"/>
    <x v="1"/>
    <x v="1"/>
    <x v="2"/>
    <x v="1"/>
    <x v="1"/>
    <x v="1"/>
    <x v="1"/>
    <x v="1"/>
    <x v="1"/>
    <x v="0"/>
    <x v="1"/>
    <x v="1"/>
    <x v="0"/>
    <x v="0"/>
    <x v="3"/>
    <x v="5"/>
    <x v="4"/>
    <x v="5"/>
    <x v="4"/>
    <x v="4"/>
    <x v="4"/>
    <x v="3"/>
    <x v="4"/>
    <x v="5"/>
    <x v="4"/>
    <x v="4"/>
    <x v="1"/>
    <x v="1"/>
    <x v="0"/>
    <x v="1"/>
    <x v="1"/>
    <x v="5"/>
    <x v="2"/>
    <x v="2"/>
    <x v="1"/>
    <x v="2"/>
    <x v="1"/>
    <x v="3"/>
    <x v="1"/>
    <x v="3"/>
    <x v="1"/>
    <x v="4"/>
    <x v="4"/>
    <x v="3"/>
    <x v="5"/>
    <x v="1"/>
    <x v="2"/>
    <x v="2"/>
    <x v="2"/>
    <x v="3"/>
    <x v="1"/>
    <x v="1"/>
    <x v="5"/>
    <x v="5"/>
    <x v="3"/>
    <x v="1"/>
    <x v="1"/>
    <x v="2"/>
    <x v="1"/>
    <x v="1"/>
    <x v="2"/>
    <x v="1"/>
    <x v="1"/>
    <x v="0"/>
    <s v="Me gustaría que en el plan de estudios se implementaran las electivas en ciencias básicas de nuevo y algunas electivas de electro-química y química básica que complementarían mucho la carrera"/>
    <n v="20171572008"/>
  </r>
  <r>
    <d v="2017-10-10T12:49:10"/>
    <s v="azulon9714@gmail.com"/>
    <s v="TECNOLOGÍA EN SISTEMAS ELÉCTRICOS DE MEDIA Y BAJA TENSIÓN POR CICLOS PROPEDÉUTICOS"/>
    <n v="1"/>
    <x v="2"/>
    <x v="1"/>
    <x v="1"/>
    <x v="2"/>
    <x v="2"/>
    <x v="1"/>
    <x v="4"/>
    <x v="1"/>
    <x v="1"/>
    <x v="1"/>
    <x v="1"/>
    <x v="2"/>
    <x v="4"/>
    <x v="0"/>
    <x v="2"/>
    <x v="5"/>
    <x v="5"/>
    <x v="1"/>
    <x v="1"/>
    <x v="1"/>
    <x v="1"/>
    <x v="1"/>
    <x v="2"/>
    <x v="1"/>
    <x v="1"/>
    <x v="2"/>
    <x v="0"/>
    <x v="0"/>
    <x v="1"/>
    <x v="1"/>
    <x v="2"/>
    <x v="0"/>
    <x v="0"/>
    <x v="0"/>
    <x v="3"/>
    <x v="1"/>
    <x v="1"/>
    <x v="1"/>
    <x v="1"/>
    <x v="1"/>
    <x v="1"/>
    <x v="4"/>
    <x v="1"/>
    <x v="1"/>
    <x v="1"/>
    <x v="1"/>
    <x v="1"/>
    <x v="0"/>
    <x v="2"/>
    <x v="3"/>
    <x v="3"/>
    <x v="2"/>
    <x v="1"/>
    <x v="1"/>
    <x v="0"/>
    <x v="1"/>
    <x v="2"/>
    <x v="2"/>
    <x v="2"/>
    <x v="1"/>
    <x v="2"/>
    <x v="0"/>
    <x v="2"/>
    <x v="1"/>
    <x v="3"/>
    <x v="2"/>
    <x v="2"/>
    <x v="1"/>
    <x v="2"/>
    <x v="1"/>
    <x v="1"/>
    <x v="1"/>
    <x v="1"/>
    <x v="1"/>
    <x v="5"/>
    <x v="4"/>
    <x v="3"/>
    <x v="5"/>
    <x v="1"/>
    <x v="1"/>
    <x v="0"/>
    <x v="3"/>
    <x v="0"/>
    <x v="1"/>
    <x v="0"/>
    <x v="2"/>
    <x v="5"/>
    <x v="1"/>
    <x v="4"/>
    <x v="1"/>
    <x v="0"/>
    <x v="0"/>
    <x v="0"/>
    <x v="3"/>
    <x v="4"/>
    <x v="4"/>
    <x v="4"/>
    <m/>
    <n v="20172572069"/>
  </r>
  <r>
    <d v="2017-10-10T12:58:32"/>
    <s v="marcelaflorez-@hotmail.com"/>
    <s v="TECNOLOGÍA EN SISTEMAS ELÉCTRICOS DE MEDIA Y BAJA TENSIÓN POR CICLOS PROPEDÉUTICOS"/>
    <n v="3"/>
    <x v="2"/>
    <x v="2"/>
    <x v="1"/>
    <x v="2"/>
    <x v="0"/>
    <x v="4"/>
    <x v="3"/>
    <x v="1"/>
    <x v="4"/>
    <x v="1"/>
    <x v="2"/>
    <x v="2"/>
    <x v="0"/>
    <x v="0"/>
    <x v="1"/>
    <x v="5"/>
    <x v="1"/>
    <x v="3"/>
    <x v="3"/>
    <x v="2"/>
    <x v="5"/>
    <x v="3"/>
    <x v="2"/>
    <x v="3"/>
    <x v="2"/>
    <x v="3"/>
    <x v="1"/>
    <x v="1"/>
    <x v="1"/>
    <x v="1"/>
    <x v="3"/>
    <x v="0"/>
    <x v="2"/>
    <x v="2"/>
    <x v="3"/>
    <x v="2"/>
    <x v="0"/>
    <x v="3"/>
    <x v="1"/>
    <x v="1"/>
    <x v="1"/>
    <x v="0"/>
    <x v="1"/>
    <x v="2"/>
    <x v="1"/>
    <x v="0"/>
    <x v="1"/>
    <x v="0"/>
    <x v="2"/>
    <x v="2"/>
    <x v="3"/>
    <x v="2"/>
    <x v="1"/>
    <x v="0"/>
    <x v="2"/>
    <x v="0"/>
    <x v="2"/>
    <x v="4"/>
    <x v="1"/>
    <x v="1"/>
    <x v="4"/>
    <x v="2"/>
    <x v="2"/>
    <x v="2"/>
    <x v="0"/>
    <x v="3"/>
    <x v="2"/>
    <x v="2"/>
    <x v="0"/>
    <x v="2"/>
    <x v="0"/>
    <x v="1"/>
    <x v="4"/>
    <x v="1"/>
    <x v="1"/>
    <x v="3"/>
    <x v="2"/>
    <x v="1"/>
    <x v="1"/>
    <x v="5"/>
    <x v="2"/>
    <x v="5"/>
    <x v="4"/>
    <x v="1"/>
    <x v="0"/>
    <x v="4"/>
    <x v="2"/>
    <x v="0"/>
    <x v="1"/>
    <x v="2"/>
    <x v="3"/>
    <x v="2"/>
    <x v="2"/>
    <x v="0"/>
    <x v="3"/>
    <x v="2"/>
    <x v="0"/>
    <m/>
    <n v="20162572485"/>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r>
    <m/>
    <m/>
    <m/>
    <m/>
    <x v="6"/>
    <x v="5"/>
    <x v="5"/>
    <x v="6"/>
    <x v="6"/>
    <x v="6"/>
    <x v="6"/>
    <x v="6"/>
    <x v="6"/>
    <x v="6"/>
    <x v="6"/>
    <x v="6"/>
    <x v="6"/>
    <x v="6"/>
    <x v="6"/>
    <x v="6"/>
    <x v="6"/>
    <x v="6"/>
    <x v="6"/>
    <x v="6"/>
    <x v="6"/>
    <x v="6"/>
    <x v="6"/>
    <x v="6"/>
    <x v="6"/>
    <x v="6"/>
    <x v="6"/>
    <x v="6"/>
    <x v="6"/>
    <x v="6"/>
    <x v="6"/>
    <x v="6"/>
    <x v="6"/>
    <x v="6"/>
    <x v="6"/>
    <x v="5"/>
    <x v="6"/>
    <x v="6"/>
    <x v="6"/>
    <x v="5"/>
    <x v="6"/>
    <x v="6"/>
    <x v="6"/>
    <x v="6"/>
    <x v="6"/>
    <x v="6"/>
    <x v="6"/>
    <x v="6"/>
    <x v="6"/>
    <x v="6"/>
    <x v="6"/>
    <x v="6"/>
    <x v="6"/>
    <x v="6"/>
    <x v="6"/>
    <x v="6"/>
    <x v="6"/>
    <x v="6"/>
    <x v="6"/>
    <x v="5"/>
    <x v="6"/>
    <x v="6"/>
    <x v="6"/>
    <x v="6"/>
    <x v="6"/>
    <x v="6"/>
    <x v="6"/>
    <x v="6"/>
    <x v="6"/>
    <x v="6"/>
    <x v="6"/>
    <x v="6"/>
    <x v="6"/>
    <x v="6"/>
    <x v="6"/>
    <x v="6"/>
    <x v="6"/>
    <x v="6"/>
    <x v="6"/>
    <x v="6"/>
    <x v="6"/>
    <x v="6"/>
    <x v="6"/>
    <x v="6"/>
    <x v="6"/>
    <x v="6"/>
    <x v="6"/>
    <x v="6"/>
    <x v="6"/>
    <x v="6"/>
    <x v="6"/>
    <x v="6"/>
    <x v="6"/>
    <x v="6"/>
    <x v="6"/>
    <x v="6"/>
    <x v="6"/>
    <m/>
    <m/>
  </r>
</pivotCacheRecords>
</file>

<file path=xl/pivotCache/pivotCacheRecords3.xml><?xml version="1.0" encoding="utf-8"?>
<pivotCacheRecords xmlns="http://schemas.openxmlformats.org/spreadsheetml/2006/main" xmlns:r="http://schemas.openxmlformats.org/officeDocument/2006/relationships" count="41">
  <r>
    <d v="2016-12-12T12:08:29"/>
    <s v="Henry Felipe Ibáñez Olaya"/>
    <n v="79134027"/>
    <s v="Planta"/>
    <s v="Asistente"/>
    <s v="Magister en Ingeniería Eléctrica "/>
    <s v="Universidad Nacional de Colombia"/>
    <d v="2000-01-27T00:00:00"/>
    <s v="hfibanezo@gmail.com"/>
    <s v="TECNOLOGÍA EN SISTEMAS ELÉCTRICOS DE MEDIA Y BAJA TENSIÓN POR CICLOS PROPEDÉUTICOS"/>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m/>
  </r>
  <r>
    <d v="2016-12-12T14:49:30"/>
    <s v="Wilmar Alberto Díaz Ossa"/>
    <n v="19461636"/>
    <s v="Tiempo Completo Ocasional (TCO)"/>
    <s v="Asociado"/>
    <s v="Magister en Matemáticas Aplicadas"/>
    <s v="EAFIT"/>
    <d v="2002-08-01T00:00:00"/>
    <s v="wadiazo@gmail.com"/>
    <s v="TECNOLOGÍA EN SISTEMAS ELÉCTRICOS DE MEDIA Y BAJA TENSIÓN POR CICLOS PROPEDÉUTICOS"/>
    <x v="0"/>
    <x v="0"/>
    <x v="0"/>
    <x v="1"/>
    <x v="1"/>
    <x v="0"/>
    <x v="0"/>
    <x v="1"/>
    <x v="1"/>
    <x v="1"/>
    <x v="0"/>
    <x v="1"/>
    <x v="1"/>
    <x v="0"/>
    <x v="1"/>
    <x v="1"/>
    <x v="1"/>
    <x v="1"/>
    <x v="0"/>
    <x v="1"/>
    <x v="0"/>
    <x v="1"/>
    <x v="0"/>
    <x v="1"/>
    <x v="1"/>
    <x v="1"/>
    <x v="0"/>
    <x v="1"/>
    <x v="1"/>
    <x v="0"/>
    <x v="1"/>
    <x v="1"/>
    <x v="1"/>
    <x v="1"/>
    <x v="0"/>
    <x v="1"/>
    <x v="1"/>
    <x v="1"/>
    <x v="0"/>
    <x v="0"/>
    <x v="0"/>
    <x v="0"/>
    <x v="0"/>
    <x v="0"/>
    <x v="1"/>
    <x v="0"/>
    <x v="0"/>
    <x v="1"/>
    <x v="1"/>
    <x v="0"/>
    <x v="1"/>
    <x v="1"/>
    <x v="1"/>
    <x v="1"/>
    <x v="0"/>
    <x v="1"/>
    <x v="0"/>
    <x v="0"/>
    <x v="0"/>
    <x v="0"/>
    <x v="1"/>
    <x v="0"/>
    <x v="0"/>
    <x v="0"/>
    <x v="1"/>
    <x v="1"/>
    <x v="1"/>
    <x v="1"/>
    <x v="0"/>
    <x v="1"/>
    <x v="1"/>
    <x v="0"/>
    <x v="1"/>
    <x v="1"/>
    <x v="1"/>
    <x v="1"/>
    <x v="1"/>
    <x v="1"/>
    <x v="1"/>
    <x v="0"/>
    <x v="1"/>
    <x v="0"/>
    <x v="1"/>
    <x v="1"/>
    <x v="1"/>
    <x v="0"/>
    <x v="0"/>
    <x v="0"/>
    <m/>
  </r>
  <r>
    <d v="2016-12-12T15:38:04"/>
    <s v="José Danilo Rairán Antolines"/>
    <n v="79533881"/>
    <s v="Planta"/>
    <s v="Titular"/>
    <s v="Doctorado"/>
    <s v="Universidad Nacional de Colombia"/>
    <d v="1997-09-17T00:00:00"/>
    <s v="drairan@udistrital.edu.co"/>
    <s v="TECNOLOGÍA EN SISTEMAS ELÉCTRICOS DE MEDIA Y BAJA TENSIÓN POR CICLOS PROPEDÉUTICOS"/>
    <x v="1"/>
    <x v="0"/>
    <x v="1"/>
    <x v="2"/>
    <x v="0"/>
    <x v="1"/>
    <x v="0"/>
    <x v="1"/>
    <x v="0"/>
    <x v="0"/>
    <x v="1"/>
    <x v="0"/>
    <x v="1"/>
    <x v="1"/>
    <x v="1"/>
    <x v="0"/>
    <x v="1"/>
    <x v="0"/>
    <x v="0"/>
    <x v="0"/>
    <x v="1"/>
    <x v="2"/>
    <x v="0"/>
    <x v="0"/>
    <x v="2"/>
    <x v="2"/>
    <x v="1"/>
    <x v="2"/>
    <x v="2"/>
    <x v="1"/>
    <x v="1"/>
    <x v="1"/>
    <x v="1"/>
    <x v="1"/>
    <x v="0"/>
    <x v="0"/>
    <x v="1"/>
    <x v="1"/>
    <x v="1"/>
    <x v="1"/>
    <x v="1"/>
    <x v="1"/>
    <x v="1"/>
    <x v="1"/>
    <x v="0"/>
    <x v="0"/>
    <x v="0"/>
    <x v="2"/>
    <x v="2"/>
    <x v="1"/>
    <x v="2"/>
    <x v="2"/>
    <x v="1"/>
    <x v="1"/>
    <x v="1"/>
    <x v="0"/>
    <x v="1"/>
    <x v="1"/>
    <x v="0"/>
    <x v="0"/>
    <x v="1"/>
    <x v="1"/>
    <x v="0"/>
    <x v="0"/>
    <x v="1"/>
    <x v="0"/>
    <x v="0"/>
    <x v="1"/>
    <x v="0"/>
    <x v="1"/>
    <x v="0"/>
    <x v="1"/>
    <x v="1"/>
    <x v="1"/>
    <x v="1"/>
    <x v="2"/>
    <x v="1"/>
    <x v="1"/>
    <x v="2"/>
    <x v="1"/>
    <x v="1"/>
    <x v="0"/>
    <x v="1"/>
    <x v="1"/>
    <x v="0"/>
    <x v="0"/>
    <x v="0"/>
    <x v="1"/>
    <s v="Hay un problema que está saliendose de proporciones en la Facultad, se trata del consumo de alcohol y de sustancias alucinogenas por parte de los estudiantes. Esto está generando situacioes peligrosas, y las condiciones laborales, por tanto, se han deteriorado. De otra parte, algunos procedimientos administrativos le permiten a los estudiantes cancelar materias incluso de manera extemporanea, por lo cual el tiempo de permanencia de los estudiantes se ha incrementado, lo cual es otro problema grave. "/>
  </r>
  <r>
    <d v="2016-12-12T16:35:14"/>
    <s v="Fred Geovanny Murillo Rondon"/>
    <n v="79605098"/>
    <s v="Medio Tiempo Ocasional (MTO)"/>
    <s v="Asociado"/>
    <s v="Maestria"/>
    <s v="Universidad Santo Tomas"/>
    <d v="2003-02-03T00:00:00"/>
    <s v="fgmurillor@udistrital.edu.co"/>
    <s v="TECNOLOGÍA EN SISTEMAS ELÉCTRICOS DE MEDIA Y BAJA TENSIÓN POR CICLOS PROPEDÉUTICOS"/>
    <x v="0"/>
    <x v="0"/>
    <x v="0"/>
    <x v="0"/>
    <x v="0"/>
    <x v="2"/>
    <x v="1"/>
    <x v="1"/>
    <x v="0"/>
    <x v="1"/>
    <x v="0"/>
    <x v="2"/>
    <x v="2"/>
    <x v="1"/>
    <x v="0"/>
    <x v="1"/>
    <x v="2"/>
    <x v="2"/>
    <x v="1"/>
    <x v="2"/>
    <x v="2"/>
    <x v="2"/>
    <x v="1"/>
    <x v="1"/>
    <x v="3"/>
    <x v="3"/>
    <x v="0"/>
    <x v="2"/>
    <x v="3"/>
    <x v="1"/>
    <x v="0"/>
    <x v="0"/>
    <x v="1"/>
    <x v="1"/>
    <x v="1"/>
    <x v="2"/>
    <x v="2"/>
    <x v="0"/>
    <x v="1"/>
    <x v="0"/>
    <x v="0"/>
    <x v="1"/>
    <x v="1"/>
    <x v="0"/>
    <x v="1"/>
    <x v="0"/>
    <x v="0"/>
    <x v="2"/>
    <x v="1"/>
    <x v="0"/>
    <x v="3"/>
    <x v="0"/>
    <x v="0"/>
    <x v="0"/>
    <x v="0"/>
    <x v="1"/>
    <x v="0"/>
    <x v="0"/>
    <x v="0"/>
    <x v="0"/>
    <x v="1"/>
    <x v="0"/>
    <x v="0"/>
    <x v="0"/>
    <x v="0"/>
    <x v="1"/>
    <x v="1"/>
    <x v="1"/>
    <x v="1"/>
    <x v="2"/>
    <x v="1"/>
    <x v="1"/>
    <x v="2"/>
    <x v="1"/>
    <x v="1"/>
    <x v="0"/>
    <x v="0"/>
    <x v="1"/>
    <x v="1"/>
    <x v="1"/>
    <x v="0"/>
    <x v="0"/>
    <x v="0"/>
    <x v="0"/>
    <x v="0"/>
    <x v="1"/>
    <x v="1"/>
    <x v="1"/>
    <m/>
  </r>
  <r>
    <d v="2016-12-12T18:48:09"/>
    <s v="Sonia Constanza Calderón Santos"/>
    <n v="52841780"/>
    <s v="Hora Cátedra por Honorarios"/>
    <s v="Asistente"/>
    <s v="Magister en educación matemática"/>
    <s v="Universidad de los Andes"/>
    <d v="2015-10-05T00:00:00"/>
    <s v="sc.calderon@yahoo.com"/>
    <s v="TECNOLOGÍA EN SISTEMAS ELÉCTRICOS DE MEDIA Y BAJA TENSIÓN POR CICLOS PROPEDÉUTICOS"/>
    <x v="0"/>
    <x v="0"/>
    <x v="0"/>
    <x v="0"/>
    <x v="1"/>
    <x v="3"/>
    <x v="2"/>
    <x v="1"/>
    <x v="2"/>
    <x v="2"/>
    <x v="0"/>
    <x v="0"/>
    <x v="0"/>
    <x v="0"/>
    <x v="0"/>
    <x v="2"/>
    <x v="0"/>
    <x v="2"/>
    <x v="0"/>
    <x v="3"/>
    <x v="3"/>
    <x v="3"/>
    <x v="2"/>
    <x v="2"/>
    <x v="3"/>
    <x v="4"/>
    <x v="2"/>
    <x v="3"/>
    <x v="4"/>
    <x v="0"/>
    <x v="0"/>
    <x v="0"/>
    <x v="0"/>
    <x v="0"/>
    <x v="1"/>
    <x v="3"/>
    <x v="2"/>
    <x v="0"/>
    <x v="2"/>
    <x v="0"/>
    <x v="0"/>
    <x v="0"/>
    <x v="0"/>
    <x v="0"/>
    <x v="1"/>
    <x v="1"/>
    <x v="1"/>
    <x v="1"/>
    <x v="1"/>
    <x v="0"/>
    <x v="3"/>
    <x v="3"/>
    <x v="2"/>
    <x v="2"/>
    <x v="2"/>
    <x v="2"/>
    <x v="2"/>
    <x v="2"/>
    <x v="1"/>
    <x v="1"/>
    <x v="2"/>
    <x v="2"/>
    <x v="1"/>
    <x v="1"/>
    <x v="2"/>
    <x v="2"/>
    <x v="2"/>
    <x v="2"/>
    <x v="1"/>
    <x v="0"/>
    <x v="2"/>
    <x v="2"/>
    <x v="1"/>
    <x v="1"/>
    <x v="2"/>
    <x v="0"/>
    <x v="0"/>
    <x v="0"/>
    <x v="0"/>
    <x v="2"/>
    <x v="2"/>
    <x v="0"/>
    <x v="0"/>
    <x v="0"/>
    <x v="0"/>
    <x v="2"/>
    <x v="2"/>
    <x v="2"/>
    <m/>
  </r>
  <r>
    <d v="2016-12-12T21:47:40"/>
    <s v="OMAR ALFONSO  BOHÓRQUEZ PACHECO"/>
    <n v="80072442"/>
    <s v="Hora Catedra"/>
    <s v="Asistente"/>
    <s v="ESPECIALIZACIÓN EN MATEMÁTICAS APLICADAS"/>
    <s v="UNIVERSIDAD SERGIO ARBOLEDA"/>
    <d v="2011-08-01T00:00:00"/>
    <s v="majinbu8@hotmail.com"/>
    <s v="INGENIERÍA ELÉCTRICA POR CICLOS PROPEDÉUTICOS"/>
    <x v="1"/>
    <x v="1"/>
    <x v="0"/>
    <x v="0"/>
    <x v="2"/>
    <x v="3"/>
    <x v="2"/>
    <x v="1"/>
    <x v="0"/>
    <x v="2"/>
    <x v="0"/>
    <x v="1"/>
    <x v="1"/>
    <x v="0"/>
    <x v="0"/>
    <x v="2"/>
    <x v="0"/>
    <x v="3"/>
    <x v="0"/>
    <x v="4"/>
    <x v="3"/>
    <x v="1"/>
    <x v="2"/>
    <x v="0"/>
    <x v="3"/>
    <x v="3"/>
    <x v="1"/>
    <x v="3"/>
    <x v="0"/>
    <x v="0"/>
    <x v="0"/>
    <x v="0"/>
    <x v="0"/>
    <x v="0"/>
    <x v="1"/>
    <x v="4"/>
    <x v="1"/>
    <x v="1"/>
    <x v="2"/>
    <x v="2"/>
    <x v="2"/>
    <x v="0"/>
    <x v="1"/>
    <x v="0"/>
    <x v="0"/>
    <x v="1"/>
    <x v="1"/>
    <x v="2"/>
    <x v="2"/>
    <x v="2"/>
    <x v="3"/>
    <x v="2"/>
    <x v="3"/>
    <x v="3"/>
    <x v="3"/>
    <x v="3"/>
    <x v="3"/>
    <x v="3"/>
    <x v="0"/>
    <x v="2"/>
    <x v="3"/>
    <x v="0"/>
    <x v="2"/>
    <x v="2"/>
    <x v="3"/>
    <x v="2"/>
    <x v="2"/>
    <x v="2"/>
    <x v="1"/>
    <x v="3"/>
    <x v="3"/>
    <x v="0"/>
    <x v="3"/>
    <x v="2"/>
    <x v="3"/>
    <x v="0"/>
    <x v="0"/>
    <x v="1"/>
    <x v="0"/>
    <x v="1"/>
    <x v="1"/>
    <x v="1"/>
    <x v="1"/>
    <x v="1"/>
    <x v="1"/>
    <x v="2"/>
    <x v="2"/>
    <x v="2"/>
    <s v="MUY LARGA LA ENCUESTA ......... :)"/>
  </r>
  <r>
    <d v="2016-12-13T09:30:45"/>
    <s v="Gloria Ramirez Sanchez"/>
    <n v="52082587"/>
    <s v="Hora Cátedra por Honorarios"/>
    <s v="Asistente"/>
    <s v="Maestría en Desarrollo Sostenible y Medio Ambiente"/>
    <s v="Universidad de Manizales"/>
    <d v="2011-06-06T00:00:00"/>
    <s v="gloritabio@gmail.com"/>
    <s v="INGENIERÍA ELÉCTRICA POR CICLOS PROPEDÉUTICOS"/>
    <x v="1"/>
    <x v="1"/>
    <x v="1"/>
    <x v="1"/>
    <x v="0"/>
    <x v="1"/>
    <x v="0"/>
    <x v="1"/>
    <x v="1"/>
    <x v="0"/>
    <x v="1"/>
    <x v="3"/>
    <x v="3"/>
    <x v="0"/>
    <x v="0"/>
    <x v="3"/>
    <x v="1"/>
    <x v="1"/>
    <x v="2"/>
    <x v="1"/>
    <x v="3"/>
    <x v="3"/>
    <x v="2"/>
    <x v="2"/>
    <x v="3"/>
    <x v="3"/>
    <x v="0"/>
    <x v="2"/>
    <x v="4"/>
    <x v="1"/>
    <x v="1"/>
    <x v="2"/>
    <x v="2"/>
    <x v="2"/>
    <x v="2"/>
    <x v="0"/>
    <x v="3"/>
    <x v="1"/>
    <x v="3"/>
    <x v="0"/>
    <x v="0"/>
    <x v="1"/>
    <x v="1"/>
    <x v="1"/>
    <x v="2"/>
    <x v="0"/>
    <x v="0"/>
    <x v="3"/>
    <x v="3"/>
    <x v="3"/>
    <x v="3"/>
    <x v="2"/>
    <x v="1"/>
    <x v="1"/>
    <x v="1"/>
    <x v="1"/>
    <x v="0"/>
    <x v="0"/>
    <x v="2"/>
    <x v="3"/>
    <x v="0"/>
    <x v="1"/>
    <x v="3"/>
    <x v="3"/>
    <x v="0"/>
    <x v="3"/>
    <x v="3"/>
    <x v="3"/>
    <x v="2"/>
    <x v="0"/>
    <x v="2"/>
    <x v="3"/>
    <x v="0"/>
    <x v="0"/>
    <x v="2"/>
    <x v="0"/>
    <x v="1"/>
    <x v="2"/>
    <x v="3"/>
    <x v="3"/>
    <x v="3"/>
    <x v="0"/>
    <x v="1"/>
    <x v="1"/>
    <x v="1"/>
    <x v="1"/>
    <x v="1"/>
    <x v="1"/>
    <m/>
  </r>
  <r>
    <d v="2016-12-19T11:37:26"/>
    <s v="Clara Inés Buriticá Arboleda"/>
    <n v="30282756"/>
    <s v="Planta"/>
    <s v="Asistente"/>
    <s v="Doctora (PhD) en Gestión Eficiente de la Energía Eléctrica"/>
    <s v="Universidad Politécnica de Valencia (España)"/>
    <d v="2006-09-13T00:00:00"/>
    <s v="ciburiticaa@udistrital.edu.co"/>
    <s v="TECNOLOGÍA EN SISTEMAS ELÉCTRICOS DE MEDIA Y BAJA TENSIÓN POR CICLOS PROPEDÉUTICOS"/>
    <x v="0"/>
    <x v="0"/>
    <x v="0"/>
    <x v="1"/>
    <x v="1"/>
    <x v="0"/>
    <x v="0"/>
    <x v="1"/>
    <x v="1"/>
    <x v="1"/>
    <x v="1"/>
    <x v="4"/>
    <x v="4"/>
    <x v="2"/>
    <x v="2"/>
    <x v="4"/>
    <x v="3"/>
    <x v="2"/>
    <x v="0"/>
    <x v="4"/>
    <x v="3"/>
    <x v="3"/>
    <x v="2"/>
    <x v="3"/>
    <x v="4"/>
    <x v="5"/>
    <x v="0"/>
    <x v="0"/>
    <x v="5"/>
    <x v="2"/>
    <x v="2"/>
    <x v="2"/>
    <x v="3"/>
    <x v="3"/>
    <x v="3"/>
    <x v="5"/>
    <x v="4"/>
    <x v="2"/>
    <x v="4"/>
    <x v="0"/>
    <x v="0"/>
    <x v="0"/>
    <x v="0"/>
    <x v="2"/>
    <x v="3"/>
    <x v="2"/>
    <x v="2"/>
    <x v="4"/>
    <x v="4"/>
    <x v="4"/>
    <x v="3"/>
    <x v="4"/>
    <x v="4"/>
    <x v="3"/>
    <x v="1"/>
    <x v="4"/>
    <x v="2"/>
    <x v="2"/>
    <x v="3"/>
    <x v="3"/>
    <x v="0"/>
    <x v="3"/>
    <x v="4"/>
    <x v="3"/>
    <x v="4"/>
    <x v="4"/>
    <x v="4"/>
    <x v="4"/>
    <x v="3"/>
    <x v="4"/>
    <x v="4"/>
    <x v="4"/>
    <x v="4"/>
    <x v="3"/>
    <x v="0"/>
    <x v="0"/>
    <x v="0"/>
    <x v="0"/>
    <x v="0"/>
    <x v="4"/>
    <x v="4"/>
    <x v="2"/>
    <x v="2"/>
    <x v="2"/>
    <x v="2"/>
    <x v="3"/>
    <x v="3"/>
    <x v="3"/>
    <s v="Primero que todo agradezco este espacio para hacer comentarios y observaciones._x000a_En segundo lugar, me permito manifestar como opinión personal, que:_x000a_En el cuestionario presentado, existen preguntas ambiguas por los términos empleados, que considero pueden distorsionar la interpretación de las respuestas. Por ejemplo: _x000a_1) el programa académico al cual pertenezco &quot;permite&quot; desarrollar muchas actividades académicas (de docencia, de investigación y de extensión); sin embargo, no las lidera , ni las apoya, ni las incentiva. Esto último está bajo la iniciativa, responsabilidad y riesgo del docente que se &quot;atreve y osa&quot; en proponerlas y hacerlas._x000a_2) El cuerpo docente del programa académico al cual pertenezco no trabaja como un colectivo bajo intereses y objetivos comunes (los del proyecto curricular); por lo tanto, muchas de las respuestas relacionadas con lo que si hace el programa académico son muy generales para expresar la actividad propia de unos cuantos profesores (en especial en actividades académicas de investigación y de extensión)._x000a_3) Existen dos vacíos importantes para la institución y para el profesorado, en especial el de planta. Para la institución, falta una política real y clara sobre las donaciones (personas naturales y jurídicas están interesadas en donar libros, equipos y diferentes materiales a diferentes proyectos curriculares y no ha sido posible). Recordemos que el apoyo de actividades académicas de investigación y extensión exonera a empresas privadas del pago de algunos impuestos. Y, para el profesorado, en lo relacionado con salud ocupacional y seguridad en el trabajo. Si un profesor se enferma y le dan incapacidad médica por más de 3 días, esta debe autorizarla la EPS para ser presentada a la institución; sin embargo, el descuento al docente se hace efectivo pero el respaldo institucional nombrando al reemplazo, nunca se realiza. Por el contrario, por el tiempo que dura la incapacidad se acumula el trabajo y se le tiene pendiente al profesor para cuando se reintegra. Esto es grave para el caso de enfermedades relacionadas con el estrés y la fatiga crónica: enfermedades comunes en nuestro tiempo."/>
  </r>
  <r>
    <d v="2016-12-22T19:01:09"/>
    <s v="yaqueline garzon rodriguez"/>
    <n v="52529975"/>
    <s v="Planta"/>
    <s v="Asistente"/>
    <s v="mestria en ciencias de información y comunicaciones"/>
    <s v="Universidad Distrital  Francisco José de Caldas"/>
    <d v="2013-02-05T00:00:00"/>
    <s v="yaqueline.garzon@gmail.com"/>
    <s v="TECNOLOGÍA EN SISTEMAS ELÉCTRICOS DE MEDIA Y BAJA TENSIÓN POR CICLOS PROPEDÉUTICOS"/>
    <x v="0"/>
    <x v="1"/>
    <x v="1"/>
    <x v="1"/>
    <x v="0"/>
    <x v="2"/>
    <x v="1"/>
    <x v="0"/>
    <x v="1"/>
    <x v="0"/>
    <x v="1"/>
    <x v="1"/>
    <x v="1"/>
    <x v="3"/>
    <x v="0"/>
    <x v="3"/>
    <x v="1"/>
    <x v="2"/>
    <x v="1"/>
    <x v="3"/>
    <x v="0"/>
    <x v="0"/>
    <x v="0"/>
    <x v="0"/>
    <x v="5"/>
    <x v="0"/>
    <x v="3"/>
    <x v="4"/>
    <x v="0"/>
    <x v="1"/>
    <x v="1"/>
    <x v="1"/>
    <x v="2"/>
    <x v="1"/>
    <x v="0"/>
    <x v="0"/>
    <x v="1"/>
    <x v="3"/>
    <x v="0"/>
    <x v="1"/>
    <x v="1"/>
    <x v="0"/>
    <x v="0"/>
    <x v="1"/>
    <x v="0"/>
    <x v="0"/>
    <x v="0"/>
    <x v="5"/>
    <x v="0"/>
    <x v="2"/>
    <x v="4"/>
    <x v="2"/>
    <x v="0"/>
    <x v="1"/>
    <x v="0"/>
    <x v="1"/>
    <x v="0"/>
    <x v="0"/>
    <x v="0"/>
    <x v="3"/>
    <x v="0"/>
    <x v="1"/>
    <x v="0"/>
    <x v="0"/>
    <x v="5"/>
    <x v="0"/>
    <x v="0"/>
    <x v="0"/>
    <x v="1"/>
    <x v="5"/>
    <x v="1"/>
    <x v="0"/>
    <x v="4"/>
    <x v="4"/>
    <x v="2"/>
    <x v="1"/>
    <x v="0"/>
    <x v="1"/>
    <x v="1"/>
    <x v="1"/>
    <x v="1"/>
    <x v="0"/>
    <x v="1"/>
    <x v="2"/>
    <x v="1"/>
    <x v="0"/>
    <x v="0"/>
    <x v="1"/>
    <m/>
  </r>
  <r>
    <d v="2017-02-13T11:38:36"/>
    <s v="Dora Marcela Martínez Camargo"/>
    <n v="52023088"/>
    <s v="Planta"/>
    <s v="Asistente"/>
    <s v="Maestría en Educación"/>
    <s v="Pontificia Universidad Javeriana"/>
    <d v="1995-08-20T00:00:00"/>
    <s v="dmmartinezc@udistrital.edu.co"/>
    <s v="TECNOLOGÍA EN SISTEMAS ELÉCTRICOS DE MEDIA Y BAJA TENSIÓN POR CICLOS PROPEDÉUTICOS"/>
    <x v="0"/>
    <x v="0"/>
    <x v="0"/>
    <x v="0"/>
    <x v="1"/>
    <x v="0"/>
    <x v="0"/>
    <x v="1"/>
    <x v="0"/>
    <x v="1"/>
    <x v="0"/>
    <x v="0"/>
    <x v="1"/>
    <x v="0"/>
    <x v="0"/>
    <x v="0"/>
    <x v="0"/>
    <x v="1"/>
    <x v="0"/>
    <x v="1"/>
    <x v="0"/>
    <x v="2"/>
    <x v="3"/>
    <x v="4"/>
    <x v="5"/>
    <x v="2"/>
    <x v="1"/>
    <x v="2"/>
    <x v="2"/>
    <x v="0"/>
    <x v="1"/>
    <x v="1"/>
    <x v="1"/>
    <x v="1"/>
    <x v="1"/>
    <x v="0"/>
    <x v="2"/>
    <x v="0"/>
    <x v="1"/>
    <x v="0"/>
    <x v="0"/>
    <x v="0"/>
    <x v="0"/>
    <x v="1"/>
    <x v="1"/>
    <x v="1"/>
    <x v="0"/>
    <x v="1"/>
    <x v="2"/>
    <x v="0"/>
    <x v="4"/>
    <x v="1"/>
    <x v="3"/>
    <x v="3"/>
    <x v="3"/>
    <x v="2"/>
    <x v="2"/>
    <x v="2"/>
    <x v="4"/>
    <x v="2"/>
    <x v="3"/>
    <x v="0"/>
    <x v="2"/>
    <x v="0"/>
    <x v="3"/>
    <x v="0"/>
    <x v="0"/>
    <x v="1"/>
    <x v="1"/>
    <x v="2"/>
    <x v="0"/>
    <x v="0"/>
    <x v="5"/>
    <x v="5"/>
    <x v="4"/>
    <x v="0"/>
    <x v="0"/>
    <x v="1"/>
    <x v="1"/>
    <x v="1"/>
    <x v="2"/>
    <x v="3"/>
    <x v="0"/>
    <x v="3"/>
    <x v="0"/>
    <x v="0"/>
    <x v="0"/>
    <x v="0"/>
    <s v="Esta encuesta es aplicada a la Tecnología y a la ingeniería. Yo presto servicio a todas las tecnologías en Cátedra Francisco José de Caldas, considero importante preguntar sobre el proyecto curricular al cual está adscrito, no en el cual presta servicio."/>
  </r>
  <r>
    <d v="2017-06-12T11:20:26"/>
    <s v="Mary Sol Avendaño Avendaño"/>
    <n v="52068750"/>
    <s v="Hora Catedra"/>
    <s v="Asociado"/>
    <s v="Magister en educación"/>
    <s v="Universidad Pedagogica Nacional"/>
    <d v="2011-02-01T00:00:00"/>
    <s v="marwill666@hotmail.com"/>
    <s v="INGENIERÍA ELÉCTRICA ARTICULADO POR CICLOS PROPEDÉUTICOS CON TECNOLOGÍA EN SISTEMAS ELÉCTRICOS DE MEDIA Y BAJA TENSIÓN"/>
    <x v="1"/>
    <x v="1"/>
    <x v="0"/>
    <x v="0"/>
    <x v="0"/>
    <x v="1"/>
    <x v="0"/>
    <x v="0"/>
    <x v="0"/>
    <x v="1"/>
    <x v="1"/>
    <x v="3"/>
    <x v="2"/>
    <x v="3"/>
    <x v="1"/>
    <x v="3"/>
    <x v="2"/>
    <x v="2"/>
    <x v="3"/>
    <x v="4"/>
    <x v="3"/>
    <x v="3"/>
    <x v="4"/>
    <x v="5"/>
    <x v="6"/>
    <x v="3"/>
    <x v="0"/>
    <x v="3"/>
    <x v="0"/>
    <x v="1"/>
    <x v="1"/>
    <x v="0"/>
    <x v="2"/>
    <x v="2"/>
    <x v="0"/>
    <x v="4"/>
    <x v="1"/>
    <x v="1"/>
    <x v="0"/>
    <x v="2"/>
    <x v="1"/>
    <x v="1"/>
    <x v="0"/>
    <x v="0"/>
    <x v="0"/>
    <x v="0"/>
    <x v="0"/>
    <x v="5"/>
    <x v="0"/>
    <x v="2"/>
    <x v="3"/>
    <x v="5"/>
    <x v="5"/>
    <x v="4"/>
    <x v="1"/>
    <x v="5"/>
    <x v="1"/>
    <x v="3"/>
    <x v="1"/>
    <x v="1"/>
    <x v="2"/>
    <x v="0"/>
    <x v="2"/>
    <x v="2"/>
    <x v="3"/>
    <x v="3"/>
    <x v="3"/>
    <x v="3"/>
    <x v="1"/>
    <x v="5"/>
    <x v="5"/>
    <x v="0"/>
    <x v="2"/>
    <x v="3"/>
    <x v="0"/>
    <x v="0"/>
    <x v="0"/>
    <x v="1"/>
    <x v="1"/>
    <x v="0"/>
    <x v="2"/>
    <x v="0"/>
    <x v="0"/>
    <x v="2"/>
    <x v="0"/>
    <x v="0"/>
    <x v="1"/>
    <x v="0"/>
    <m/>
  </r>
  <r>
    <d v="2017-06-12T11:22:54"/>
    <s v="Helmuth Edgardo Ortiz Suárez"/>
    <n v="79841999"/>
    <s v="Planta"/>
    <s v="Asistente"/>
    <s v="Ingeniero Electricista"/>
    <s v="Universidad Nacional de Colombia"/>
    <d v="2001-08-22T00:00:00"/>
    <s v="heortizs@udistrital.edu.co"/>
    <s v="INGENIERÍA ELÉCTRICA ARTICULADO POR CICLOS PROPEDÉUTICOS CON TECNOLOGÍA EN SISTEMAS ELÉCTRICOS DE MEDIA Y BAJA TENSIÓN"/>
    <x v="0"/>
    <x v="1"/>
    <x v="2"/>
    <x v="1"/>
    <x v="1"/>
    <x v="0"/>
    <x v="0"/>
    <x v="0"/>
    <x v="1"/>
    <x v="0"/>
    <x v="0"/>
    <x v="1"/>
    <x v="1"/>
    <x v="0"/>
    <x v="0"/>
    <x v="1"/>
    <x v="0"/>
    <x v="1"/>
    <x v="0"/>
    <x v="1"/>
    <x v="0"/>
    <x v="2"/>
    <x v="0"/>
    <x v="0"/>
    <x v="5"/>
    <x v="0"/>
    <x v="3"/>
    <x v="2"/>
    <x v="2"/>
    <x v="0"/>
    <x v="1"/>
    <x v="0"/>
    <x v="2"/>
    <x v="1"/>
    <x v="0"/>
    <x v="0"/>
    <x v="1"/>
    <x v="0"/>
    <x v="1"/>
    <x v="0"/>
    <x v="1"/>
    <x v="0"/>
    <x v="0"/>
    <x v="0"/>
    <x v="1"/>
    <x v="0"/>
    <x v="0"/>
    <x v="1"/>
    <x v="1"/>
    <x v="0"/>
    <x v="5"/>
    <x v="1"/>
    <x v="0"/>
    <x v="0"/>
    <x v="0"/>
    <x v="0"/>
    <x v="0"/>
    <x v="2"/>
    <x v="0"/>
    <x v="2"/>
    <x v="3"/>
    <x v="0"/>
    <x v="0"/>
    <x v="0"/>
    <x v="1"/>
    <x v="0"/>
    <x v="1"/>
    <x v="1"/>
    <x v="1"/>
    <x v="1"/>
    <x v="1"/>
    <x v="0"/>
    <x v="1"/>
    <x v="1"/>
    <x v="1"/>
    <x v="0"/>
    <x v="0"/>
    <x v="1"/>
    <x v="2"/>
    <x v="0"/>
    <x v="1"/>
    <x v="0"/>
    <x v="1"/>
    <x v="0"/>
    <x v="1"/>
    <x v="0"/>
    <x v="0"/>
    <x v="0"/>
    <s v="Punto 44. Es prioridad del proyecto curricular la formación de competencias profesionales? Creo que no, por lo cual debería reformularse esta pregunta."/>
  </r>
  <r>
    <d v="2017-06-12T11:23:50"/>
    <s v="Mariela Castiblanco Ortiz"/>
    <n v="39740428"/>
    <s v="Hora Catedra"/>
    <s v="Auxiliar"/>
    <s v="En proceso"/>
    <s v="Universidad distrital"/>
    <d v="2007-08-01T00:00:00"/>
    <s v="mcastiblancoo@gmail.com"/>
    <s v="INGENIERÍA ELÉCTRICA ARTICULADO POR CICLOS PROPEDÉUTICOS CON TECNOLOGÍA EN SISTEMAS ELÉCTRICOS DE MEDIA Y BAJA TENSIÓN"/>
    <x v="0"/>
    <x v="1"/>
    <x v="0"/>
    <x v="1"/>
    <x v="1"/>
    <x v="0"/>
    <x v="3"/>
    <x v="0"/>
    <x v="3"/>
    <x v="0"/>
    <x v="1"/>
    <x v="4"/>
    <x v="2"/>
    <x v="0"/>
    <x v="1"/>
    <x v="1"/>
    <x v="3"/>
    <x v="2"/>
    <x v="3"/>
    <x v="5"/>
    <x v="3"/>
    <x v="3"/>
    <x v="4"/>
    <x v="3"/>
    <x v="6"/>
    <x v="0"/>
    <x v="0"/>
    <x v="2"/>
    <x v="0"/>
    <x v="0"/>
    <x v="0"/>
    <x v="0"/>
    <x v="2"/>
    <x v="2"/>
    <x v="0"/>
    <x v="1"/>
    <x v="0"/>
    <x v="1"/>
    <x v="5"/>
    <x v="0"/>
    <x v="0"/>
    <x v="0"/>
    <x v="0"/>
    <x v="0"/>
    <x v="1"/>
    <x v="3"/>
    <x v="0"/>
    <x v="0"/>
    <x v="0"/>
    <x v="1"/>
    <x v="3"/>
    <x v="1"/>
    <x v="5"/>
    <x v="4"/>
    <x v="4"/>
    <x v="0"/>
    <x v="4"/>
    <x v="1"/>
    <x v="2"/>
    <x v="3"/>
    <x v="0"/>
    <x v="0"/>
    <x v="3"/>
    <x v="3"/>
    <x v="0"/>
    <x v="3"/>
    <x v="3"/>
    <x v="3"/>
    <x v="1"/>
    <x v="5"/>
    <x v="0"/>
    <x v="0"/>
    <x v="4"/>
    <x v="4"/>
    <x v="2"/>
    <x v="0"/>
    <x v="1"/>
    <x v="1"/>
    <x v="2"/>
    <x v="5"/>
    <x v="1"/>
    <x v="3"/>
    <x v="1"/>
    <x v="4"/>
    <x v="1"/>
    <x v="1"/>
    <x v="1"/>
    <x v="3"/>
    <m/>
  </r>
  <r>
    <d v="2017-06-12T11:23:56"/>
    <s v="Alexandra Sashenka Pérez Santos"/>
    <n v="40394241"/>
    <s v="Planta"/>
    <s v="Asistente"/>
    <s v="Maestría en Ingeniería Eléctrica"/>
    <s v="Universidad Nacional de Colombia "/>
    <d v="2006-07-01T00:00:00"/>
    <s v="asperezs@udistrital.edu.co"/>
    <s v="INGENIERÍA ELÉCTRICA ARTICULADO POR CICLOS PROPEDÉUTICOS CON TECNOLOGÍA EN SISTEMAS ELÉCTRICOS DE MEDIA Y BAJA TENSIÓN"/>
    <x v="0"/>
    <x v="0"/>
    <x v="0"/>
    <x v="0"/>
    <x v="1"/>
    <x v="0"/>
    <x v="2"/>
    <x v="1"/>
    <x v="0"/>
    <x v="2"/>
    <x v="0"/>
    <x v="0"/>
    <x v="0"/>
    <x v="0"/>
    <x v="0"/>
    <x v="0"/>
    <x v="0"/>
    <x v="1"/>
    <x v="0"/>
    <x v="1"/>
    <x v="0"/>
    <x v="4"/>
    <x v="3"/>
    <x v="4"/>
    <x v="5"/>
    <x v="5"/>
    <x v="3"/>
    <x v="2"/>
    <x v="0"/>
    <x v="0"/>
    <x v="1"/>
    <x v="1"/>
    <x v="1"/>
    <x v="1"/>
    <x v="0"/>
    <x v="1"/>
    <x v="1"/>
    <x v="0"/>
    <x v="5"/>
    <x v="0"/>
    <x v="0"/>
    <x v="0"/>
    <x v="0"/>
    <x v="0"/>
    <x v="1"/>
    <x v="0"/>
    <x v="0"/>
    <x v="2"/>
    <x v="2"/>
    <x v="1"/>
    <x v="0"/>
    <x v="2"/>
    <x v="0"/>
    <x v="0"/>
    <x v="0"/>
    <x v="1"/>
    <x v="0"/>
    <x v="0"/>
    <x v="0"/>
    <x v="0"/>
    <x v="1"/>
    <x v="0"/>
    <x v="3"/>
    <x v="2"/>
    <x v="3"/>
    <x v="1"/>
    <x v="1"/>
    <x v="1"/>
    <x v="0"/>
    <x v="1"/>
    <x v="1"/>
    <x v="1"/>
    <x v="2"/>
    <x v="1"/>
    <x v="1"/>
    <x v="0"/>
    <x v="0"/>
    <x v="1"/>
    <x v="1"/>
    <x v="0"/>
    <x v="1"/>
    <x v="0"/>
    <x v="0"/>
    <x v="0"/>
    <x v="0"/>
    <x v="1"/>
    <x v="3"/>
    <x v="4"/>
    <s v="El proyecto curricular actúa de forma respetuosa con respecto a los intereses de los docentes con respecto al énfasis que realizan en las actividades de Docencia , de  Extensión o de Investigación. Todas estas áreas presentan debilidades y fortalezas, y en todas se requiere el desempeño de docentes apasionados de cada actividad. "/>
  </r>
  <r>
    <d v="2017-06-12T11:24:25"/>
    <s v="Carlos Alberto Avendaño Avendaño"/>
    <n v="79615177"/>
    <s v="Planta"/>
    <s v="Asistente"/>
    <s v="Especialista en Alta Tensión"/>
    <s v="Universidad Nacional de Colombia"/>
    <d v="2000-03-20T00:00:00"/>
    <s v="calitoave@gmail.com"/>
    <s v="INGENIERÍA ELÉCTRICA ARTICULADO POR CICLOS PROPEDÉUTICOS CON TECNOLOGÍA EN SISTEMAS ELÉCTRICOS DE MEDIA Y BAJA TENSIÓN"/>
    <x v="0"/>
    <x v="0"/>
    <x v="0"/>
    <x v="0"/>
    <x v="1"/>
    <x v="0"/>
    <x v="2"/>
    <x v="1"/>
    <x v="0"/>
    <x v="2"/>
    <x v="0"/>
    <x v="0"/>
    <x v="0"/>
    <x v="0"/>
    <x v="0"/>
    <x v="2"/>
    <x v="0"/>
    <x v="3"/>
    <x v="0"/>
    <x v="0"/>
    <x v="4"/>
    <x v="3"/>
    <x v="3"/>
    <x v="4"/>
    <x v="2"/>
    <x v="2"/>
    <x v="1"/>
    <x v="2"/>
    <x v="3"/>
    <x v="0"/>
    <x v="3"/>
    <x v="0"/>
    <x v="2"/>
    <x v="2"/>
    <x v="0"/>
    <x v="2"/>
    <x v="2"/>
    <x v="0"/>
    <x v="2"/>
    <x v="0"/>
    <x v="0"/>
    <x v="0"/>
    <x v="0"/>
    <x v="0"/>
    <x v="1"/>
    <x v="3"/>
    <x v="0"/>
    <x v="1"/>
    <x v="1"/>
    <x v="0"/>
    <x v="0"/>
    <x v="0"/>
    <x v="1"/>
    <x v="1"/>
    <x v="4"/>
    <x v="1"/>
    <x v="0"/>
    <x v="0"/>
    <x v="0"/>
    <x v="0"/>
    <x v="1"/>
    <x v="0"/>
    <x v="0"/>
    <x v="0"/>
    <x v="1"/>
    <x v="1"/>
    <x v="1"/>
    <x v="1"/>
    <x v="0"/>
    <x v="4"/>
    <x v="5"/>
    <x v="0"/>
    <x v="2"/>
    <x v="3"/>
    <x v="0"/>
    <x v="2"/>
    <x v="0"/>
    <x v="0"/>
    <x v="0"/>
    <x v="0"/>
    <x v="0"/>
    <x v="3"/>
    <x v="0"/>
    <x v="1"/>
    <x v="0"/>
    <x v="0"/>
    <x v="0"/>
    <x v="0"/>
    <m/>
  </r>
  <r>
    <d v="2017-06-12T11:25:02"/>
    <s v="Wilmar Alberto Díaz Ossa"/>
    <n v="19461636"/>
    <s v="Tiempo Completo Ocasional (TCO)"/>
    <s v="Asociado"/>
    <s v="Maestría en matemáticas aplicadas"/>
    <s v="EAFIT"/>
    <d v="1998-08-03T00:00:00"/>
    <s v="wadiazo@gmail.com"/>
    <s v="INGENIERÍA ELÉCTRICA ARTICULADO POR CICLOS PROPEDÉUTICOS CON TECNOLOGÍA EN SISTEMAS ELÉCTRICOS DE MEDIA Y BAJA TENSIÓN"/>
    <x v="0"/>
    <x v="0"/>
    <x v="0"/>
    <x v="1"/>
    <x v="1"/>
    <x v="0"/>
    <x v="0"/>
    <x v="1"/>
    <x v="1"/>
    <x v="1"/>
    <x v="0"/>
    <x v="1"/>
    <x v="1"/>
    <x v="0"/>
    <x v="0"/>
    <x v="0"/>
    <x v="0"/>
    <x v="4"/>
    <x v="0"/>
    <x v="2"/>
    <x v="2"/>
    <x v="2"/>
    <x v="4"/>
    <x v="0"/>
    <x v="6"/>
    <x v="3"/>
    <x v="3"/>
    <x v="4"/>
    <x v="0"/>
    <x v="0"/>
    <x v="0"/>
    <x v="1"/>
    <x v="1"/>
    <x v="1"/>
    <x v="0"/>
    <x v="4"/>
    <x v="1"/>
    <x v="0"/>
    <x v="1"/>
    <x v="0"/>
    <x v="0"/>
    <x v="0"/>
    <x v="0"/>
    <x v="0"/>
    <x v="1"/>
    <x v="1"/>
    <x v="0"/>
    <x v="1"/>
    <x v="2"/>
    <x v="0"/>
    <x v="1"/>
    <x v="0"/>
    <x v="0"/>
    <x v="3"/>
    <x v="0"/>
    <x v="2"/>
    <x v="2"/>
    <x v="2"/>
    <x v="4"/>
    <x v="2"/>
    <x v="3"/>
    <x v="0"/>
    <x v="0"/>
    <x v="2"/>
    <x v="3"/>
    <x v="1"/>
    <x v="2"/>
    <x v="2"/>
    <x v="1"/>
    <x v="1"/>
    <x v="0"/>
    <x v="1"/>
    <x v="1"/>
    <x v="1"/>
    <x v="4"/>
    <x v="0"/>
    <x v="0"/>
    <x v="0"/>
    <x v="1"/>
    <x v="1"/>
    <x v="1"/>
    <x v="1"/>
    <x v="0"/>
    <x v="0"/>
    <x v="0"/>
    <x v="2"/>
    <x v="0"/>
    <x v="2"/>
    <m/>
  </r>
  <r>
    <d v="2017-06-12T11:26:31"/>
    <s v="Diego Armando Giral Ramírez"/>
    <n v="1022339649"/>
    <s v="Tiempo Completo Ocasional (TCO)"/>
    <s v="Auxiliar"/>
    <s v="Magister en Ingenieria Eléctrica"/>
    <s v="Universidad de los Andes"/>
    <d v="2015-09-01T00:00:00"/>
    <s v="dagiralr@correo.udistrital.edu.co"/>
    <s v="INGENIERÍA ELÉCTRICA ARTICULADO POR CICLOS PROPEDÉUTICOS CON TECNOLOGÍA EN SISTEMAS ELÉCTRICOS DE MEDIA Y BAJA TENSIÓN"/>
    <x v="0"/>
    <x v="0"/>
    <x v="0"/>
    <x v="0"/>
    <x v="3"/>
    <x v="3"/>
    <x v="2"/>
    <x v="1"/>
    <x v="0"/>
    <x v="2"/>
    <x v="0"/>
    <x v="4"/>
    <x v="0"/>
    <x v="2"/>
    <x v="0"/>
    <x v="4"/>
    <x v="0"/>
    <x v="2"/>
    <x v="4"/>
    <x v="4"/>
    <x v="2"/>
    <x v="3"/>
    <x v="4"/>
    <x v="4"/>
    <x v="6"/>
    <x v="5"/>
    <x v="4"/>
    <x v="2"/>
    <x v="4"/>
    <x v="0"/>
    <x v="4"/>
    <x v="0"/>
    <x v="3"/>
    <x v="3"/>
    <x v="1"/>
    <x v="2"/>
    <x v="2"/>
    <x v="0"/>
    <x v="3"/>
    <x v="3"/>
    <x v="3"/>
    <x v="0"/>
    <x v="2"/>
    <x v="0"/>
    <x v="1"/>
    <x v="1"/>
    <x v="1"/>
    <x v="1"/>
    <x v="1"/>
    <x v="0"/>
    <x v="3"/>
    <x v="4"/>
    <x v="2"/>
    <x v="2"/>
    <x v="2"/>
    <x v="4"/>
    <x v="5"/>
    <x v="4"/>
    <x v="3"/>
    <x v="2"/>
    <x v="3"/>
    <x v="0"/>
    <x v="4"/>
    <x v="4"/>
    <x v="4"/>
    <x v="4"/>
    <x v="4"/>
    <x v="4"/>
    <x v="1"/>
    <x v="3"/>
    <x v="4"/>
    <x v="4"/>
    <x v="4"/>
    <x v="4"/>
    <x v="5"/>
    <x v="0"/>
    <x v="0"/>
    <x v="3"/>
    <x v="4"/>
    <x v="2"/>
    <x v="2"/>
    <x v="1"/>
    <x v="0"/>
    <x v="0"/>
    <x v="0"/>
    <x v="3"/>
    <x v="3"/>
    <x v="2"/>
    <m/>
  </r>
  <r>
    <d v="2017-06-12T11:27:05"/>
    <s v="MARIO ALBERTO RODRIGUEZ BARRERA"/>
    <n v="7169011"/>
    <s v="Planta"/>
    <s v="Asociado"/>
    <s v="Doctorado"/>
    <s v="Universidad Federal de Santa Catarina-Brasil"/>
    <d v="2005-02-10T00:00:00"/>
    <s v="marodriguezba4@gmail.com"/>
    <s v="INGENIERÍA ELÉCTRICA ARTICULADO POR CICLOS PROPEDÉUTICOS CON TECNOLOGÍA EN SISTEMAS ELÉCTRICOS DE MEDIA Y BAJA TENSIÓN"/>
    <x v="0"/>
    <x v="0"/>
    <x v="0"/>
    <x v="1"/>
    <x v="1"/>
    <x v="0"/>
    <x v="3"/>
    <x v="0"/>
    <x v="0"/>
    <x v="1"/>
    <x v="1"/>
    <x v="0"/>
    <x v="0"/>
    <x v="0"/>
    <x v="0"/>
    <x v="0"/>
    <x v="2"/>
    <x v="2"/>
    <x v="0"/>
    <x v="0"/>
    <x v="3"/>
    <x v="4"/>
    <x v="3"/>
    <x v="2"/>
    <x v="5"/>
    <x v="1"/>
    <x v="3"/>
    <x v="2"/>
    <x v="2"/>
    <x v="1"/>
    <x v="3"/>
    <x v="3"/>
    <x v="1"/>
    <x v="1"/>
    <x v="0"/>
    <x v="0"/>
    <x v="0"/>
    <x v="1"/>
    <x v="1"/>
    <x v="1"/>
    <x v="1"/>
    <x v="1"/>
    <x v="1"/>
    <x v="1"/>
    <x v="0"/>
    <x v="0"/>
    <x v="0"/>
    <x v="2"/>
    <x v="2"/>
    <x v="1"/>
    <x v="3"/>
    <x v="1"/>
    <x v="3"/>
    <x v="0"/>
    <x v="0"/>
    <x v="0"/>
    <x v="4"/>
    <x v="1"/>
    <x v="0"/>
    <x v="0"/>
    <x v="1"/>
    <x v="0"/>
    <x v="2"/>
    <x v="2"/>
    <x v="0"/>
    <x v="1"/>
    <x v="1"/>
    <x v="1"/>
    <x v="0"/>
    <x v="2"/>
    <x v="1"/>
    <x v="5"/>
    <x v="1"/>
    <x v="1"/>
    <x v="1"/>
    <x v="0"/>
    <x v="0"/>
    <x v="4"/>
    <x v="2"/>
    <x v="1"/>
    <x v="1"/>
    <x v="0"/>
    <x v="1"/>
    <x v="1"/>
    <x v="1"/>
    <x v="1"/>
    <x v="1"/>
    <x v="1"/>
    <s v="Algunas preguntas son ambiguas o no son claras: 10,22,30"/>
  </r>
  <r>
    <d v="2017-06-12T11:27:28"/>
    <s v="ALEXANDER RODRIGUEZ GARCIA"/>
    <n v="80064121"/>
    <s v="Hora Catedra"/>
    <s v="Asistente"/>
    <s v="ESPECIALISTA EN GESTIÓN DE PROYECTOS DE INGENIERÍA "/>
    <s v="UNIVERSIDAD DISTRITAL FRANCISCO JOSÉ DE CALDAS "/>
    <d v="2012-02-02T00:00:00"/>
    <s v="alexanderrorgar@gmail.com"/>
    <s v="INGENIERÍA ELÉCTRICA ARTICULADO POR CICLOS PROPEDÉUTICOS CON TECNOLOGÍA EN SISTEMAS ELÉCTRICOS DE MEDIA Y BAJA TENSIÓN"/>
    <x v="0"/>
    <x v="0"/>
    <x v="0"/>
    <x v="1"/>
    <x v="0"/>
    <x v="1"/>
    <x v="2"/>
    <x v="1"/>
    <x v="1"/>
    <x v="1"/>
    <x v="0"/>
    <x v="1"/>
    <x v="0"/>
    <x v="1"/>
    <x v="0"/>
    <x v="0"/>
    <x v="2"/>
    <x v="0"/>
    <x v="0"/>
    <x v="4"/>
    <x v="3"/>
    <x v="3"/>
    <x v="4"/>
    <x v="3"/>
    <x v="6"/>
    <x v="5"/>
    <x v="0"/>
    <x v="2"/>
    <x v="2"/>
    <x v="0"/>
    <x v="0"/>
    <x v="1"/>
    <x v="1"/>
    <x v="1"/>
    <x v="0"/>
    <x v="0"/>
    <x v="0"/>
    <x v="1"/>
    <x v="1"/>
    <x v="1"/>
    <x v="1"/>
    <x v="0"/>
    <x v="0"/>
    <x v="0"/>
    <x v="0"/>
    <x v="3"/>
    <x v="3"/>
    <x v="2"/>
    <x v="4"/>
    <x v="2"/>
    <x v="3"/>
    <x v="4"/>
    <x v="4"/>
    <x v="5"/>
    <x v="5"/>
    <x v="4"/>
    <x v="4"/>
    <x v="1"/>
    <x v="3"/>
    <x v="3"/>
    <x v="4"/>
    <x v="0"/>
    <x v="3"/>
    <x v="5"/>
    <x v="4"/>
    <x v="4"/>
    <x v="4"/>
    <x v="0"/>
    <x v="0"/>
    <x v="3"/>
    <x v="4"/>
    <x v="4"/>
    <x v="4"/>
    <x v="4"/>
    <x v="5"/>
    <x v="0"/>
    <x v="1"/>
    <x v="3"/>
    <x v="4"/>
    <x v="4"/>
    <x v="4"/>
    <x v="0"/>
    <x v="1"/>
    <x v="2"/>
    <x v="1"/>
    <x v="1"/>
    <x v="1"/>
    <x v="1"/>
    <m/>
  </r>
  <r>
    <d v="2017-06-12T11:28:59"/>
    <s v="Angélica Mercedes Nivia Vargas"/>
    <n v="1030602744"/>
    <s v="Hora Catedra"/>
    <s v="Auxiliar"/>
    <s v="NA"/>
    <s v="NA"/>
    <d v="2017-05-09T00:00:00"/>
    <s v="amniviav@udistrital.edu.co"/>
    <s v="INGENIERÍA ELÉCTRICA ARTICULADO POR CICLOS PROPEDÉUTICOS CON TECNOLOGÍA EN SISTEMAS ELÉCTRICOS DE MEDIA Y BAJA TENSIÓN"/>
    <x v="0"/>
    <x v="0"/>
    <x v="0"/>
    <x v="0"/>
    <x v="2"/>
    <x v="3"/>
    <x v="1"/>
    <x v="1"/>
    <x v="1"/>
    <x v="1"/>
    <x v="1"/>
    <x v="1"/>
    <x v="1"/>
    <x v="1"/>
    <x v="1"/>
    <x v="0"/>
    <x v="1"/>
    <x v="1"/>
    <x v="3"/>
    <x v="4"/>
    <x v="3"/>
    <x v="1"/>
    <x v="4"/>
    <x v="1"/>
    <x v="6"/>
    <x v="1"/>
    <x v="5"/>
    <x v="5"/>
    <x v="4"/>
    <x v="1"/>
    <x v="3"/>
    <x v="4"/>
    <x v="2"/>
    <x v="2"/>
    <x v="4"/>
    <x v="4"/>
    <x v="5"/>
    <x v="4"/>
    <x v="0"/>
    <x v="0"/>
    <x v="0"/>
    <x v="0"/>
    <x v="1"/>
    <x v="3"/>
    <x v="0"/>
    <x v="3"/>
    <x v="3"/>
    <x v="5"/>
    <x v="5"/>
    <x v="1"/>
    <x v="3"/>
    <x v="2"/>
    <x v="0"/>
    <x v="0"/>
    <x v="1"/>
    <x v="0"/>
    <x v="0"/>
    <x v="0"/>
    <x v="2"/>
    <x v="0"/>
    <x v="1"/>
    <x v="1"/>
    <x v="0"/>
    <x v="0"/>
    <x v="0"/>
    <x v="0"/>
    <x v="1"/>
    <x v="1"/>
    <x v="0"/>
    <x v="5"/>
    <x v="3"/>
    <x v="5"/>
    <x v="1"/>
    <x v="1"/>
    <x v="1"/>
    <x v="0"/>
    <x v="0"/>
    <x v="0"/>
    <x v="0"/>
    <x v="4"/>
    <x v="5"/>
    <x v="3"/>
    <x v="0"/>
    <x v="2"/>
    <x v="0"/>
    <x v="2"/>
    <x v="2"/>
    <x v="2"/>
    <m/>
  </r>
  <r>
    <d v="2017-06-12T11:29:20"/>
    <s v="Francy Liliana López Rojas"/>
    <n v="52975701"/>
    <s v="Hora Catedra"/>
    <s v="Auxiliar"/>
    <s v="Especialización en Gestión de Proyectos"/>
    <s v="Universidad Nacional Abierta y a Distancia"/>
    <d v="2017-03-15T00:00:00"/>
    <s v="francylilo@gmail.com"/>
    <s v="INGENIERÍA ELÉCTRICA ARTICULADO POR CICLOS PROPEDÉUTICOS CON TECNOLOGÍA EN SISTEMAS ELÉCTRICOS DE MEDIA Y BAJA TENSIÓN"/>
    <x v="1"/>
    <x v="0"/>
    <x v="0"/>
    <x v="0"/>
    <x v="0"/>
    <x v="4"/>
    <x v="2"/>
    <x v="1"/>
    <x v="0"/>
    <x v="2"/>
    <x v="0"/>
    <x v="5"/>
    <x v="1"/>
    <x v="4"/>
    <x v="3"/>
    <x v="0"/>
    <x v="2"/>
    <x v="0"/>
    <x v="1"/>
    <x v="2"/>
    <x v="2"/>
    <x v="2"/>
    <x v="4"/>
    <x v="1"/>
    <x v="6"/>
    <x v="2"/>
    <x v="1"/>
    <x v="2"/>
    <x v="2"/>
    <x v="0"/>
    <x v="0"/>
    <x v="0"/>
    <x v="0"/>
    <x v="0"/>
    <x v="1"/>
    <x v="2"/>
    <x v="2"/>
    <x v="0"/>
    <x v="2"/>
    <x v="0"/>
    <x v="0"/>
    <x v="0"/>
    <x v="0"/>
    <x v="0"/>
    <x v="0"/>
    <x v="0"/>
    <x v="0"/>
    <x v="1"/>
    <x v="2"/>
    <x v="0"/>
    <x v="4"/>
    <x v="0"/>
    <x v="0"/>
    <x v="0"/>
    <x v="0"/>
    <x v="0"/>
    <x v="0"/>
    <x v="0"/>
    <x v="0"/>
    <x v="2"/>
    <x v="1"/>
    <x v="0"/>
    <x v="0"/>
    <x v="0"/>
    <x v="1"/>
    <x v="2"/>
    <x v="2"/>
    <x v="2"/>
    <x v="1"/>
    <x v="0"/>
    <x v="5"/>
    <x v="0"/>
    <x v="1"/>
    <x v="1"/>
    <x v="1"/>
    <x v="0"/>
    <x v="0"/>
    <x v="1"/>
    <x v="0"/>
    <x v="1"/>
    <x v="3"/>
    <x v="1"/>
    <x v="0"/>
    <x v="1"/>
    <x v="0"/>
    <x v="0"/>
    <x v="0"/>
    <x v="1"/>
    <m/>
  </r>
  <r>
    <d v="2017-06-12T11:32:20"/>
    <s v="Clara Inés Buriticá Arboleda"/>
    <n v="30282756"/>
    <s v="Planta"/>
    <s v="Asistente"/>
    <s v="Doctor en Gestión Eficiente de la Energía Eléctrica"/>
    <s v="Universidad Politécnica de Valencia - España"/>
    <d v="2006-09-12T00:00:00"/>
    <s v="ciburiticaa@udistrital.edu.co"/>
    <s v="INGENIERÍA ELÉCTRICA ARTICULADO POR CICLOS PROPEDÉUTICOS CON TECNOLOGÍA EN SISTEMAS ELÉCTRICOS DE MEDIA Y BAJA TENSIÓN"/>
    <x v="0"/>
    <x v="0"/>
    <x v="0"/>
    <x v="0"/>
    <x v="1"/>
    <x v="0"/>
    <x v="2"/>
    <x v="1"/>
    <x v="1"/>
    <x v="0"/>
    <x v="2"/>
    <x v="2"/>
    <x v="3"/>
    <x v="0"/>
    <x v="2"/>
    <x v="3"/>
    <x v="3"/>
    <x v="2"/>
    <x v="0"/>
    <x v="4"/>
    <x v="3"/>
    <x v="3"/>
    <x v="2"/>
    <x v="3"/>
    <x v="4"/>
    <x v="5"/>
    <x v="4"/>
    <x v="2"/>
    <x v="5"/>
    <x v="0"/>
    <x v="4"/>
    <x v="4"/>
    <x v="3"/>
    <x v="3"/>
    <x v="2"/>
    <x v="5"/>
    <x v="4"/>
    <x v="3"/>
    <x v="4"/>
    <x v="0"/>
    <x v="0"/>
    <x v="0"/>
    <x v="0"/>
    <x v="3"/>
    <x v="2"/>
    <x v="3"/>
    <x v="4"/>
    <x v="3"/>
    <x v="4"/>
    <x v="4"/>
    <x v="3"/>
    <x v="3"/>
    <x v="1"/>
    <x v="1"/>
    <x v="1"/>
    <x v="2"/>
    <x v="4"/>
    <x v="2"/>
    <x v="2"/>
    <x v="3"/>
    <x v="0"/>
    <x v="0"/>
    <x v="3"/>
    <x v="2"/>
    <x v="0"/>
    <x v="4"/>
    <x v="4"/>
    <x v="4"/>
    <x v="4"/>
    <x v="3"/>
    <x v="4"/>
    <x v="4"/>
    <x v="2"/>
    <x v="5"/>
    <x v="0"/>
    <x v="0"/>
    <x v="0"/>
    <x v="3"/>
    <x v="4"/>
    <x v="4"/>
    <x v="4"/>
    <x v="2"/>
    <x v="2"/>
    <x v="4"/>
    <x v="2"/>
    <x v="3"/>
    <x v="3"/>
    <x v="1"/>
    <s v="En esta autoevaluación no es evidente el cambio institucional hacia una UNIVERSIDAD con acreditación de alta calidad; se continua preguntando básicamente en los mismos términos de una universidad dedicada a la  docencia, que no reconoce la cualificación de su cuerpo profesoral como investigadores autónomos (PhD=Doctores) ni como consultores y asesores nacionales e internacionales."/>
  </r>
  <r>
    <d v="2017-06-12T11:33:34"/>
    <s v="LUIS ANTONIO NOGUERA VEGA"/>
    <n v="79966414"/>
    <s v="Planta"/>
    <s v="Asistente"/>
    <s v="ESPECIALISTA EN INFORMÁTICA Y AUTOMÁTICA INDUSTRIAL"/>
    <s v="Universidad distrital"/>
    <d v="2011-01-13T00:00:00"/>
    <s v="luis.noguerav@gmail.com"/>
    <s v="INGENIERÍA ELÉCTRICA ARTICULADO POR CICLOS PROPEDÉUTICOS CON TECNOLOGÍA EN SISTEMAS ELÉCTRICOS DE MEDIA Y BAJA TENSIÓN"/>
    <x v="1"/>
    <x v="1"/>
    <x v="1"/>
    <x v="3"/>
    <x v="2"/>
    <x v="0"/>
    <x v="3"/>
    <x v="0"/>
    <x v="3"/>
    <x v="0"/>
    <x v="2"/>
    <x v="0"/>
    <x v="5"/>
    <x v="3"/>
    <x v="1"/>
    <x v="1"/>
    <x v="0"/>
    <x v="1"/>
    <x v="0"/>
    <x v="1"/>
    <x v="5"/>
    <x v="1"/>
    <x v="1"/>
    <x v="2"/>
    <x v="1"/>
    <x v="3"/>
    <x v="0"/>
    <x v="3"/>
    <x v="1"/>
    <x v="3"/>
    <x v="3"/>
    <x v="1"/>
    <x v="4"/>
    <x v="4"/>
    <x v="0"/>
    <x v="3"/>
    <x v="5"/>
    <x v="1"/>
    <x v="5"/>
    <x v="0"/>
    <x v="0"/>
    <x v="0"/>
    <x v="1"/>
    <x v="0"/>
    <x v="4"/>
    <x v="3"/>
    <x v="3"/>
    <x v="2"/>
    <x v="0"/>
    <x v="1"/>
    <x v="3"/>
    <x v="5"/>
    <x v="5"/>
    <x v="1"/>
    <x v="1"/>
    <x v="0"/>
    <x v="0"/>
    <x v="0"/>
    <x v="0"/>
    <x v="0"/>
    <x v="5"/>
    <x v="0"/>
    <x v="0"/>
    <x v="2"/>
    <x v="1"/>
    <x v="1"/>
    <x v="0"/>
    <x v="1"/>
    <x v="0"/>
    <x v="4"/>
    <x v="5"/>
    <x v="5"/>
    <x v="2"/>
    <x v="1"/>
    <x v="1"/>
    <x v="1"/>
    <x v="2"/>
    <x v="4"/>
    <x v="2"/>
    <x v="3"/>
    <x v="3"/>
    <x v="3"/>
    <x v="1"/>
    <x v="3"/>
    <x v="1"/>
    <x v="1"/>
    <x v="1"/>
    <x v="1"/>
    <m/>
  </r>
  <r>
    <d v="2017-06-12T11:33:50"/>
    <s v="César Alexander Chacón Cardona"/>
    <n v="80491981"/>
    <s v="Planta"/>
    <s v="Asistente"/>
    <s v="Doctorado en Ciencias, Física"/>
    <s v="Universidad de Colombia"/>
    <d v="2006-09-06T00:00:00"/>
    <s v="cachaconc@udistrital.edu.co"/>
    <s v="INGENIERÍA ELÉCTRICA ARTICULADO POR CICLOS PROPEDÉUTICOS CON TECNOLOGÍA EN SISTEMAS ELÉCTRICOS DE MEDIA Y BAJA TENSIÓN"/>
    <x v="0"/>
    <x v="0"/>
    <x v="0"/>
    <x v="0"/>
    <x v="0"/>
    <x v="0"/>
    <x v="3"/>
    <x v="2"/>
    <x v="1"/>
    <x v="1"/>
    <x v="0"/>
    <x v="1"/>
    <x v="1"/>
    <x v="0"/>
    <x v="0"/>
    <x v="0"/>
    <x v="1"/>
    <x v="1"/>
    <x v="0"/>
    <x v="0"/>
    <x v="0"/>
    <x v="2"/>
    <x v="3"/>
    <x v="4"/>
    <x v="5"/>
    <x v="0"/>
    <x v="3"/>
    <x v="2"/>
    <x v="2"/>
    <x v="0"/>
    <x v="0"/>
    <x v="1"/>
    <x v="0"/>
    <x v="0"/>
    <x v="0"/>
    <x v="0"/>
    <x v="0"/>
    <x v="1"/>
    <x v="0"/>
    <x v="0"/>
    <x v="0"/>
    <x v="0"/>
    <x v="0"/>
    <x v="1"/>
    <x v="0"/>
    <x v="0"/>
    <x v="0"/>
    <x v="1"/>
    <x v="1"/>
    <x v="1"/>
    <x v="2"/>
    <x v="5"/>
    <x v="0"/>
    <x v="0"/>
    <x v="1"/>
    <x v="1"/>
    <x v="0"/>
    <x v="0"/>
    <x v="0"/>
    <x v="0"/>
    <x v="1"/>
    <x v="1"/>
    <x v="5"/>
    <x v="3"/>
    <x v="0"/>
    <x v="1"/>
    <x v="1"/>
    <x v="1"/>
    <x v="0"/>
    <x v="4"/>
    <x v="0"/>
    <x v="0"/>
    <x v="1"/>
    <x v="1"/>
    <x v="1"/>
    <x v="0"/>
    <x v="0"/>
    <x v="1"/>
    <x v="2"/>
    <x v="1"/>
    <x v="2"/>
    <x v="0"/>
    <x v="0"/>
    <x v="0"/>
    <x v="0"/>
    <x v="0"/>
    <x v="0"/>
    <x v="1"/>
    <m/>
  </r>
  <r>
    <d v="2017-06-12T11:34:32"/>
    <s v="Patricia Abdel Rahim Garzón "/>
    <n v="51943301"/>
    <s v="Tiempo Completo Ocasional (TCO)"/>
    <s v="Asociado"/>
    <s v="Doctor en Ingeniería "/>
    <s v="Universidad Nacional de Colombia "/>
    <d v="2000-02-02T00:00:00"/>
    <s v="ggabdelr@unal.edu.co"/>
    <s v="INGENIERÍA ELÉCTRICA ARTICULADO POR CICLOS PROPEDÉUTICOS CON TECNOLOGÍA EN SISTEMAS ELÉCTRICOS DE MEDIA Y BAJA TENSIÓN"/>
    <x v="1"/>
    <x v="0"/>
    <x v="0"/>
    <x v="0"/>
    <x v="2"/>
    <x v="0"/>
    <x v="2"/>
    <x v="1"/>
    <x v="2"/>
    <x v="2"/>
    <x v="0"/>
    <x v="0"/>
    <x v="0"/>
    <x v="0"/>
    <x v="0"/>
    <x v="2"/>
    <x v="0"/>
    <x v="1"/>
    <x v="0"/>
    <x v="2"/>
    <x v="2"/>
    <x v="5"/>
    <x v="4"/>
    <x v="4"/>
    <x v="6"/>
    <x v="2"/>
    <x v="1"/>
    <x v="2"/>
    <x v="3"/>
    <x v="0"/>
    <x v="0"/>
    <x v="0"/>
    <x v="0"/>
    <x v="0"/>
    <x v="1"/>
    <x v="2"/>
    <x v="2"/>
    <x v="0"/>
    <x v="0"/>
    <x v="0"/>
    <x v="4"/>
    <x v="0"/>
    <x v="0"/>
    <x v="0"/>
    <x v="1"/>
    <x v="1"/>
    <x v="1"/>
    <x v="1"/>
    <x v="1"/>
    <x v="0"/>
    <x v="5"/>
    <x v="0"/>
    <x v="3"/>
    <x v="3"/>
    <x v="3"/>
    <x v="2"/>
    <x v="2"/>
    <x v="2"/>
    <x v="4"/>
    <x v="2"/>
    <x v="3"/>
    <x v="0"/>
    <x v="0"/>
    <x v="5"/>
    <x v="1"/>
    <x v="2"/>
    <x v="1"/>
    <x v="2"/>
    <x v="1"/>
    <x v="1"/>
    <x v="1"/>
    <x v="2"/>
    <x v="2"/>
    <x v="3"/>
    <x v="2"/>
    <x v="0"/>
    <x v="0"/>
    <x v="0"/>
    <x v="0"/>
    <x v="2"/>
    <x v="2"/>
    <x v="1"/>
    <x v="0"/>
    <x v="2"/>
    <x v="0"/>
    <x v="2"/>
    <x v="1"/>
    <x v="1"/>
    <m/>
  </r>
  <r>
    <d v="2017-06-12T11:42:26"/>
    <s v="Ricardo Gordo Muskus"/>
    <n v="94517652"/>
    <s v="Tiempo Completo Ocasional (TCO)"/>
    <s v="Asistente"/>
    <s v="magister en comunicación desarrollo y cambio social"/>
    <s v="Univ Santo tomas"/>
    <d v="2007-08-01T00:00:00"/>
    <s v="quien_gordom@hotmail.com"/>
    <s v="INGENIERÍA ELÉCTRICA ARTICULADO POR CICLOS PROPEDÉUTICOS CON TECNOLOGÍA EN SISTEMAS ELÉCTRICOS DE MEDIA Y BAJA TENSIÓN"/>
    <x v="1"/>
    <x v="2"/>
    <x v="3"/>
    <x v="2"/>
    <x v="2"/>
    <x v="1"/>
    <x v="1"/>
    <x v="3"/>
    <x v="4"/>
    <x v="3"/>
    <x v="2"/>
    <x v="3"/>
    <x v="3"/>
    <x v="1"/>
    <x v="2"/>
    <x v="3"/>
    <x v="2"/>
    <x v="0"/>
    <x v="2"/>
    <x v="5"/>
    <x v="1"/>
    <x v="1"/>
    <x v="4"/>
    <x v="5"/>
    <x v="6"/>
    <x v="1"/>
    <x v="5"/>
    <x v="3"/>
    <x v="0"/>
    <x v="3"/>
    <x v="2"/>
    <x v="2"/>
    <x v="3"/>
    <x v="3"/>
    <x v="2"/>
    <x v="3"/>
    <x v="3"/>
    <x v="3"/>
    <x v="0"/>
    <x v="4"/>
    <x v="4"/>
    <x v="2"/>
    <x v="3"/>
    <x v="4"/>
    <x v="4"/>
    <x v="2"/>
    <x v="5"/>
    <x v="5"/>
    <x v="0"/>
    <x v="2"/>
    <x v="2"/>
    <x v="3"/>
    <x v="5"/>
    <x v="4"/>
    <x v="4"/>
    <x v="3"/>
    <x v="1"/>
    <x v="3"/>
    <x v="5"/>
    <x v="4"/>
    <x v="2"/>
    <x v="2"/>
    <x v="1"/>
    <x v="1"/>
    <x v="2"/>
    <x v="4"/>
    <x v="4"/>
    <x v="4"/>
    <x v="2"/>
    <x v="5"/>
    <x v="4"/>
    <x v="3"/>
    <x v="4"/>
    <x v="4"/>
    <x v="5"/>
    <x v="0"/>
    <x v="1"/>
    <x v="5"/>
    <x v="5"/>
    <x v="5"/>
    <x v="3"/>
    <x v="4"/>
    <x v="2"/>
    <x v="0"/>
    <x v="2"/>
    <x v="4"/>
    <x v="4"/>
    <x v="0"/>
    <s v="si es una encuesta de percepción, no debería exigir el nombre del encuestado, ya que éstas, además de ser sólo una cifra, se sustentan en la subjetividad momentánea...."/>
  </r>
  <r>
    <d v="2017-06-12T11:42:31"/>
    <s v="Hugo Armando Cárdenas Franco"/>
    <n v="19388543"/>
    <s v="Planta"/>
    <s v="Asistente"/>
    <s v="Especialización en Cartografía"/>
    <s v="ITC de Holanda"/>
    <d v="2000-03-20T00:00:00"/>
    <s v="hacardenasf@udistrital.edu.co"/>
    <s v="INGENIERÍA ELÉCTRICA ARTICULADO POR CICLOS PROPEDÉUTICOS CON TECNOLOGÍA EN SISTEMAS ELÉCTRICOS DE MEDIA Y BAJA TENSIÓN"/>
    <x v="0"/>
    <x v="0"/>
    <x v="0"/>
    <x v="1"/>
    <x v="1"/>
    <x v="2"/>
    <x v="0"/>
    <x v="1"/>
    <x v="2"/>
    <x v="1"/>
    <x v="0"/>
    <x v="1"/>
    <x v="1"/>
    <x v="0"/>
    <x v="0"/>
    <x v="2"/>
    <x v="0"/>
    <x v="1"/>
    <x v="0"/>
    <x v="2"/>
    <x v="2"/>
    <x v="1"/>
    <x v="3"/>
    <x v="5"/>
    <x v="5"/>
    <x v="0"/>
    <x v="3"/>
    <x v="4"/>
    <x v="0"/>
    <x v="1"/>
    <x v="1"/>
    <x v="4"/>
    <x v="4"/>
    <x v="4"/>
    <x v="2"/>
    <x v="4"/>
    <x v="0"/>
    <x v="1"/>
    <x v="1"/>
    <x v="0"/>
    <x v="0"/>
    <x v="0"/>
    <x v="4"/>
    <x v="5"/>
    <x v="1"/>
    <x v="1"/>
    <x v="1"/>
    <x v="2"/>
    <x v="2"/>
    <x v="0"/>
    <x v="5"/>
    <x v="0"/>
    <x v="5"/>
    <x v="4"/>
    <x v="0"/>
    <x v="2"/>
    <x v="2"/>
    <x v="2"/>
    <x v="0"/>
    <x v="2"/>
    <x v="3"/>
    <x v="0"/>
    <x v="0"/>
    <x v="0"/>
    <x v="1"/>
    <x v="0"/>
    <x v="0"/>
    <x v="0"/>
    <x v="1"/>
    <x v="1"/>
    <x v="0"/>
    <x v="1"/>
    <x v="2"/>
    <x v="3"/>
    <x v="1"/>
    <x v="0"/>
    <x v="1"/>
    <x v="0"/>
    <x v="0"/>
    <x v="2"/>
    <x v="2"/>
    <x v="1"/>
    <x v="0"/>
    <x v="0"/>
    <x v="1"/>
    <x v="1"/>
    <x v="0"/>
    <x v="4"/>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r>
    <m/>
    <m/>
    <m/>
    <m/>
    <m/>
    <m/>
    <m/>
    <m/>
    <m/>
    <m/>
    <x v="2"/>
    <x v="3"/>
    <x v="4"/>
    <x v="4"/>
    <x v="4"/>
    <x v="5"/>
    <x v="4"/>
    <x v="4"/>
    <x v="5"/>
    <x v="4"/>
    <x v="3"/>
    <x v="6"/>
    <x v="6"/>
    <x v="5"/>
    <x v="4"/>
    <x v="5"/>
    <x v="4"/>
    <x v="5"/>
    <x v="5"/>
    <x v="6"/>
    <x v="6"/>
    <x v="6"/>
    <x v="4"/>
    <x v="6"/>
    <x v="6"/>
    <x v="6"/>
    <x v="6"/>
    <x v="6"/>
    <x v="6"/>
    <x v="4"/>
    <x v="5"/>
    <x v="5"/>
    <x v="5"/>
    <x v="5"/>
    <x v="5"/>
    <x v="6"/>
    <x v="6"/>
    <x v="5"/>
    <x v="6"/>
    <x v="5"/>
    <x v="5"/>
    <x v="3"/>
    <x v="5"/>
    <x v="6"/>
    <x v="5"/>
    <x v="4"/>
    <x v="6"/>
    <x v="6"/>
    <x v="6"/>
    <x v="5"/>
    <x v="6"/>
    <x v="6"/>
    <x v="6"/>
    <x v="6"/>
    <x v="6"/>
    <x v="6"/>
    <x v="6"/>
    <x v="5"/>
    <x v="6"/>
    <x v="5"/>
    <x v="6"/>
    <x v="4"/>
    <x v="6"/>
    <x v="6"/>
    <x v="6"/>
    <x v="5"/>
    <x v="5"/>
    <x v="5"/>
    <x v="5"/>
    <x v="6"/>
    <x v="6"/>
    <x v="6"/>
    <x v="6"/>
    <x v="6"/>
    <x v="6"/>
    <x v="3"/>
    <x v="3"/>
    <x v="6"/>
    <x v="6"/>
    <x v="6"/>
    <x v="6"/>
    <x v="5"/>
    <x v="3"/>
    <x v="5"/>
    <x v="3"/>
    <x v="5"/>
    <x v="5"/>
    <x v="5"/>
    <m/>
  </r>
</pivotCacheRecords>
</file>

<file path=xl/pivotCache/pivotCacheRecords4.xml><?xml version="1.0" encoding="utf-8"?>
<pivotCacheRecords xmlns="http://schemas.openxmlformats.org/spreadsheetml/2006/main" xmlns:r="http://schemas.openxmlformats.org/officeDocument/2006/relationships" count="20">
  <r>
    <s v="Decano"/>
    <x v="0"/>
    <x v="0"/>
    <x v="0"/>
    <x v="0"/>
    <x v="0"/>
    <x v="0"/>
    <x v="0"/>
    <x v="0"/>
    <x v="0"/>
    <x v="0"/>
    <x v="0"/>
    <x v="0"/>
    <x v="0"/>
    <x v="0"/>
    <x v="0"/>
    <x v="0"/>
    <x v="0"/>
    <x v="0"/>
    <x v="0"/>
    <x v="0"/>
    <x v="0"/>
    <x v="0"/>
    <x v="0"/>
    <x v="0"/>
  </r>
  <r>
    <s v="Secretario Académico"/>
    <x v="1"/>
    <x v="0"/>
    <x v="1"/>
    <x v="1"/>
    <x v="1"/>
    <x v="1"/>
    <x v="1"/>
    <x v="1"/>
    <x v="1"/>
    <x v="0"/>
    <x v="0"/>
    <x v="0"/>
    <x v="1"/>
    <x v="1"/>
    <x v="1"/>
    <x v="0"/>
    <x v="0"/>
    <x v="0"/>
    <x v="0"/>
    <x v="1"/>
    <x v="1"/>
    <x v="1"/>
    <x v="0"/>
    <x v="0"/>
  </r>
  <r>
    <s v="Director Unidad de Investigación"/>
    <x v="1"/>
    <x v="1"/>
    <x v="2"/>
    <x v="2"/>
    <x v="2"/>
    <x v="2"/>
    <x v="2"/>
    <x v="0"/>
    <x v="2"/>
    <x v="0"/>
    <x v="0"/>
    <x v="1"/>
    <x v="0"/>
    <x v="2"/>
    <x v="2"/>
    <x v="1"/>
    <x v="1"/>
    <x v="1"/>
    <x v="0"/>
    <x v="0"/>
    <x v="2"/>
    <x v="2"/>
    <x v="1"/>
    <x v="1"/>
  </r>
  <r>
    <s v="Director Unidad de Extensión"/>
    <x v="1"/>
    <x v="2"/>
    <x v="3"/>
    <x v="3"/>
    <x v="3"/>
    <x v="3"/>
    <x v="3"/>
    <x v="0"/>
    <x v="1"/>
    <x v="1"/>
    <x v="1"/>
    <x v="0"/>
    <x v="0"/>
    <x v="0"/>
    <x v="0"/>
    <x v="0"/>
    <x v="2"/>
    <x v="0"/>
    <x v="1"/>
    <x v="0"/>
    <x v="0"/>
    <x v="3"/>
    <x v="1"/>
    <x v="1"/>
  </r>
  <r>
    <s v="Coordinador Autoevaluación y Acreditación"/>
    <x v="0"/>
    <x v="2"/>
    <x v="0"/>
    <x v="4"/>
    <x v="4"/>
    <x v="2"/>
    <x v="0"/>
    <x v="0"/>
    <x v="3"/>
    <x v="1"/>
    <x v="1"/>
    <x v="1"/>
    <x v="2"/>
    <x v="3"/>
    <x v="3"/>
    <x v="1"/>
    <x v="2"/>
    <x v="2"/>
    <x v="1"/>
    <x v="2"/>
    <x v="0"/>
    <x v="4"/>
    <x v="2"/>
    <x v="0"/>
  </r>
  <r>
    <s v="Coordinador Proyecto Curricular Producción"/>
    <x v="2"/>
    <x v="0"/>
    <x v="0"/>
    <x v="4"/>
    <x v="4"/>
    <x v="4"/>
    <x v="0"/>
    <x v="0"/>
    <x v="1"/>
    <x v="2"/>
    <x v="2"/>
    <x v="2"/>
    <x v="3"/>
    <x v="2"/>
    <x v="2"/>
    <x v="2"/>
    <x v="2"/>
    <x v="1"/>
    <x v="2"/>
    <x v="3"/>
    <x v="2"/>
    <x v="0"/>
    <x v="0"/>
    <x v="1"/>
  </r>
  <r>
    <s v="Coordinador Proyecto Curricular Electricidad"/>
    <x v="1"/>
    <x v="3"/>
    <x v="2"/>
    <x v="2"/>
    <x v="2"/>
    <x v="5"/>
    <x v="2"/>
    <x v="2"/>
    <x v="4"/>
    <x v="0"/>
    <x v="0"/>
    <x v="0"/>
    <x v="0"/>
    <x v="3"/>
    <x v="3"/>
    <x v="1"/>
    <x v="3"/>
    <x v="3"/>
    <x v="1"/>
    <x v="0"/>
    <x v="0"/>
    <x v="1"/>
    <x v="3"/>
    <x v="0"/>
  </r>
  <r>
    <s v="Coordinador Proyecto Curricular Electrónica"/>
    <x v="0"/>
    <x v="2"/>
    <x v="4"/>
    <x v="5"/>
    <x v="3"/>
    <x v="2"/>
    <x v="3"/>
    <x v="1"/>
    <x v="3"/>
    <x v="0"/>
    <x v="3"/>
    <x v="3"/>
    <x v="2"/>
    <x v="0"/>
    <x v="4"/>
    <x v="1"/>
    <x v="3"/>
    <x v="0"/>
    <x v="3"/>
    <x v="0"/>
    <x v="0"/>
    <x v="0"/>
    <x v="0"/>
    <x v="1"/>
  </r>
  <r>
    <s v="Coordinador Proyecto Curricular Construcciones Civiles"/>
    <x v="3"/>
    <x v="4"/>
    <x v="5"/>
    <x v="6"/>
    <x v="5"/>
    <x v="6"/>
    <x v="4"/>
    <x v="3"/>
    <x v="5"/>
    <x v="3"/>
    <x v="4"/>
    <x v="4"/>
    <x v="4"/>
    <x v="4"/>
    <x v="5"/>
    <x v="3"/>
    <x v="4"/>
    <x v="4"/>
    <x v="4"/>
    <x v="4"/>
    <x v="3"/>
    <x v="5"/>
    <x v="4"/>
    <x v="2"/>
  </r>
  <r>
    <s v="Coordinador Proyecto Curricular Mecánica"/>
    <x v="2"/>
    <x v="2"/>
    <x v="0"/>
    <x v="2"/>
    <x v="2"/>
    <x v="5"/>
    <x v="2"/>
    <x v="2"/>
    <x v="4"/>
    <x v="1"/>
    <x v="1"/>
    <x v="1"/>
    <x v="3"/>
    <x v="2"/>
    <x v="2"/>
    <x v="4"/>
    <x v="1"/>
    <x v="5"/>
    <x v="0"/>
    <x v="5"/>
    <x v="4"/>
    <x v="3"/>
    <x v="5"/>
    <x v="3"/>
  </r>
  <r>
    <s v="Coordinador Proyecto Curricular Telemática"/>
    <x v="0"/>
    <x v="1"/>
    <x v="4"/>
    <x v="4"/>
    <x v="3"/>
    <x v="4"/>
    <x v="2"/>
    <x v="2"/>
    <x v="4"/>
    <x v="0"/>
    <x v="1"/>
    <x v="3"/>
    <x v="0"/>
    <x v="0"/>
    <x v="0"/>
    <x v="4"/>
    <x v="1"/>
    <x v="2"/>
    <x v="2"/>
    <x v="0"/>
    <x v="0"/>
    <x v="1"/>
    <x v="0"/>
    <x v="0"/>
  </r>
  <r>
    <s v="Coordinador Proyecto Curricular Maestría Ing. Civil"/>
    <x v="3"/>
    <x v="4"/>
    <x v="5"/>
    <x v="6"/>
    <x v="5"/>
    <x v="6"/>
    <x v="4"/>
    <x v="3"/>
    <x v="5"/>
    <x v="3"/>
    <x v="4"/>
    <x v="4"/>
    <x v="4"/>
    <x v="4"/>
    <x v="5"/>
    <x v="3"/>
    <x v="4"/>
    <x v="4"/>
    <x v="4"/>
    <x v="4"/>
    <x v="3"/>
    <x v="5"/>
    <x v="4"/>
    <x v="2"/>
  </r>
  <r>
    <s v="Coordinador Comité de currículo"/>
    <x v="3"/>
    <x v="4"/>
    <x v="5"/>
    <x v="6"/>
    <x v="5"/>
    <x v="6"/>
    <x v="4"/>
    <x v="3"/>
    <x v="5"/>
    <x v="3"/>
    <x v="4"/>
    <x v="4"/>
    <x v="4"/>
    <x v="4"/>
    <x v="5"/>
    <x v="3"/>
    <x v="4"/>
    <x v="4"/>
    <x v="4"/>
    <x v="4"/>
    <x v="3"/>
    <x v="5"/>
    <x v="4"/>
    <x v="2"/>
  </r>
  <r>
    <s v="Coordinador Laboratorios Ciencias Básicas"/>
    <x v="3"/>
    <x v="4"/>
    <x v="5"/>
    <x v="6"/>
    <x v="5"/>
    <x v="6"/>
    <x v="4"/>
    <x v="3"/>
    <x v="5"/>
    <x v="3"/>
    <x v="4"/>
    <x v="4"/>
    <x v="4"/>
    <x v="4"/>
    <x v="5"/>
    <x v="3"/>
    <x v="4"/>
    <x v="4"/>
    <x v="4"/>
    <x v="4"/>
    <x v="3"/>
    <x v="5"/>
    <x v="4"/>
    <x v="2"/>
  </r>
  <r>
    <s v="Coordinador Laboratorios Construcciones Civiles"/>
    <x v="3"/>
    <x v="4"/>
    <x v="5"/>
    <x v="6"/>
    <x v="5"/>
    <x v="6"/>
    <x v="4"/>
    <x v="3"/>
    <x v="5"/>
    <x v="3"/>
    <x v="4"/>
    <x v="4"/>
    <x v="4"/>
    <x v="4"/>
    <x v="5"/>
    <x v="3"/>
    <x v="4"/>
    <x v="4"/>
    <x v="4"/>
    <x v="4"/>
    <x v="3"/>
    <x v="5"/>
    <x v="4"/>
    <x v="2"/>
  </r>
  <r>
    <s v="Coordinador Laboratorios Electricidad"/>
    <x v="0"/>
    <x v="3"/>
    <x v="2"/>
    <x v="5"/>
    <x v="3"/>
    <x v="5"/>
    <x v="2"/>
    <x v="0"/>
    <x v="4"/>
    <x v="0"/>
    <x v="0"/>
    <x v="0"/>
    <x v="0"/>
    <x v="5"/>
    <x v="2"/>
    <x v="0"/>
    <x v="0"/>
    <x v="0"/>
    <x v="1"/>
    <x v="0"/>
    <x v="0"/>
    <x v="1"/>
    <x v="3"/>
    <x v="0"/>
  </r>
  <r>
    <s v="Coordinador Laboratorios Electrónica"/>
    <x v="2"/>
    <x v="3"/>
    <x v="1"/>
    <x v="2"/>
    <x v="2"/>
    <x v="5"/>
    <x v="2"/>
    <x v="2"/>
    <x v="4"/>
    <x v="4"/>
    <x v="3"/>
    <x v="3"/>
    <x v="5"/>
    <x v="5"/>
    <x v="6"/>
    <x v="0"/>
    <x v="1"/>
    <x v="5"/>
    <x v="1"/>
    <x v="0"/>
    <x v="2"/>
    <x v="2"/>
    <x v="5"/>
    <x v="1"/>
  </r>
  <r>
    <s v="Coordinador Laboratorios Industrial"/>
    <x v="0"/>
    <x v="1"/>
    <x v="0"/>
    <x v="5"/>
    <x v="4"/>
    <x v="5"/>
    <x v="2"/>
    <x v="0"/>
    <x v="4"/>
    <x v="0"/>
    <x v="0"/>
    <x v="0"/>
    <x v="0"/>
    <x v="5"/>
    <x v="2"/>
    <x v="0"/>
    <x v="0"/>
    <x v="0"/>
    <x v="1"/>
    <x v="0"/>
    <x v="0"/>
    <x v="1"/>
    <x v="3"/>
    <x v="0"/>
  </r>
  <r>
    <s v="Coordinador Laboratorios Informática"/>
    <x v="2"/>
    <x v="5"/>
    <x v="3"/>
    <x v="1"/>
    <x v="1"/>
    <x v="1"/>
    <x v="5"/>
    <x v="4"/>
    <x v="3"/>
    <x v="5"/>
    <x v="5"/>
    <x v="5"/>
    <x v="5"/>
    <x v="1"/>
    <x v="1"/>
    <x v="5"/>
    <x v="3"/>
    <x v="3"/>
    <x v="5"/>
    <x v="0"/>
    <x v="0"/>
    <x v="4"/>
    <x v="2"/>
    <x v="4"/>
  </r>
  <r>
    <s v="Coordinador Laboratorios Mecánica"/>
    <x v="0"/>
    <x v="3"/>
    <x v="3"/>
    <x v="1"/>
    <x v="1"/>
    <x v="1"/>
    <x v="5"/>
    <x v="4"/>
    <x v="0"/>
    <x v="1"/>
    <x v="1"/>
    <x v="1"/>
    <x v="0"/>
    <x v="3"/>
    <x v="0"/>
    <x v="5"/>
    <x v="5"/>
    <x v="2"/>
    <x v="5"/>
    <x v="0"/>
    <x v="4"/>
    <x v="4"/>
    <x v="0"/>
    <x v="4"/>
  </r>
</pivotCacheRecords>
</file>

<file path=xl/pivotCache/pivotCacheRecords5.xml><?xml version="1.0" encoding="utf-8"?>
<pivotCacheRecords xmlns="http://schemas.openxmlformats.org/spreadsheetml/2006/main" xmlns:r="http://schemas.openxmlformats.org/officeDocument/2006/relationships" count="78">
  <r>
    <d v="2017-07-18T11:46:39"/>
    <s v="OSCAR E."/>
    <s v="AVELLA M."/>
    <n v="79888241"/>
    <s v="INGENIERO(A) EN DISTRIBUCIÓN Y REDES ELÉCTRICAS"/>
    <n v="2008"/>
    <n v="3186296904"/>
    <s v="o.avella@hotmail.com"/>
    <s v="SERVICIOS"/>
    <s v="GERENTE"/>
    <s v="APROIND LTDA"/>
    <m/>
    <s v="proyectos@aproind.com"/>
    <n v="4687292"/>
    <m/>
    <x v="0"/>
    <x v="0"/>
    <x v="0"/>
    <x v="0"/>
    <x v="0"/>
    <x v="0"/>
    <x v="0"/>
    <x v="0"/>
    <x v="0"/>
    <x v="0"/>
    <x v="0"/>
    <x v="0"/>
    <x v="0"/>
    <x v="0"/>
    <x v="0"/>
    <x v="0"/>
    <x v="0"/>
    <x v="0"/>
    <x v="0"/>
    <x v="0"/>
    <x v="0"/>
    <x v="0"/>
    <x v="0"/>
    <x v="0"/>
    <x v="0"/>
    <x v="0"/>
    <x v="0"/>
    <x v="0"/>
    <x v="0"/>
    <x v="0"/>
    <s v="Totalmente de acuerdo / SI"/>
    <m/>
    <s v="Sí"/>
  </r>
  <r>
    <d v="2017-07-18T11:58:00"/>
    <s v="Oscar Mauricio "/>
    <s v="Rincón Céspedes "/>
    <n v="80255381"/>
    <s v="INGENIERO(A) EN DISTRIBUCIÓN Y REDES ELÉCTRICAS"/>
    <n v="2008"/>
    <n v="3133828431"/>
    <s v="omrinconc@gmail.com"/>
    <s v="Privado"/>
    <s v="Profesional Senior"/>
    <s v="ENEL"/>
    <s v="Marco Fidel Suarez"/>
    <s v="oscar.rincon@enel.com"/>
    <n v="6016060"/>
    <m/>
    <x v="1"/>
    <x v="1"/>
    <x v="0"/>
    <x v="0"/>
    <x v="1"/>
    <x v="1"/>
    <x v="1"/>
    <x v="1"/>
    <x v="1"/>
    <x v="1"/>
    <x v="1"/>
    <x v="1"/>
    <x v="1"/>
    <x v="1"/>
    <x v="1"/>
    <x v="1"/>
    <x v="1"/>
    <x v="1"/>
    <x v="1"/>
    <x v="0"/>
    <x v="1"/>
    <x v="1"/>
    <x v="1"/>
    <x v="0"/>
    <x v="0"/>
    <x v="1"/>
    <x v="1"/>
    <x v="1"/>
    <x v="1"/>
    <x v="0"/>
    <s v="Totalmente de acuerdo / SI"/>
    <m/>
    <s v="Sí"/>
  </r>
  <r>
    <d v="2017-07-18T17:29:19"/>
    <s v="WALTER"/>
    <s v="BOLAÑOS"/>
    <n v="80256384"/>
    <s v="INGENIERO(A) EN DISTRIBUCIÓN Y REDES ELÉCTRICAS"/>
    <n v="2010"/>
    <n v="3154078752"/>
    <s v="wbolanos3@gmail.com"/>
    <s v="Mantenimiento y construcción"/>
    <s v="GERENTE"/>
    <s v="SODINLEC"/>
    <s v="JUNTA DIRECTIVA"/>
    <s v="walter.bolanos@sodinlec.com"/>
    <n v="7049064"/>
    <m/>
    <x v="2"/>
    <x v="2"/>
    <x v="1"/>
    <x v="0"/>
    <x v="0"/>
    <x v="2"/>
    <x v="2"/>
    <x v="2"/>
    <x v="2"/>
    <x v="2"/>
    <x v="0"/>
    <x v="0"/>
    <x v="2"/>
    <x v="2"/>
    <x v="2"/>
    <x v="0"/>
    <x v="2"/>
    <x v="0"/>
    <x v="1"/>
    <x v="0"/>
    <x v="2"/>
    <x v="2"/>
    <x v="0"/>
    <x v="1"/>
    <x v="0"/>
    <x v="0"/>
    <x v="0"/>
    <x v="2"/>
    <x v="0"/>
    <x v="0"/>
    <s v="Totalmente de acuerdo / SI"/>
    <m/>
    <s v="Sí"/>
  </r>
  <r>
    <d v="2017-07-18T17:32:11"/>
    <s v="RODRIGO"/>
    <s v="BETANCOURT MARTINEZ"/>
    <n v="1024515791"/>
    <s v="INGENIERO(A) ELÉCTRICO(A)"/>
    <n v="2015"/>
    <n v="3132485063"/>
    <s v="RBET91@GMAIL.COM"/>
    <s v="PROFESIONAL JUNIOR"/>
    <s v="PROFESIONAL JUNIOR"/>
    <s v="ENEL"/>
    <m/>
    <m/>
    <m/>
    <m/>
    <x v="3"/>
    <x v="0"/>
    <x v="1"/>
    <x v="1"/>
    <x v="0"/>
    <x v="0"/>
    <x v="1"/>
    <x v="0"/>
    <x v="1"/>
    <x v="0"/>
    <x v="0"/>
    <x v="2"/>
    <x v="1"/>
    <x v="0"/>
    <x v="1"/>
    <x v="1"/>
    <x v="1"/>
    <x v="1"/>
    <x v="1"/>
    <x v="1"/>
    <x v="3"/>
    <x v="0"/>
    <x v="0"/>
    <x v="2"/>
    <x v="1"/>
    <x v="0"/>
    <x v="0"/>
    <x v="2"/>
    <x v="0"/>
    <x v="1"/>
    <s v="De acuerdo"/>
    <m/>
    <s v="Sí"/>
  </r>
  <r>
    <d v="2017-07-18T17:46:40"/>
    <s v="DIEGO FERNANDO"/>
    <s v="GOMEZ MOLANO"/>
    <n v="80113731"/>
    <s v="INGENIERO(A) EN DISTRIBUCIÓN Y REDES ELÉCTRICAS"/>
    <n v="2007"/>
    <n v="3012822383"/>
    <s v="diegomezx@gmail.com"/>
    <s v="Generación de Energia"/>
    <s v="Gerente de Proyectos"/>
    <s v="Toshiba"/>
    <m/>
    <m/>
    <m/>
    <m/>
    <x v="1"/>
    <x v="1"/>
    <x v="1"/>
    <x v="1"/>
    <x v="1"/>
    <x v="1"/>
    <x v="2"/>
    <x v="1"/>
    <x v="1"/>
    <x v="1"/>
    <x v="0"/>
    <x v="2"/>
    <x v="0"/>
    <x v="0"/>
    <x v="1"/>
    <x v="1"/>
    <x v="1"/>
    <x v="1"/>
    <x v="0"/>
    <x v="1"/>
    <x v="3"/>
    <x v="0"/>
    <x v="2"/>
    <x v="3"/>
    <x v="0"/>
    <x v="0"/>
    <x v="1"/>
    <x v="0"/>
    <x v="0"/>
    <x v="0"/>
    <s v="Totalmente de acuerdo / SI"/>
    <s v="Master en Administración de Negocios"/>
    <s v="Sí"/>
  </r>
  <r>
    <d v="2017-07-18T21:10:49"/>
    <s v="GERARDO ANTONIO"/>
    <s v="CARDOZO MENDEZ"/>
    <n v="1072651117"/>
    <s v="INGENIERO(A) ELÉCTRICO(A)"/>
    <n v="2015"/>
    <n v="3138385223"/>
    <s v="gcardozo88@yahoo.com"/>
    <s v="ILUMINACIÓN"/>
    <s v="ING. DE PROYECTOS"/>
    <s v="ROY ALPHA S.A."/>
    <m/>
    <m/>
    <m/>
    <m/>
    <x v="3"/>
    <x v="1"/>
    <x v="1"/>
    <x v="2"/>
    <x v="0"/>
    <x v="3"/>
    <x v="2"/>
    <x v="2"/>
    <x v="0"/>
    <x v="2"/>
    <x v="0"/>
    <x v="1"/>
    <x v="0"/>
    <x v="2"/>
    <x v="2"/>
    <x v="2"/>
    <x v="2"/>
    <x v="2"/>
    <x v="2"/>
    <x v="0"/>
    <x v="3"/>
    <x v="0"/>
    <x v="2"/>
    <x v="3"/>
    <x v="0"/>
    <x v="1"/>
    <x v="2"/>
    <x v="2"/>
    <x v="0"/>
    <x v="1"/>
    <s v="De acuerdo"/>
    <s v="ESPECIALIZACIÓN"/>
    <s v="Sí"/>
  </r>
  <r>
    <d v="2017-07-19T06:22:29"/>
    <s v="JHON WILSON"/>
    <s v="HUERTAS"/>
    <n v="80063157"/>
    <s v="INGENIERO(A) ELÉCTRICO(A)"/>
    <n v="2013"/>
    <n v="3108562627"/>
    <s v="wilhtec@hotmail.com"/>
    <s v="Ejecución de proyectos de construcción "/>
    <s v="Gerente de Proyectos"/>
    <s v="JE JAIMES INGENIEROS"/>
    <s v="Enrique Jaimes"/>
    <s v="wilson.huertas@jejaimes.com.co"/>
    <n v="3599300"/>
    <s v="Validación por los excelentes resultados obtenidos y asignación de proyectos especiales"/>
    <x v="4"/>
    <x v="2"/>
    <x v="2"/>
    <x v="0"/>
    <x v="0"/>
    <x v="0"/>
    <x v="3"/>
    <x v="3"/>
    <x v="0"/>
    <x v="0"/>
    <x v="0"/>
    <x v="2"/>
    <x v="3"/>
    <x v="2"/>
    <x v="0"/>
    <x v="0"/>
    <x v="0"/>
    <x v="2"/>
    <x v="2"/>
    <x v="0"/>
    <x v="0"/>
    <x v="3"/>
    <x v="3"/>
    <x v="2"/>
    <x v="2"/>
    <x v="0"/>
    <x v="3"/>
    <x v="2"/>
    <x v="2"/>
    <x v="1"/>
    <s v="De acuerdo"/>
    <s v="Especialista  en planeamiento energético"/>
    <s v="Sí"/>
  </r>
  <r>
    <d v="2017-07-19T11:44:05"/>
    <s v="EDGAR AUGUSTO"/>
    <s v="LEIVA CASTIBLANCO"/>
    <n v="79891068"/>
    <s v="INGENIERO(A) EN DISTRIBUCIÓN Y REDES ELÉCTRICAS"/>
    <n v="2008"/>
    <n v="3005159616"/>
    <s v="eleiva@koncetsas.com"/>
    <s v="INGENIERÍA Y CONSULTORÍA"/>
    <s v="GERENTE"/>
    <s v="KONCET SAS"/>
    <m/>
    <s v="eleiva@koncetsas.com"/>
    <n v="2499167"/>
    <s v="BECA Y MONITOR"/>
    <x v="3"/>
    <x v="3"/>
    <x v="1"/>
    <x v="0"/>
    <x v="0"/>
    <x v="1"/>
    <x v="2"/>
    <x v="2"/>
    <x v="0"/>
    <x v="1"/>
    <x v="0"/>
    <x v="2"/>
    <x v="4"/>
    <x v="0"/>
    <x v="2"/>
    <x v="1"/>
    <x v="2"/>
    <x v="0"/>
    <x v="1"/>
    <x v="1"/>
    <x v="4"/>
    <x v="0"/>
    <x v="2"/>
    <x v="0"/>
    <x v="0"/>
    <x v="0"/>
    <x v="0"/>
    <x v="3"/>
    <x v="2"/>
    <x v="0"/>
    <s v="Totalmente de acuerdo / SI"/>
    <s v="GESTIÓN DE PROYECTOS DE INGENIERÍA"/>
    <s v="Sí"/>
  </r>
  <r>
    <d v="2017-07-19T11:55:42"/>
    <s v="PEDRO"/>
    <s v="ALARCÓN "/>
    <n v="79734355"/>
    <s v="INGENIERO(A) EN DISTRIBUCIÓN Y REDES ELÉCTRICAS"/>
    <n v="2013"/>
    <n v="3177902526"/>
    <s v="pealarcon01@gmail.com"/>
    <s v="Ingenieria eléctrica "/>
    <s v="Ingeniero de de motajes equipos AT"/>
    <s v="SERINGEL S.A.S"/>
    <m/>
    <m/>
    <m/>
    <m/>
    <x v="1"/>
    <x v="3"/>
    <x v="1"/>
    <x v="2"/>
    <x v="0"/>
    <x v="0"/>
    <x v="2"/>
    <x v="2"/>
    <x v="1"/>
    <x v="0"/>
    <x v="0"/>
    <x v="2"/>
    <x v="3"/>
    <x v="0"/>
    <x v="2"/>
    <x v="0"/>
    <x v="2"/>
    <x v="1"/>
    <x v="2"/>
    <x v="0"/>
    <x v="1"/>
    <x v="2"/>
    <x v="4"/>
    <x v="4"/>
    <x v="3"/>
    <x v="0"/>
    <x v="0"/>
    <x v="0"/>
    <x v="2"/>
    <x v="1"/>
    <s v="De acuerdo"/>
    <m/>
    <s v="Sí"/>
  </r>
  <r>
    <d v="2017-07-19T12:35:17"/>
    <s v="JEIMY "/>
    <s v="GUTIERREZ MORENO"/>
    <n v="52384067"/>
    <s v="INGENIERO(A) ELÉCTRICO(A)"/>
    <n v="2013"/>
    <n v="3163370501"/>
    <s v="jeimygutierrezm@yahoo.es"/>
    <s v="Ingeniería  "/>
    <s v="Ingeniera de soporte"/>
    <s v="Teseract SAS"/>
    <s v="BLADIMIRO ESCORCIA"/>
    <s v="planeacion1@teseract.com.co"/>
    <n v="0"/>
    <m/>
    <x v="1"/>
    <x v="0"/>
    <x v="1"/>
    <x v="1"/>
    <x v="1"/>
    <x v="1"/>
    <x v="1"/>
    <x v="1"/>
    <x v="1"/>
    <x v="1"/>
    <x v="1"/>
    <x v="1"/>
    <x v="3"/>
    <x v="1"/>
    <x v="1"/>
    <x v="1"/>
    <x v="1"/>
    <x v="1"/>
    <x v="1"/>
    <x v="1"/>
    <x v="3"/>
    <x v="0"/>
    <x v="2"/>
    <x v="3"/>
    <x v="3"/>
    <x v="2"/>
    <x v="1"/>
    <x v="1"/>
    <x v="1"/>
    <x v="0"/>
    <s v="Totalmente de acuerdo / SI"/>
    <m/>
    <s v="Sí"/>
  </r>
  <r>
    <d v="2017-07-19T13:59:23"/>
    <s v="DIANA LISETH"/>
    <s v="BECERRA CABIELES"/>
    <n v="52937116"/>
    <s v="INGENIERO(A) ELÉCTRICO(A)"/>
    <n v="2011"/>
    <n v="3134520662"/>
    <s v="dianacabieles0427@gmail.com"/>
    <s v="MULTINACIONAL ELECTRICO"/>
    <s v="ESPECIALISTA DE VENTAS"/>
    <s v="ABB"/>
    <s v="ALFONSO SALGADO"/>
    <s v="diana.becerra@co.abb.com"/>
    <n v="4178000"/>
    <m/>
    <x v="0"/>
    <x v="1"/>
    <x v="1"/>
    <x v="0"/>
    <x v="1"/>
    <x v="1"/>
    <x v="4"/>
    <x v="4"/>
    <x v="1"/>
    <x v="0"/>
    <x v="0"/>
    <x v="3"/>
    <x v="3"/>
    <x v="0"/>
    <x v="3"/>
    <x v="1"/>
    <x v="3"/>
    <x v="1"/>
    <x v="1"/>
    <x v="1"/>
    <x v="3"/>
    <x v="0"/>
    <x v="2"/>
    <x v="4"/>
    <x v="2"/>
    <x v="0"/>
    <x v="3"/>
    <x v="2"/>
    <x v="1"/>
    <x v="0"/>
    <s v="Totalmente de acuerdo / SI"/>
    <s v="ESPECIALISTA EN MERCADEO ESTRATÉGICO"/>
    <s v="Sí"/>
  </r>
  <r>
    <d v="2017-07-19T20:14:07"/>
    <s v="JHON FREDY"/>
    <s v="ESQUIVEL GIRALDO"/>
    <n v="80857616"/>
    <s v="INGENIERO(A) ELÉCTRICO(A)"/>
    <n v="2011"/>
    <n v="3153044114"/>
    <s v="jhon170285@gmail.com"/>
    <s v="Distribución MT/BT"/>
    <s v="Ingeniero electricista"/>
    <s v="Codensa S.A Esp"/>
    <s v="Marco Fidel Suarez Sanchez"/>
    <s v="jhon.esquivel@enel.com"/>
    <n v="6016060"/>
    <s v="Mejoras de procesos"/>
    <x v="3"/>
    <x v="1"/>
    <x v="1"/>
    <x v="1"/>
    <x v="0"/>
    <x v="0"/>
    <x v="4"/>
    <x v="2"/>
    <x v="0"/>
    <x v="0"/>
    <x v="0"/>
    <x v="1"/>
    <x v="1"/>
    <x v="0"/>
    <x v="1"/>
    <x v="1"/>
    <x v="2"/>
    <x v="1"/>
    <x v="1"/>
    <x v="1"/>
    <x v="0"/>
    <x v="0"/>
    <x v="2"/>
    <x v="0"/>
    <x v="0"/>
    <x v="2"/>
    <x v="0"/>
    <x v="1"/>
    <x v="1"/>
    <x v="0"/>
    <s v="Totalmente de acuerdo / SI"/>
    <s v="Especialista en Gestión de Proyectos de Ingeniería"/>
    <s v="Sí"/>
  </r>
  <r>
    <d v="2017-07-21T14:03:12"/>
    <s v="Arturo"/>
    <s v="Chavarro"/>
    <n v="79924970"/>
    <s v="INGENIERO(A) EN DISTRIBUCIÓN Y REDES ELÉCTRICAS"/>
    <n v="2013"/>
    <n v="3005565668"/>
    <s v="arturochavarro@gmail.com"/>
    <s v="ingeniero"/>
    <s v="ingeniero"/>
    <m/>
    <m/>
    <m/>
    <m/>
    <m/>
    <x v="1"/>
    <x v="0"/>
    <x v="0"/>
    <x v="1"/>
    <x v="1"/>
    <x v="0"/>
    <x v="2"/>
    <x v="0"/>
    <x v="0"/>
    <x v="0"/>
    <x v="1"/>
    <x v="1"/>
    <x v="1"/>
    <x v="1"/>
    <x v="1"/>
    <x v="1"/>
    <x v="2"/>
    <x v="0"/>
    <x v="1"/>
    <x v="0"/>
    <x v="0"/>
    <x v="4"/>
    <x v="0"/>
    <x v="3"/>
    <x v="2"/>
    <x v="0"/>
    <x v="0"/>
    <x v="2"/>
    <x v="0"/>
    <x v="1"/>
    <s v="De acuerdo"/>
    <m/>
    <s v="Sí"/>
  </r>
  <r>
    <d v="2017-07-21T15:01:15"/>
    <s v="Ana Doris"/>
    <s v="Guerrero Sastre"/>
    <n v="52238894"/>
    <s v="INGENIERO(A) EN DISTRIBUCIÓN Y REDES ELÉCTRICAS"/>
    <n v="2007"/>
    <n v="3115935313"/>
    <s v="anadoris2005@yahoo.es"/>
    <s v="Desempleada"/>
    <s v="Desempleada"/>
    <m/>
    <m/>
    <m/>
    <m/>
    <m/>
    <x v="2"/>
    <x v="4"/>
    <x v="0"/>
    <x v="0"/>
    <x v="0"/>
    <x v="0"/>
    <x v="2"/>
    <x v="2"/>
    <x v="2"/>
    <x v="2"/>
    <x v="2"/>
    <x v="3"/>
    <x v="2"/>
    <x v="2"/>
    <x v="3"/>
    <x v="3"/>
    <x v="3"/>
    <x v="3"/>
    <x v="1"/>
    <x v="0"/>
    <x v="0"/>
    <x v="2"/>
    <x v="4"/>
    <x v="2"/>
    <x v="3"/>
    <x v="3"/>
    <x v="3"/>
    <x v="4"/>
    <x v="2"/>
    <x v="1"/>
    <s v="De acuerdo"/>
    <m/>
    <s v="Sí"/>
  </r>
  <r>
    <d v="2017-07-21T15:09:22"/>
    <s v="FREDY "/>
    <s v="LOZADA GONZALEZ"/>
    <n v="94475676"/>
    <s v="INGENIERO(A) ELÉCTRICO(A)"/>
    <n v="2013"/>
    <n v="3212664455"/>
    <s v="FRELOGON@HOTMAIL.COM"/>
    <s v="ASESOR DE INGENIERÍA "/>
    <s v="INGENIERO ASESOR ELÉCTRICO "/>
    <m/>
    <m/>
    <m/>
    <m/>
    <m/>
    <x v="0"/>
    <x v="1"/>
    <x v="3"/>
    <x v="0"/>
    <x v="0"/>
    <x v="0"/>
    <x v="4"/>
    <x v="2"/>
    <x v="0"/>
    <x v="0"/>
    <x v="0"/>
    <x v="0"/>
    <x v="0"/>
    <x v="2"/>
    <x v="2"/>
    <x v="0"/>
    <x v="2"/>
    <x v="0"/>
    <x v="0"/>
    <x v="0"/>
    <x v="0"/>
    <x v="4"/>
    <x v="0"/>
    <x v="4"/>
    <x v="1"/>
    <x v="0"/>
    <x v="0"/>
    <x v="2"/>
    <x v="0"/>
    <x v="1"/>
    <s v="De acuerdo"/>
    <s v="MAESTRIA EN INGENIERIA ELÉCTRICA"/>
    <s v="Sí"/>
  </r>
  <r>
    <d v="2017-07-21T15:16:55"/>
    <s v="CARLOS ANDRES"/>
    <s v="RAMIREZ GUTIERREZ"/>
    <n v="79994844"/>
    <s v="INGENIERO(A) ELÉCTRICO(A)"/>
    <n v="2015"/>
    <n v="3003949144"/>
    <s v="CANRAGU@GMAIL.COM"/>
    <s v="ASESOR INGENIERÍA ELECTRICA"/>
    <s v="iNGENIERO ELECTRICISTA INFRAESTRUCTURA"/>
    <m/>
    <m/>
    <m/>
    <m/>
    <m/>
    <x v="0"/>
    <x v="1"/>
    <x v="4"/>
    <x v="0"/>
    <x v="0"/>
    <x v="0"/>
    <x v="2"/>
    <x v="2"/>
    <x v="0"/>
    <x v="0"/>
    <x v="0"/>
    <x v="2"/>
    <x v="2"/>
    <x v="2"/>
    <x v="0"/>
    <x v="0"/>
    <x v="2"/>
    <x v="4"/>
    <x v="0"/>
    <x v="2"/>
    <x v="0"/>
    <x v="4"/>
    <x v="0"/>
    <x v="1"/>
    <x v="4"/>
    <x v="0"/>
    <x v="0"/>
    <x v="2"/>
    <x v="0"/>
    <x v="1"/>
    <s v="De acuerdo"/>
    <m/>
    <s v="No"/>
  </r>
  <r>
    <d v="2017-07-21T15:27:57"/>
    <s v="Marco Alexander"/>
    <s v="Merchan Espitia"/>
    <n v="79891371"/>
    <s v="INGENIERO(A) EN DISTRIBUCIÓN Y REDES ELÉCTRICAS"/>
    <n v="2011"/>
    <n v="3178204965"/>
    <s v="alexmer2004@yahoo.com"/>
    <s v="Electrico"/>
    <s v="Profesional"/>
    <s v="Codensa "/>
    <s v="Dino Cortes"/>
    <m/>
    <m/>
    <m/>
    <x v="1"/>
    <x v="0"/>
    <x v="1"/>
    <x v="1"/>
    <x v="1"/>
    <x v="1"/>
    <x v="1"/>
    <x v="0"/>
    <x v="1"/>
    <x v="1"/>
    <x v="1"/>
    <x v="1"/>
    <x v="1"/>
    <x v="1"/>
    <x v="1"/>
    <x v="1"/>
    <x v="2"/>
    <x v="1"/>
    <x v="1"/>
    <x v="1"/>
    <x v="0"/>
    <x v="0"/>
    <x v="2"/>
    <x v="4"/>
    <x v="1"/>
    <x v="2"/>
    <x v="1"/>
    <x v="1"/>
    <x v="1"/>
    <x v="0"/>
    <s v="Totalmente de acuerdo / SI"/>
    <m/>
    <s v="No"/>
  </r>
  <r>
    <d v="2017-07-21T15:31:48"/>
    <s v="CHARLES"/>
    <s v="AGUIRRE BUITRAGO"/>
    <n v="79925384"/>
    <s v="INGENIERO(A) ELÉCTRICO(A)"/>
    <n v="2012"/>
    <n v="3045788321"/>
    <s v="narval_162@hotmail.com"/>
    <s v="Redes de distribución con operador de red"/>
    <s v="Profesional"/>
    <s v="codensa"/>
    <s v="Hugo Velasco"/>
    <s v="charles.aguirre@enel.com"/>
    <n v="3183351680"/>
    <s v="ascenso y viajes."/>
    <x v="0"/>
    <x v="1"/>
    <x v="0"/>
    <x v="2"/>
    <x v="0"/>
    <x v="0"/>
    <x v="2"/>
    <x v="0"/>
    <x v="1"/>
    <x v="0"/>
    <x v="2"/>
    <x v="0"/>
    <x v="0"/>
    <x v="2"/>
    <x v="2"/>
    <x v="1"/>
    <x v="2"/>
    <x v="2"/>
    <x v="1"/>
    <x v="0"/>
    <x v="0"/>
    <x v="0"/>
    <x v="2"/>
    <x v="5"/>
    <x v="0"/>
    <x v="0"/>
    <x v="0"/>
    <x v="2"/>
    <x v="1"/>
    <x v="0"/>
    <s v="Totalmente de acuerdo / SI"/>
    <s v="Especialización sistema de distribución y transmisión"/>
    <s v="Sí"/>
  </r>
  <r>
    <d v="2017-07-21T15:33:43"/>
    <s v="Angélica  Maria"/>
    <s v="Puentes Poloche"/>
    <n v="52185475"/>
    <s v="INGENIERO(A) EN DISTRIBUCIÓN Y REDES ELÉCTRICAS"/>
    <n v="2009"/>
    <n v="3114580669"/>
    <s v="angmapupo@hotmail.com"/>
    <s v="Ing electrico"/>
    <s v="Sin empleo"/>
    <s v="Sin empleo"/>
    <s v="Sin empleo "/>
    <s v="angmapupo@hotmail.com"/>
    <m/>
    <m/>
    <x v="0"/>
    <x v="1"/>
    <x v="1"/>
    <x v="1"/>
    <x v="1"/>
    <x v="1"/>
    <x v="4"/>
    <x v="0"/>
    <x v="0"/>
    <x v="0"/>
    <x v="0"/>
    <x v="0"/>
    <x v="3"/>
    <x v="0"/>
    <x v="2"/>
    <x v="0"/>
    <x v="1"/>
    <x v="1"/>
    <x v="0"/>
    <x v="0"/>
    <x v="3"/>
    <x v="0"/>
    <x v="2"/>
    <x v="4"/>
    <x v="3"/>
    <x v="0"/>
    <x v="2"/>
    <x v="2"/>
    <x v="0"/>
    <x v="1"/>
    <s v="De acuerdo"/>
    <s v="Especializacion en Gerencia  en riesgos laborales , seguridad y salud en el trabajo "/>
    <s v="Sí"/>
  </r>
  <r>
    <d v="2017-07-21T15:34:53"/>
    <s v="RODRIGO"/>
    <s v="GARCIA VALBUENA"/>
    <n v="79850214"/>
    <s v="INGENIERO(A) EN DISTRIBUCIÓN Y REDES ELÉCTRICAS"/>
    <n v="2014"/>
    <n v="3108601584"/>
    <s v="rogarcia96@yahoo.es"/>
    <s v="ELÉCTRICO"/>
    <s v="PROFESIONAL EN DISTRIBUCIÓN"/>
    <s v="CDENSA S.A.E.S.P."/>
    <s v="RUBEN MURILLO"/>
    <s v="rodrigo.garcia@enel.com"/>
    <n v="6016060"/>
    <m/>
    <x v="3"/>
    <x v="3"/>
    <x v="1"/>
    <x v="0"/>
    <x v="0"/>
    <x v="0"/>
    <x v="2"/>
    <x v="0"/>
    <x v="1"/>
    <x v="1"/>
    <x v="1"/>
    <x v="0"/>
    <x v="3"/>
    <x v="1"/>
    <x v="1"/>
    <x v="1"/>
    <x v="1"/>
    <x v="1"/>
    <x v="1"/>
    <x v="0"/>
    <x v="3"/>
    <x v="0"/>
    <x v="2"/>
    <x v="4"/>
    <x v="1"/>
    <x v="2"/>
    <x v="0"/>
    <x v="1"/>
    <x v="1"/>
    <x v="0"/>
    <s v="Totalmente de acuerdo / SI"/>
    <s v="ESPECIALISTA EN GERENCIA DE PROYECTOS"/>
    <s v="Sí"/>
  </r>
  <r>
    <d v="2017-07-21T15:59:59"/>
    <s v="Fabio "/>
    <s v="claros"/>
    <n v="79921075"/>
    <s v="INGENIERO(A) EN DISTRIBUCIÓN Y REDES ELÉCTRICAS"/>
    <n v="2010"/>
    <n v="3204070795"/>
    <s v="fabioandresclaros@yahoo.com"/>
    <s v="Mantenimiento y Proyectos"/>
    <s v="Director tecnico"/>
    <s v="Independiente"/>
    <m/>
    <m/>
    <n v="3204070795"/>
    <m/>
    <x v="0"/>
    <x v="2"/>
    <x v="0"/>
    <x v="2"/>
    <x v="0"/>
    <x v="4"/>
    <x v="5"/>
    <x v="4"/>
    <x v="0"/>
    <x v="2"/>
    <x v="3"/>
    <x v="2"/>
    <x v="0"/>
    <x v="3"/>
    <x v="2"/>
    <x v="2"/>
    <x v="0"/>
    <x v="0"/>
    <x v="1"/>
    <x v="0"/>
    <x v="1"/>
    <x v="0"/>
    <x v="0"/>
    <x v="4"/>
    <x v="0"/>
    <x v="3"/>
    <x v="3"/>
    <x v="0"/>
    <x v="2"/>
    <x v="1"/>
    <s v="De acuerdo"/>
    <s v="Especialista en gestion de proyectos"/>
    <s v="Sí"/>
  </r>
  <r>
    <d v="2017-07-21T16:41:51"/>
    <s v="Edwin Rodrigo "/>
    <s v="Lemus Rivera"/>
    <n v="79772428"/>
    <s v="INGENIERO(A) EN DISTRIBUCIÓN Y REDES ELÉCTRICAS"/>
    <n v="2011"/>
    <n v="3163526646"/>
    <s v="Lemusedwin@hotmail.com"/>
    <s v="Data Center"/>
    <s v="Ingeniero Atd"/>
    <s v="Ler ingebieria sas"/>
    <s v="Edwin Lemus"/>
    <s v="leringenieriasas@outlook.com"/>
    <n v="3163526646"/>
    <m/>
    <x v="0"/>
    <x v="1"/>
    <x v="1"/>
    <x v="1"/>
    <x v="0"/>
    <x v="1"/>
    <x v="4"/>
    <x v="0"/>
    <x v="0"/>
    <x v="0"/>
    <x v="0"/>
    <x v="0"/>
    <x v="3"/>
    <x v="0"/>
    <x v="2"/>
    <x v="0"/>
    <x v="2"/>
    <x v="0"/>
    <x v="0"/>
    <x v="0"/>
    <x v="0"/>
    <x v="4"/>
    <x v="0"/>
    <x v="4"/>
    <x v="1"/>
    <x v="0"/>
    <x v="0"/>
    <x v="2"/>
    <x v="0"/>
    <x v="1"/>
    <s v="De acuerdo"/>
    <m/>
    <s v="Sí"/>
  </r>
  <r>
    <d v="2017-07-21T16:48:23"/>
    <s v="Claudia Milena"/>
    <s v="Bermudez Rodriguez"/>
    <n v="52874445"/>
    <s v="INGENIERO(A) EN DISTRIBUCIÓN Y REDES ELÉCTRICAS"/>
    <n v="2009"/>
    <n v="3134825296"/>
    <s v="clamiber2006@yahoo.es"/>
    <s v="Asesor comercial"/>
    <s v="Asesor comercial"/>
    <s v="Interflex latinoamerica SAS"/>
    <m/>
    <m/>
    <n v="3006677915"/>
    <m/>
    <x v="0"/>
    <x v="1"/>
    <x v="1"/>
    <x v="1"/>
    <x v="1"/>
    <x v="1"/>
    <x v="1"/>
    <x v="0"/>
    <x v="1"/>
    <x v="0"/>
    <x v="0"/>
    <x v="1"/>
    <x v="1"/>
    <x v="1"/>
    <x v="1"/>
    <x v="1"/>
    <x v="1"/>
    <x v="1"/>
    <x v="1"/>
    <x v="1"/>
    <x v="3"/>
    <x v="0"/>
    <x v="2"/>
    <x v="5"/>
    <x v="5"/>
    <x v="2"/>
    <x v="1"/>
    <x v="1"/>
    <x v="1"/>
    <x v="1"/>
    <s v="De acuerdo"/>
    <s v="Magister en gerencia de mercadeo y direccion comercial"/>
    <s v="Sí"/>
  </r>
  <r>
    <d v="2017-07-21T17:10:14"/>
    <s v="Ferney yovany"/>
    <s v="Leon meza"/>
    <n v="79909603"/>
    <s v="INGENIERO(A) EN DISTRIBUCIÓN Y REDES ELÉCTRICAS"/>
    <n v="2008"/>
    <n v="3114599569"/>
    <s v="ferneyyovany@gmail.com"/>
    <s v="Diseños electricos y obras "/>
    <s v="Director de proyectos "/>
    <s v="Lenergy sas "/>
    <s v="Ferney yovany leon meza "/>
    <s v="proyectos@lenergy.com.co"/>
    <n v="3114599569"/>
    <m/>
    <x v="1"/>
    <x v="1"/>
    <x v="5"/>
    <x v="1"/>
    <x v="2"/>
    <x v="0"/>
    <x v="1"/>
    <x v="1"/>
    <x v="1"/>
    <x v="1"/>
    <x v="1"/>
    <x v="0"/>
    <x v="1"/>
    <x v="1"/>
    <x v="1"/>
    <x v="1"/>
    <x v="1"/>
    <x v="1"/>
    <x v="1"/>
    <x v="1"/>
    <x v="1"/>
    <x v="0"/>
    <x v="2"/>
    <x v="5"/>
    <x v="5"/>
    <x v="2"/>
    <x v="1"/>
    <x v="0"/>
    <x v="1"/>
    <x v="0"/>
    <s v="Totalmente de acuerdo / SI"/>
    <s v="Esp. En gestion en proyectos de ingenieria "/>
    <s v="Sí"/>
  </r>
  <r>
    <d v="2017-07-21T18:34:51"/>
    <s v="JUAN CARLOS"/>
    <s v="CARREÑO PEREZ"/>
    <n v="80215759"/>
    <s v="INGENIERO(A) EN DISTRIBUCIÓN Y REDES ELÉCTRICAS"/>
    <n v="2010"/>
    <n v="3213123218"/>
    <s v="juan_carlos_carreno@hotmail.com"/>
    <s v="ENERGETICO"/>
    <s v="ASESOR"/>
    <s v="EMPRESA DE ENERGIA DE BOGOTA"/>
    <s v="IVAN DIAZ"/>
    <s v="jcarreno@eeb.com.co"/>
    <n v="33268000"/>
    <m/>
    <x v="1"/>
    <x v="1"/>
    <x v="1"/>
    <x v="0"/>
    <x v="1"/>
    <x v="0"/>
    <x v="4"/>
    <x v="2"/>
    <x v="0"/>
    <x v="2"/>
    <x v="0"/>
    <x v="0"/>
    <x v="2"/>
    <x v="2"/>
    <x v="2"/>
    <x v="0"/>
    <x v="0"/>
    <x v="2"/>
    <x v="1"/>
    <x v="0"/>
    <x v="0"/>
    <x v="0"/>
    <x v="2"/>
    <x v="1"/>
    <x v="4"/>
    <x v="0"/>
    <x v="2"/>
    <x v="2"/>
    <x v="2"/>
    <x v="0"/>
    <s v="Totalmente de acuerdo / SI"/>
    <s v="MAESTRIA EN INGENIERIA"/>
    <s v="Sí"/>
  </r>
  <r>
    <d v="2017-07-21T18:48:16"/>
    <s v="JOHN JAIRO"/>
    <s v="MURCIA HURTADO"/>
    <n v="80807128"/>
    <s v="INGENIERO(A) ELÉCTRICO(A)"/>
    <n v="2015"/>
    <n v="3114840946"/>
    <s v="jjmurcia55@gmail.com"/>
    <s v="ACADEMICO"/>
    <s v="INSTRUCTOR"/>
    <s v="SENA"/>
    <s v="ANGÉLICA CARVAJAL"/>
    <s v="jjmurcia82@misena.edu.co"/>
    <n v="3114840946"/>
    <m/>
    <x v="1"/>
    <x v="0"/>
    <x v="0"/>
    <x v="0"/>
    <x v="2"/>
    <x v="0"/>
    <x v="4"/>
    <x v="1"/>
    <x v="1"/>
    <x v="1"/>
    <x v="1"/>
    <x v="0"/>
    <x v="3"/>
    <x v="0"/>
    <x v="2"/>
    <x v="1"/>
    <x v="1"/>
    <x v="0"/>
    <x v="1"/>
    <x v="1"/>
    <x v="3"/>
    <x v="2"/>
    <x v="0"/>
    <x v="0"/>
    <x v="0"/>
    <x v="0"/>
    <x v="0"/>
    <x v="1"/>
    <x v="0"/>
    <x v="0"/>
    <s v="Totalmente de acuerdo / SI"/>
    <m/>
    <s v="Sí"/>
  </r>
  <r>
    <d v="2017-07-21T20:07:45"/>
    <s v="ALEJANDRO "/>
    <s v="LÓPEZ "/>
    <n v="79841512"/>
    <s v="INGENIERO(A) EN DISTRIBUCIÓN Y REDES ELÉCTRICAS"/>
    <n v="2006"/>
    <n v="3175611993"/>
    <s v="aloars@gmail.com"/>
    <s v="SERVICIOS "/>
    <s v="DIRECTOR DE SERVICIOS"/>
    <s v="KTS SOLUCIONES ENERGÉTICAS LTDA"/>
    <m/>
    <s v="alopez@kts.com.co"/>
    <m/>
    <m/>
    <x v="1"/>
    <x v="1"/>
    <x v="1"/>
    <x v="0"/>
    <x v="0"/>
    <x v="0"/>
    <x v="4"/>
    <x v="0"/>
    <x v="1"/>
    <x v="0"/>
    <x v="0"/>
    <x v="0"/>
    <x v="0"/>
    <x v="1"/>
    <x v="1"/>
    <x v="1"/>
    <x v="2"/>
    <x v="0"/>
    <x v="0"/>
    <x v="0"/>
    <x v="0"/>
    <x v="0"/>
    <x v="2"/>
    <x v="4"/>
    <x v="1"/>
    <x v="0"/>
    <x v="0"/>
    <x v="2"/>
    <x v="1"/>
    <x v="0"/>
    <s v="Totalmente de acuerdo / SI"/>
    <m/>
    <s v="Sí"/>
  </r>
  <r>
    <d v="2017-07-21T21:19:59"/>
    <s v="WILSON RICARDO"/>
    <s v="TORRES MARTINEZ"/>
    <n v="80154682"/>
    <s v="INGENIERO(A) ELÉCTRICO(A)"/>
    <n v="2013"/>
    <n v="3164726619"/>
    <s v="towerss0@yahoo.es"/>
    <s v="Sector electrico"/>
    <s v="Ingeniero de Calidad"/>
    <s v="Almaviva SA"/>
    <s v="José Ricardo Muñoz"/>
    <s v="wtorresm@almaviva.com.co"/>
    <n v="8422859"/>
    <m/>
    <x v="0"/>
    <x v="1"/>
    <x v="0"/>
    <x v="0"/>
    <x v="0"/>
    <x v="0"/>
    <x v="0"/>
    <x v="2"/>
    <x v="0"/>
    <x v="0"/>
    <x v="2"/>
    <x v="2"/>
    <x v="2"/>
    <x v="0"/>
    <x v="2"/>
    <x v="0"/>
    <x v="2"/>
    <x v="2"/>
    <x v="0"/>
    <x v="0"/>
    <x v="0"/>
    <x v="4"/>
    <x v="0"/>
    <x v="4"/>
    <x v="2"/>
    <x v="1"/>
    <x v="2"/>
    <x v="2"/>
    <x v="0"/>
    <x v="1"/>
    <s v="De acuerdo"/>
    <m/>
    <s v="Sí"/>
  </r>
  <r>
    <d v="2017-07-21T22:42:43"/>
    <s v="LUIS WILLINGTON "/>
    <s v="ORTIZ SACRISTÁN "/>
    <n v="80808938"/>
    <s v="INGENIERO(A) ELÉCTRICO(A)"/>
    <n v="2014"/>
    <n v="3143472033"/>
    <s v="germaniawilli007@hotmail.com"/>
    <s v="Redes eléctricas de distribución "/>
    <s v="Supervisor "/>
    <s v="Deltec "/>
    <s v="Jennifer Castaño"/>
    <s v="supervisordrs@deltec.com.co"/>
    <n v="3128320659"/>
    <m/>
    <x v="1"/>
    <x v="1"/>
    <x v="0"/>
    <x v="1"/>
    <x v="0"/>
    <x v="0"/>
    <x v="0"/>
    <x v="1"/>
    <x v="1"/>
    <x v="1"/>
    <x v="1"/>
    <x v="1"/>
    <x v="2"/>
    <x v="0"/>
    <x v="2"/>
    <x v="0"/>
    <x v="2"/>
    <x v="0"/>
    <x v="3"/>
    <x v="1"/>
    <x v="3"/>
    <x v="0"/>
    <x v="0"/>
    <x v="5"/>
    <x v="1"/>
    <x v="0"/>
    <x v="0"/>
    <x v="2"/>
    <x v="0"/>
    <x v="0"/>
    <s v="Totalmente de acuerdo / SI"/>
    <m/>
    <s v="Sí"/>
  </r>
  <r>
    <d v="2017-07-22T10:41:11"/>
    <s v="GERMAN OSWALDO"/>
    <s v="RUBIANO RUIZ"/>
    <n v="80167471"/>
    <s v="INGENIERO(A) EN DISTRIBUCIÓN Y REDES ELÉCTRICAS"/>
    <n v="2013"/>
    <n v="3013792552"/>
    <s v="germanrubianoruiz@gmail.com"/>
    <s v="Independiente"/>
    <s v="ASESOR"/>
    <s v="Independiente"/>
    <m/>
    <m/>
    <m/>
    <m/>
    <x v="4"/>
    <x v="2"/>
    <x v="5"/>
    <x v="2"/>
    <x v="3"/>
    <x v="3"/>
    <x v="3"/>
    <x v="3"/>
    <x v="1"/>
    <x v="2"/>
    <x v="1"/>
    <x v="1"/>
    <x v="4"/>
    <x v="2"/>
    <x v="1"/>
    <x v="1"/>
    <x v="3"/>
    <x v="1"/>
    <x v="2"/>
    <x v="2"/>
    <x v="4"/>
    <x v="0"/>
    <x v="5"/>
    <x v="1"/>
    <x v="2"/>
    <x v="1"/>
    <x v="2"/>
    <x v="0"/>
    <x v="2"/>
    <x v="0"/>
    <s v="Totalmente de acuerdo / SI"/>
    <m/>
    <s v="Sí"/>
  </r>
  <r>
    <d v="2017-07-23T16:06:40"/>
    <s v="Yair Alberto"/>
    <s v="Franco Florez"/>
    <n v="79841112"/>
    <s v="INGENIERO(A) EN DISTRIBUCIÓN Y REDES ELÉCTRICAS"/>
    <n v="2006"/>
    <n v="3138701077"/>
    <s v="yair_franco@yahoo.com.mx"/>
    <s v="Telecomunicaciones"/>
    <s v="Ing. Control Cambios y Configiraciones"/>
    <s v="Claro Colombia"/>
    <s v="Fabian Gonzalez"/>
    <s v="yair.franco@claro.com.co"/>
    <n v="7500300"/>
    <m/>
    <x v="4"/>
    <x v="2"/>
    <x v="4"/>
    <x v="2"/>
    <x v="2"/>
    <x v="0"/>
    <x v="2"/>
    <x v="2"/>
    <x v="2"/>
    <x v="2"/>
    <x v="3"/>
    <x v="2"/>
    <x v="2"/>
    <x v="2"/>
    <x v="0"/>
    <x v="2"/>
    <x v="0"/>
    <x v="2"/>
    <x v="2"/>
    <x v="2"/>
    <x v="4"/>
    <x v="4"/>
    <x v="0"/>
    <x v="2"/>
    <x v="3"/>
    <x v="1"/>
    <x v="3"/>
    <x v="0"/>
    <x v="2"/>
    <x v="2"/>
    <s v="Medianamente de acuerdo"/>
    <m/>
    <s v="Sí"/>
  </r>
  <r>
    <d v="2017-07-24T07:30:55"/>
    <s v="Diana Paola"/>
    <s v="Guerrero Higuera"/>
    <n v="52749117"/>
    <s v="INGENIERO(A) ELÉCTRICO(A)"/>
    <n v="2015"/>
    <n v="3163261870"/>
    <s v="guerrerohigue@gmail.com"/>
    <s v="Energia"/>
    <s v="Ingeniera de proyectos"/>
    <s v="DyP Ingeniería SAS"/>
    <m/>
    <m/>
    <m/>
    <m/>
    <x v="0"/>
    <x v="0"/>
    <x v="0"/>
    <x v="1"/>
    <x v="0"/>
    <x v="0"/>
    <x v="4"/>
    <x v="0"/>
    <x v="1"/>
    <x v="1"/>
    <x v="1"/>
    <x v="1"/>
    <x v="1"/>
    <x v="1"/>
    <x v="1"/>
    <x v="1"/>
    <x v="1"/>
    <x v="1"/>
    <x v="1"/>
    <x v="0"/>
    <x v="3"/>
    <x v="0"/>
    <x v="2"/>
    <x v="5"/>
    <x v="0"/>
    <x v="2"/>
    <x v="1"/>
    <x v="1"/>
    <x v="1"/>
    <x v="0"/>
    <s v="Totalmente de acuerdo / SI"/>
    <m/>
    <s v="No"/>
  </r>
  <r>
    <d v="2017-07-24T09:38:29"/>
    <s v="WBEYMAR"/>
    <s v="TORRES GARCIA"/>
    <n v="79742820"/>
    <s v="INGENIERO(A) ELÉCTRICO(A)"/>
    <n v="2015"/>
    <n v="3118272710"/>
    <s v="wbeymar7@gmail.com"/>
    <s v="CONSTRUCCION"/>
    <s v="INGENIERO DE PROYECTOS"/>
    <s v="A&amp;G INGENIERIA ELECTRICA S.A.S"/>
    <s v="ING. MAURICIO GUALTERO"/>
    <s v="w.torres@aygingenieriaelectrica.com.co"/>
    <n v="3118272710"/>
    <m/>
    <x v="0"/>
    <x v="1"/>
    <x v="1"/>
    <x v="0"/>
    <x v="4"/>
    <x v="0"/>
    <x v="0"/>
    <x v="2"/>
    <x v="1"/>
    <x v="0"/>
    <x v="0"/>
    <x v="1"/>
    <x v="1"/>
    <x v="0"/>
    <x v="2"/>
    <x v="0"/>
    <x v="2"/>
    <x v="2"/>
    <x v="1"/>
    <x v="1"/>
    <x v="3"/>
    <x v="0"/>
    <x v="2"/>
    <x v="2"/>
    <x v="0"/>
    <x v="0"/>
    <x v="0"/>
    <x v="2"/>
    <x v="1"/>
    <x v="3"/>
    <s v="Totalmente en desacuerdo / NO"/>
    <m/>
    <s v="Sí"/>
  </r>
  <r>
    <d v="2017-07-24T13:20:25"/>
    <s v="LUIS ALBERTO"/>
    <s v="LOPEZ LOPEZ"/>
    <n v="79952407"/>
    <s v="INGENIERO(A) EN DISTRIBUCIÓN Y REDES ELÉCTRICAS"/>
    <n v="2008"/>
    <n v="3158021928"/>
    <s v="LUISLOPEZL79@HOTMAIL.COM"/>
    <s v="CONSTRUCCIÓN"/>
    <s v="INGENIERO RESIDENTE ELECTRICO"/>
    <s v="CONSTRUCTORA CONCONCRETO"/>
    <s v="JORGE QUINTERO"/>
    <s v="LALOPEZ@CONCONCRETO.COM"/>
    <m/>
    <m/>
    <x v="2"/>
    <x v="2"/>
    <x v="1"/>
    <x v="1"/>
    <x v="1"/>
    <x v="1"/>
    <x v="3"/>
    <x v="1"/>
    <x v="1"/>
    <x v="2"/>
    <x v="2"/>
    <x v="0"/>
    <x v="0"/>
    <x v="2"/>
    <x v="2"/>
    <x v="1"/>
    <x v="0"/>
    <x v="1"/>
    <x v="1"/>
    <x v="1"/>
    <x v="3"/>
    <x v="0"/>
    <x v="2"/>
    <x v="5"/>
    <x v="5"/>
    <x v="0"/>
    <x v="0"/>
    <x v="2"/>
    <x v="0"/>
    <x v="0"/>
    <s v="Totalmente de acuerdo / SI"/>
    <m/>
    <s v="Sí"/>
  </r>
  <r>
    <d v="2017-07-24T23:18:55"/>
    <s v="Nelson Andres "/>
    <s v="Sosa Largo"/>
    <n v="79769666"/>
    <s v="TECNÓLOGO(A) EN ELECTRICIDAD"/>
    <n v="2009"/>
    <n v="3114947648"/>
    <s v="nelsonasosa@yahoo.com"/>
    <s v="Estudiante"/>
    <s v="Estudiante Ingeniería Eléctrica Por Ciclos Propedeuticos"/>
    <m/>
    <m/>
    <m/>
    <m/>
    <m/>
    <x v="2"/>
    <x v="0"/>
    <x v="1"/>
    <x v="1"/>
    <x v="1"/>
    <x v="0"/>
    <x v="4"/>
    <x v="1"/>
    <x v="0"/>
    <x v="0"/>
    <x v="1"/>
    <x v="1"/>
    <x v="0"/>
    <x v="0"/>
    <x v="2"/>
    <x v="0"/>
    <x v="2"/>
    <x v="1"/>
    <x v="0"/>
    <x v="3"/>
    <x v="3"/>
    <x v="0"/>
    <x v="2"/>
    <x v="4"/>
    <x v="1"/>
    <x v="0"/>
    <x v="0"/>
    <x v="5"/>
    <x v="0"/>
    <x v="1"/>
    <s v="De acuerdo"/>
    <m/>
    <s v="Sí"/>
  </r>
  <r>
    <d v="2017-07-25T13:11:53"/>
    <s v="JOHANN"/>
    <s v="ESCOBAR GUZMÁN"/>
    <n v="80727944"/>
    <s v="TECNÓLOGO(A) EN ELECTRICIDAD"/>
    <n v="2013"/>
    <n v="3212149149"/>
    <s v="escobarjohann@gmail.com"/>
    <s v="aaaa"/>
    <s v="aaaa"/>
    <m/>
    <m/>
    <m/>
    <m/>
    <m/>
    <x v="1"/>
    <x v="0"/>
    <x v="2"/>
    <x v="3"/>
    <x v="5"/>
    <x v="0"/>
    <x v="3"/>
    <x v="3"/>
    <x v="3"/>
    <x v="3"/>
    <x v="4"/>
    <x v="4"/>
    <x v="4"/>
    <x v="3"/>
    <x v="1"/>
    <x v="4"/>
    <x v="4"/>
    <x v="3"/>
    <x v="1"/>
    <x v="1"/>
    <x v="3"/>
    <x v="0"/>
    <x v="3"/>
    <x v="1"/>
    <x v="4"/>
    <x v="4"/>
    <x v="4"/>
    <x v="2"/>
    <x v="2"/>
    <x v="1"/>
    <s v="De acuerdo"/>
    <m/>
    <m/>
  </r>
  <r>
    <d v="2017-07-25T15:40:56"/>
    <s v="CRISTYAN CAMILO"/>
    <s v="MADRIGAL CASTILLO"/>
    <n v="1024468007"/>
    <s v="INGENIERO(A) ELÉCTRICO(A)"/>
    <n v="2017"/>
    <n v="3143247374"/>
    <s v="ccamilomc3@hotmail.com"/>
    <s v="Redes de distribución de energía "/>
    <s v="Ingeniero de Operación "/>
    <m/>
    <m/>
    <m/>
    <m/>
    <m/>
    <x v="1"/>
    <x v="0"/>
    <x v="1"/>
    <x v="1"/>
    <x v="1"/>
    <x v="0"/>
    <x v="4"/>
    <x v="0"/>
    <x v="1"/>
    <x v="0"/>
    <x v="0"/>
    <x v="1"/>
    <x v="1"/>
    <x v="0"/>
    <x v="2"/>
    <x v="0"/>
    <x v="0"/>
    <x v="2"/>
    <x v="1"/>
    <x v="0"/>
    <x v="3"/>
    <x v="4"/>
    <x v="0"/>
    <x v="3"/>
    <x v="3"/>
    <x v="0"/>
    <x v="2"/>
    <x v="1"/>
    <x v="0"/>
    <x v="0"/>
    <s v="Totalmente de acuerdo / SI"/>
    <m/>
    <m/>
  </r>
  <r>
    <d v="2017-07-25T16:31:43"/>
    <s v="Héctor Albeiro"/>
    <s v="Mora Cifuentes"/>
    <n v="79055747"/>
    <s v="INGENIERO(A) ELÉCTRICO(A)"/>
    <n v="2015"/>
    <n v="3164541070"/>
    <s v="albeiro.ingeniero@gmail.com"/>
    <s v="Empresario / Inspector RETIE y RETILAP"/>
    <s v="Gerente"/>
    <s v="Green electrical Power SAS / SGS Colombia SA"/>
    <s v="Carlos Rondon SGS Colombia"/>
    <s v="hector.mora.sgs@gmail.com"/>
    <n v="7892437"/>
    <s v="Cuatro Matriculas de Honor "/>
    <x v="1"/>
    <x v="0"/>
    <x v="4"/>
    <x v="0"/>
    <x v="5"/>
    <x v="2"/>
    <x v="2"/>
    <x v="2"/>
    <x v="0"/>
    <x v="0"/>
    <x v="0"/>
    <x v="1"/>
    <x v="2"/>
    <x v="0"/>
    <x v="1"/>
    <x v="1"/>
    <x v="1"/>
    <x v="0"/>
    <x v="1"/>
    <x v="1"/>
    <x v="3"/>
    <x v="0"/>
    <x v="2"/>
    <x v="3"/>
    <x v="4"/>
    <x v="0"/>
    <x v="0"/>
    <x v="1"/>
    <x v="1"/>
    <x v="0"/>
    <s v="Totalmente de acuerdo / SI"/>
    <s v="Especialista en Redes de Distribución en Media Tensión"/>
    <s v="Sí"/>
  </r>
  <r>
    <d v="2017-07-25T19:14:59"/>
    <s v="JORDAN STEVEN"/>
    <s v="CASTAÑEDA BERMUDEZ"/>
    <n v="1013651237"/>
    <s v="TECNÓLOGO(A) EN ELECTRICIDAD"/>
    <n v="2017"/>
    <n v="3138012283"/>
    <s v="jscastanedab@correo.udistrital.edu.co"/>
    <s v="NA"/>
    <s v="NA"/>
    <m/>
    <m/>
    <m/>
    <m/>
    <m/>
    <x v="1"/>
    <x v="0"/>
    <x v="1"/>
    <x v="1"/>
    <x v="0"/>
    <x v="0"/>
    <x v="1"/>
    <x v="2"/>
    <x v="0"/>
    <x v="0"/>
    <x v="0"/>
    <x v="0"/>
    <x v="1"/>
    <x v="0"/>
    <x v="1"/>
    <x v="1"/>
    <x v="1"/>
    <x v="1"/>
    <x v="0"/>
    <x v="2"/>
    <x v="1"/>
    <x v="4"/>
    <x v="0"/>
    <x v="4"/>
    <x v="3"/>
    <x v="2"/>
    <x v="0"/>
    <x v="2"/>
    <x v="0"/>
    <x v="0"/>
    <s v="Totalmente de acuerdo / SI"/>
    <m/>
    <s v="Sí"/>
  </r>
  <r>
    <d v="2017-07-25T20:41:43"/>
    <s v="YON ALEXANDER"/>
    <s v="MANCHEGO OROZCO"/>
    <n v="79745707"/>
    <s v="INGENIERO(A) EN DISTRIBUCIÓN Y REDES ELÉCTRICAS"/>
    <n v="2010"/>
    <n v="3112711624"/>
    <s v="manchego001@gmail.com"/>
    <s v="Confiabilidad y CBM"/>
    <s v="Desempleado"/>
    <m/>
    <m/>
    <m/>
    <m/>
    <m/>
    <x v="0"/>
    <x v="0"/>
    <x v="3"/>
    <x v="4"/>
    <x v="0"/>
    <x v="0"/>
    <x v="2"/>
    <x v="2"/>
    <x v="0"/>
    <x v="1"/>
    <x v="0"/>
    <x v="2"/>
    <x v="2"/>
    <x v="1"/>
    <x v="1"/>
    <x v="0"/>
    <x v="1"/>
    <x v="0"/>
    <x v="0"/>
    <x v="0"/>
    <x v="2"/>
    <x v="4"/>
    <x v="0"/>
    <x v="3"/>
    <x v="3"/>
    <x v="0"/>
    <x v="2"/>
    <x v="2"/>
    <x v="0"/>
    <x v="1"/>
    <s v="De acuerdo"/>
    <m/>
    <s v="Sí"/>
  </r>
  <r>
    <d v="2017-07-25T20:48:21"/>
    <s v="KARINA"/>
    <s v="RUGE"/>
    <n v="1013578535"/>
    <s v="INGENIERO(A) ELÉCTRICO(A)"/>
    <n v="2012"/>
    <n v="3044976893"/>
    <s v="rugearango@gmail.com"/>
    <s v="MANTENIMIENTO"/>
    <s v="Profesional Senior"/>
    <s v="codensa"/>
    <s v="Hugo Velasco"/>
    <s v="karina.ruge@enel.com"/>
    <n v="6016060"/>
    <m/>
    <x v="1"/>
    <x v="0"/>
    <x v="1"/>
    <x v="1"/>
    <x v="3"/>
    <x v="3"/>
    <x v="0"/>
    <x v="4"/>
    <x v="1"/>
    <x v="0"/>
    <x v="1"/>
    <x v="1"/>
    <x v="3"/>
    <x v="2"/>
    <x v="3"/>
    <x v="1"/>
    <x v="1"/>
    <x v="1"/>
    <x v="1"/>
    <x v="1"/>
    <x v="3"/>
    <x v="0"/>
    <x v="2"/>
    <x v="0"/>
    <x v="0"/>
    <x v="2"/>
    <x v="0"/>
    <x v="1"/>
    <x v="1"/>
    <x v="0"/>
    <s v="Totalmente de acuerdo / SI"/>
    <s v="Especialista proyectos"/>
    <s v="Sí"/>
  </r>
  <r>
    <d v="2017-07-25T22:15:27"/>
    <s v="YADIRA "/>
    <s v="MUÑOZ ORTIZ"/>
    <n v="52533912"/>
    <s v="INGENIERO(A) EN DISTRIBUCIÓN Y REDES ELÉCTRICAS"/>
    <n v="2003"/>
    <n v="3214554345"/>
    <s v="yadiramuoz@hotmail.com"/>
    <s v="Energía "/>
    <s v="Profesional senior"/>
    <s v="codensa"/>
    <m/>
    <m/>
    <m/>
    <m/>
    <x v="3"/>
    <x v="2"/>
    <x v="0"/>
    <x v="0"/>
    <x v="0"/>
    <x v="0"/>
    <x v="5"/>
    <x v="0"/>
    <x v="0"/>
    <x v="0"/>
    <x v="0"/>
    <x v="0"/>
    <x v="3"/>
    <x v="0"/>
    <x v="2"/>
    <x v="0"/>
    <x v="2"/>
    <x v="5"/>
    <x v="2"/>
    <x v="4"/>
    <x v="0"/>
    <x v="4"/>
    <x v="0"/>
    <x v="0"/>
    <x v="0"/>
    <x v="0"/>
    <x v="5"/>
    <x v="2"/>
    <x v="0"/>
    <x v="1"/>
    <s v="De acuerdo"/>
    <m/>
    <s v="Sí"/>
  </r>
  <r>
    <d v="2017-07-26T07:12:16"/>
    <s v="Manuel"/>
    <s v="Avila Gacha"/>
    <n v="79761511"/>
    <s v="INGENIERO(A) EN DISTRIBUCIÓN Y REDES ELÉCTRICAS"/>
    <n v="2012"/>
    <n v="3183442343"/>
    <s v="mhavilaing15@gmail.com"/>
    <s v="Proyectos"/>
    <s v="Ing Coordinador de Proyectos"/>
    <s v="CAM multiservicios "/>
    <s v="Lilian Henao"/>
    <s v="mhavila@cam.com.co"/>
    <n v="3183442343"/>
    <m/>
    <x v="3"/>
    <x v="3"/>
    <x v="1"/>
    <x v="1"/>
    <x v="1"/>
    <x v="0"/>
    <x v="2"/>
    <x v="0"/>
    <x v="1"/>
    <x v="1"/>
    <x v="0"/>
    <x v="0"/>
    <x v="3"/>
    <x v="2"/>
    <x v="2"/>
    <x v="0"/>
    <x v="0"/>
    <x v="0"/>
    <x v="0"/>
    <x v="0"/>
    <x v="0"/>
    <x v="0"/>
    <x v="0"/>
    <x v="5"/>
    <x v="1"/>
    <x v="2"/>
    <x v="0"/>
    <x v="2"/>
    <x v="0"/>
    <x v="1"/>
    <s v="De acuerdo"/>
    <s v="Especialista en salud ocupacional y riesgos laborales"/>
    <s v="Sí"/>
  </r>
  <r>
    <d v="2017-07-26T07:22:56"/>
    <s v="Yesid alexander"/>
    <s v="Roldan beltran"/>
    <n v="3096982"/>
    <s v="INGENIERO(A) EN DISTRIBUCIÓN Y REDES ELÉCTRICAS"/>
    <n v="2007"/>
    <n v="3203468320"/>
    <s v="yesidroldan@hotmail.com"/>
    <s v="Eléctrico y telecomunicaciones"/>
    <s v="Ingeniero preventa y asesor comercial"/>
    <s v="Aqserv sas"/>
    <s v="Miguel Ángel Muñoz guerrero"/>
    <s v="yroldan@aqserv.com.co"/>
    <n v="3350908"/>
    <s v="Mejor asesor técnico comercial empresarial"/>
    <x v="0"/>
    <x v="0"/>
    <x v="1"/>
    <x v="1"/>
    <x v="1"/>
    <x v="0"/>
    <x v="1"/>
    <x v="1"/>
    <x v="1"/>
    <x v="1"/>
    <x v="1"/>
    <x v="1"/>
    <x v="1"/>
    <x v="1"/>
    <x v="1"/>
    <x v="1"/>
    <x v="1"/>
    <x v="1"/>
    <x v="1"/>
    <x v="1"/>
    <x v="3"/>
    <x v="0"/>
    <x v="2"/>
    <x v="5"/>
    <x v="5"/>
    <x v="2"/>
    <x v="1"/>
    <x v="1"/>
    <x v="1"/>
    <x v="0"/>
    <s v="Totalmente de acuerdo / SI"/>
    <s v="Especialización gerencia de proyectos"/>
    <s v="Sí"/>
  </r>
  <r>
    <d v="2017-07-26T07:41:02"/>
    <s v="ASTRID YOJANA"/>
    <s v="ESPINOSA CARVAJAL"/>
    <n v="52972244"/>
    <s v="INGENIERO(A) ELÉCTRICO(A)"/>
    <n v="2013"/>
    <n v="3134812715"/>
    <s v="stacarvajal@yahoo.com"/>
    <s v="Ofertas -licitaciones"/>
    <s v="INGENIERA TECNICO COMERCIAL"/>
    <s v="Schneider Electric"/>
    <s v="Mauricio Jimenez"/>
    <s v="astrid.espinosa@schneider-electric.com"/>
    <n v="4269700"/>
    <m/>
    <x v="1"/>
    <x v="1"/>
    <x v="1"/>
    <x v="1"/>
    <x v="1"/>
    <x v="1"/>
    <x v="2"/>
    <x v="0"/>
    <x v="0"/>
    <x v="0"/>
    <x v="0"/>
    <x v="0"/>
    <x v="0"/>
    <x v="0"/>
    <x v="1"/>
    <x v="1"/>
    <x v="1"/>
    <x v="1"/>
    <x v="4"/>
    <x v="0"/>
    <x v="3"/>
    <x v="0"/>
    <x v="0"/>
    <x v="3"/>
    <x v="3"/>
    <x v="0"/>
    <x v="2"/>
    <x v="2"/>
    <x v="0"/>
    <x v="0"/>
    <s v="Totalmente de acuerdo / SI"/>
    <s v="MAESTRIA GERENCIA EN INNOVACION EMPRESARIAL"/>
    <s v="Sí"/>
  </r>
  <r>
    <d v="2017-07-26T08:03:12"/>
    <s v="LUZ ADRIANA"/>
    <s v="GARZON ZABALA"/>
    <n v="52972886"/>
    <s v="INGENIERO(A) EN DISTRIBUCIÓN Y REDES ELÉCTRICAS"/>
    <n v="2006"/>
    <n v="3045443352"/>
    <s v="adriana.garzonz@gmail.com"/>
    <s v="Profesional II"/>
    <s v="Profesional II"/>
    <m/>
    <m/>
    <s v="luz.garzon@ecopetrol.com.co"/>
    <n v="2345831"/>
    <m/>
    <x v="2"/>
    <x v="4"/>
    <x v="1"/>
    <x v="0"/>
    <x v="0"/>
    <x v="2"/>
    <x v="2"/>
    <x v="1"/>
    <x v="0"/>
    <x v="0"/>
    <x v="0"/>
    <x v="0"/>
    <x v="1"/>
    <x v="1"/>
    <x v="2"/>
    <x v="0"/>
    <x v="2"/>
    <x v="2"/>
    <x v="1"/>
    <x v="1"/>
    <x v="3"/>
    <x v="0"/>
    <x v="2"/>
    <x v="3"/>
    <x v="3"/>
    <x v="0"/>
    <x v="0"/>
    <x v="1"/>
    <x v="0"/>
    <x v="0"/>
    <s v="Totalmente de acuerdo / SI"/>
    <s v="MAGISTER EN INGENIERÍA ELÉCTRICA"/>
    <s v="Sí"/>
  </r>
  <r>
    <d v="2017-07-26T08:46:40"/>
    <s v="Jaime Enrique"/>
    <s v="Betancourt Munevar"/>
    <n v="80237244"/>
    <s v="INGENIERO(A) EN DISTRIBUCIÓN Y REDES ELÉCTRICAS"/>
    <n v="2008"/>
    <n v="3132079413"/>
    <s v="jebm81@gmail.com"/>
    <s v="Ingeniería "/>
    <s v="Ingeniero de diseño. Especialista de aplicaciones"/>
    <s v="Siemens"/>
    <m/>
    <m/>
    <n v="3132079413"/>
    <m/>
    <x v="0"/>
    <x v="1"/>
    <x v="0"/>
    <x v="0"/>
    <x v="2"/>
    <x v="4"/>
    <x v="2"/>
    <x v="2"/>
    <x v="0"/>
    <x v="0"/>
    <x v="0"/>
    <x v="2"/>
    <x v="3"/>
    <x v="2"/>
    <x v="2"/>
    <x v="0"/>
    <x v="1"/>
    <x v="2"/>
    <x v="0"/>
    <x v="2"/>
    <x v="1"/>
    <x v="0"/>
    <x v="0"/>
    <x v="3"/>
    <x v="3"/>
    <x v="1"/>
    <x v="0"/>
    <x v="1"/>
    <x v="0"/>
    <x v="0"/>
    <s v="Totalmente de acuerdo / SI"/>
    <s v="ESPECIALISTA EN GERENCIA DE PROYECTOS"/>
    <s v="Sí"/>
  </r>
  <r>
    <d v="2017-07-26T09:55:56"/>
    <s v="MILLER"/>
    <s v="ARIZA"/>
    <n v="80131471"/>
    <s v="INGENIERO(A) ELÉCTRICO(A)"/>
    <n v="2014"/>
    <n v="3115669828"/>
    <s v="milney25@gmail.com"/>
    <s v="Ingenieria"/>
    <s v="Coordinador de ingenieria"/>
    <s v="Cotel"/>
    <s v="Juan Fernando Gomez"/>
    <m/>
    <m/>
    <m/>
    <x v="0"/>
    <x v="1"/>
    <x v="1"/>
    <x v="1"/>
    <x v="1"/>
    <x v="1"/>
    <x v="2"/>
    <x v="2"/>
    <x v="1"/>
    <x v="1"/>
    <x v="1"/>
    <x v="2"/>
    <x v="0"/>
    <x v="1"/>
    <x v="2"/>
    <x v="1"/>
    <x v="1"/>
    <x v="2"/>
    <x v="5"/>
    <x v="4"/>
    <x v="3"/>
    <x v="0"/>
    <x v="0"/>
    <x v="5"/>
    <x v="0"/>
    <x v="0"/>
    <x v="0"/>
    <x v="1"/>
    <x v="1"/>
    <x v="0"/>
    <s v="Totalmente de acuerdo / SI"/>
    <m/>
    <s v="No"/>
  </r>
  <r>
    <d v="2017-07-26T11:37:09"/>
    <s v="Jairo "/>
    <s v="Morales Pinilla"/>
    <n v="80024578"/>
    <s v="INGENIERO(A) EN DISTRIBUCIÓN Y REDES ELÉCTRICAS"/>
    <n v="2010"/>
    <n v="3188779299"/>
    <s v="jhairo79@gmail.com"/>
    <s v="Electrico"/>
    <s v="coordinador de proyectos y soporte tecnico"/>
    <m/>
    <m/>
    <m/>
    <m/>
    <m/>
    <x v="0"/>
    <x v="1"/>
    <x v="0"/>
    <x v="0"/>
    <x v="0"/>
    <x v="0"/>
    <x v="1"/>
    <x v="1"/>
    <x v="1"/>
    <x v="1"/>
    <x v="1"/>
    <x v="0"/>
    <x v="3"/>
    <x v="0"/>
    <x v="2"/>
    <x v="0"/>
    <x v="2"/>
    <x v="0"/>
    <x v="0"/>
    <x v="0"/>
    <x v="3"/>
    <x v="0"/>
    <x v="2"/>
    <x v="4"/>
    <x v="1"/>
    <x v="0"/>
    <x v="0"/>
    <x v="5"/>
    <x v="0"/>
    <x v="1"/>
    <s v="De acuerdo"/>
    <m/>
    <s v="Sí"/>
  </r>
  <r>
    <d v="2017-07-26T16:57:42"/>
    <s v="Paola"/>
    <s v="Casasbuenas"/>
    <n v="52850099"/>
    <s v="INGENIERO(A) EN DISTRIBUCIÓN Y REDES ELÉCTRICAS"/>
    <n v="2003"/>
    <n v="3103122367"/>
    <s v="paocasasb@gmail.com"/>
    <s v="Marketing y ventas"/>
    <s v="Ventas"/>
    <s v="Siemens"/>
    <m/>
    <m/>
    <m/>
    <m/>
    <x v="4"/>
    <x v="2"/>
    <x v="4"/>
    <x v="5"/>
    <x v="2"/>
    <x v="4"/>
    <x v="0"/>
    <x v="4"/>
    <x v="2"/>
    <x v="2"/>
    <x v="2"/>
    <x v="2"/>
    <x v="2"/>
    <x v="2"/>
    <x v="0"/>
    <x v="2"/>
    <x v="0"/>
    <x v="2"/>
    <x v="0"/>
    <x v="4"/>
    <x v="0"/>
    <x v="4"/>
    <x v="4"/>
    <x v="3"/>
    <x v="0"/>
    <x v="1"/>
    <x v="3"/>
    <x v="3"/>
    <x v="2"/>
    <x v="1"/>
    <s v="De acuerdo"/>
    <m/>
    <m/>
  </r>
  <r>
    <d v="2017-07-26T20:37:11"/>
    <s v="CINDY ESTEFANY"/>
    <s v="GUERRERO CIFUENTES"/>
    <n v="1032388280"/>
    <s v="INGENIERO(A) ELÉCTRICO(A)"/>
    <n v="2012"/>
    <n v="3012217164"/>
    <s v="cindy510g@gmail.com"/>
    <s v="SECTOR ELÉCTRICO "/>
    <s v="ING TÉCNICO COMERCIAL OFERTAS "/>
    <s v="SCHNEIDER ELECTRIC DE COLOMBIA S.A. "/>
    <s v="CESAR GUTIÉRREZ "/>
    <s v="cindy.guerrero@schneider.electric.com"/>
    <n v="4269700"/>
    <m/>
    <x v="0"/>
    <x v="1"/>
    <x v="1"/>
    <x v="2"/>
    <x v="0"/>
    <x v="0"/>
    <x v="3"/>
    <x v="0"/>
    <x v="1"/>
    <x v="2"/>
    <x v="0"/>
    <x v="0"/>
    <x v="2"/>
    <x v="2"/>
    <x v="2"/>
    <x v="0"/>
    <x v="2"/>
    <x v="2"/>
    <x v="1"/>
    <x v="0"/>
    <x v="3"/>
    <x v="0"/>
    <x v="4"/>
    <x v="3"/>
    <x v="3"/>
    <x v="0"/>
    <x v="0"/>
    <x v="2"/>
    <x v="0"/>
    <x v="0"/>
    <s v="Totalmente de acuerdo / SI"/>
    <s v="ESPECIALISTA EN INFORMÁTICA Y AUTOMÁTICA INDUSTRIAL"/>
    <s v="Sí"/>
  </r>
  <r>
    <d v="2017-07-27T08:27:11"/>
    <s v="JOSÉ ROBERTO "/>
    <s v="BEDOYA SALAMANCA"/>
    <n v="79919958"/>
    <s v="INGENIERO(A) EN DISTRIBUCIÓN Y REDES ELÉCTRICAS"/>
    <n v="2007"/>
    <n v="3156022241"/>
    <s v="robertobedoyasalamanca@gmail.com"/>
    <s v="Oil and Gas"/>
    <s v="Gerente Regional"/>
    <s v="Valiant ALS "/>
    <s v="Manuel Pérez "/>
    <s v="roberto.bedoya@valiant-als.com"/>
    <n v="7464002"/>
    <s v="GE, cumplimiento de objetivos en épocas difíciles "/>
    <x v="0"/>
    <x v="0"/>
    <x v="1"/>
    <x v="1"/>
    <x v="1"/>
    <x v="1"/>
    <x v="4"/>
    <x v="1"/>
    <x v="1"/>
    <x v="1"/>
    <x v="1"/>
    <x v="1"/>
    <x v="1"/>
    <x v="1"/>
    <x v="1"/>
    <x v="1"/>
    <x v="1"/>
    <x v="1"/>
    <x v="1"/>
    <x v="1"/>
    <x v="3"/>
    <x v="4"/>
    <x v="0"/>
    <x v="3"/>
    <x v="1"/>
    <x v="2"/>
    <x v="1"/>
    <x v="1"/>
    <x v="1"/>
    <x v="0"/>
    <s v="Totalmente de acuerdo / SI"/>
    <s v="ESPECIALISTA EN GESTIÓN DE PROYECTOS DE INGENIERÍA "/>
    <s v="Sí"/>
  </r>
  <r>
    <d v="2017-07-27T11:31:53"/>
    <s v="JESUS ALEXANDER"/>
    <s v="MUÑOZ SOLARTE"/>
    <n v="79969585"/>
    <s v="INGENIERO(A) EN DISTRIBUCIÓN Y REDES ELÉCTRICAS"/>
    <n v="2014"/>
    <n v="3202314448"/>
    <s v="alexmunsol@yahoo.com.ar"/>
    <s v="Energia"/>
    <s v="Profesional Distribucion"/>
    <s v="CODENSA"/>
    <m/>
    <m/>
    <m/>
    <m/>
    <x v="0"/>
    <x v="1"/>
    <x v="1"/>
    <x v="0"/>
    <x v="0"/>
    <x v="4"/>
    <x v="0"/>
    <x v="0"/>
    <x v="0"/>
    <x v="0"/>
    <x v="0"/>
    <x v="1"/>
    <x v="3"/>
    <x v="0"/>
    <x v="2"/>
    <x v="0"/>
    <x v="2"/>
    <x v="0"/>
    <x v="0"/>
    <x v="3"/>
    <x v="0"/>
    <x v="0"/>
    <x v="2"/>
    <x v="0"/>
    <x v="0"/>
    <x v="0"/>
    <x v="0"/>
    <x v="0"/>
    <x v="0"/>
    <x v="1"/>
    <s v="De acuerdo"/>
    <m/>
    <s v="Sí"/>
  </r>
  <r>
    <d v="2017-07-27T19:39:08"/>
    <s v="ALVARO ORLANDO"/>
    <s v="GÓMEZ MENESES"/>
    <n v="79470944"/>
    <s v="INGENIERO(A) EN DISTRIBUCIÓN Y REDES ELÉCTRICAS"/>
    <n v="2011"/>
    <n v="3156106213"/>
    <s v="aogm10082@gmail.com"/>
    <s v="Industria eléctrica "/>
    <s v="Ingeniero de Mantenimiento"/>
    <s v="Emgesa S.A"/>
    <s v="Alfredo Sotelo"/>
    <s v="aogm10082@gmail.com"/>
    <n v="3156106213"/>
    <s v="N/A"/>
    <x v="3"/>
    <x v="1"/>
    <x v="1"/>
    <x v="1"/>
    <x v="0"/>
    <x v="0"/>
    <x v="2"/>
    <x v="0"/>
    <x v="0"/>
    <x v="1"/>
    <x v="0"/>
    <x v="2"/>
    <x v="2"/>
    <x v="0"/>
    <x v="2"/>
    <x v="1"/>
    <x v="1"/>
    <x v="0"/>
    <x v="0"/>
    <x v="0"/>
    <x v="1"/>
    <x v="4"/>
    <x v="0"/>
    <x v="4"/>
    <x v="1"/>
    <x v="0"/>
    <x v="0"/>
    <x v="0"/>
    <x v="0"/>
    <x v="1"/>
    <s v="De acuerdo"/>
    <s v="Especialización en Evaluación y Gerencia de Proyectos "/>
    <s v="Sí"/>
  </r>
  <r>
    <d v="2017-07-27T21:37:11"/>
    <s v="DANIEL ANDRES"/>
    <s v="VASQUEZ GOMEZ"/>
    <n v="80792910"/>
    <s v="TECNÓLOGO(A) EN ELECTRICIDAD"/>
    <n v="2013"/>
    <n v="3134401888"/>
    <s v="adanielvasquez@hotmail.com"/>
    <s v="Gestión de la información"/>
    <s v="Tecnólogo en Gestión de la Información"/>
    <s v="CAM"/>
    <s v="Oscar Diaz"/>
    <s v="daniel.vasquez@enel.com"/>
    <m/>
    <m/>
    <x v="4"/>
    <x v="2"/>
    <x v="1"/>
    <x v="0"/>
    <x v="1"/>
    <x v="0"/>
    <x v="2"/>
    <x v="0"/>
    <x v="0"/>
    <x v="0"/>
    <x v="1"/>
    <x v="1"/>
    <x v="4"/>
    <x v="0"/>
    <x v="2"/>
    <x v="0"/>
    <x v="2"/>
    <x v="0"/>
    <x v="1"/>
    <x v="1"/>
    <x v="3"/>
    <x v="0"/>
    <x v="2"/>
    <x v="4"/>
    <x v="0"/>
    <x v="0"/>
    <x v="0"/>
    <x v="2"/>
    <x v="0"/>
    <x v="0"/>
    <s v="Totalmente de acuerdo / SI"/>
    <m/>
    <s v="Sí"/>
  </r>
  <r>
    <d v="2017-07-28T09:32:26"/>
    <s v="WILLIAM "/>
    <s v="RAMÍREZ RAMÍREZ "/>
    <n v="79968569"/>
    <s v="INGENIERO(A) EN DISTRIBUCIÓN Y REDES ELÉCTRICAS"/>
    <n v="2011"/>
    <n v="3125074166"/>
    <s v="wilyova@gmail.com"/>
    <s v="Energía "/>
    <s v="Gerente tecnico"/>
    <s v="Proser IEC"/>
    <m/>
    <m/>
    <n v="8043786"/>
    <s v="Sistemas de sincronismos "/>
    <x v="1"/>
    <x v="0"/>
    <x v="0"/>
    <x v="1"/>
    <x v="0"/>
    <x v="0"/>
    <x v="5"/>
    <x v="5"/>
    <x v="1"/>
    <x v="1"/>
    <x v="0"/>
    <x v="0"/>
    <x v="1"/>
    <x v="1"/>
    <x v="1"/>
    <x v="0"/>
    <x v="5"/>
    <x v="0"/>
    <x v="1"/>
    <x v="1"/>
    <x v="0"/>
    <x v="1"/>
    <x v="0"/>
    <x v="5"/>
    <x v="0"/>
    <x v="0"/>
    <x v="0"/>
    <x v="1"/>
    <x v="1"/>
    <x v="1"/>
    <s v="De acuerdo"/>
    <m/>
    <s v="Sí"/>
  </r>
  <r>
    <d v="2017-07-28T11:17:47"/>
    <s v="Jhon alexander "/>
    <s v="Urrego"/>
    <n v="79923324"/>
    <s v="TECNÓLOGO(A) EN ELECTRICIDAD"/>
    <n v="2014"/>
    <n v="3143432674"/>
    <s v="energiaverde.sas@outlook.com"/>
    <s v="independioente"/>
    <s v="Gerente"/>
    <s v="Energia verde Redes Electricas "/>
    <s v="no hay"/>
    <m/>
    <m/>
    <s v="creación de micro empresa "/>
    <x v="3"/>
    <x v="3"/>
    <x v="1"/>
    <x v="0"/>
    <x v="1"/>
    <x v="0"/>
    <x v="0"/>
    <x v="2"/>
    <x v="3"/>
    <x v="4"/>
    <x v="3"/>
    <x v="4"/>
    <x v="3"/>
    <x v="1"/>
    <x v="2"/>
    <x v="0"/>
    <x v="2"/>
    <x v="2"/>
    <x v="1"/>
    <x v="1"/>
    <x v="3"/>
    <x v="0"/>
    <x v="2"/>
    <x v="1"/>
    <x v="2"/>
    <x v="1"/>
    <x v="2"/>
    <x v="2"/>
    <x v="2"/>
    <x v="0"/>
    <s v="Totalmente de acuerdo / SI"/>
    <m/>
    <s v="Sí"/>
  </r>
  <r>
    <d v="2017-07-28T12:48:26"/>
    <s v="Carlos Alfonso"/>
    <s v="Ortiz Torres"/>
    <n v="79423674"/>
    <s v="INGENIERO(A) ELÉCTRICO(A)"/>
    <n v="2015"/>
    <n v="3173665670"/>
    <s v="aortizt@gmail.com"/>
    <s v="Electrico"/>
    <s v="Tecnologo"/>
    <s v="Codensa "/>
    <s v="Lida Sabogal"/>
    <m/>
    <m/>
    <s v="Estabilidad"/>
    <x v="1"/>
    <x v="0"/>
    <x v="1"/>
    <x v="1"/>
    <x v="1"/>
    <x v="1"/>
    <x v="1"/>
    <x v="1"/>
    <x v="1"/>
    <x v="1"/>
    <x v="1"/>
    <x v="1"/>
    <x v="1"/>
    <x v="1"/>
    <x v="1"/>
    <x v="1"/>
    <x v="1"/>
    <x v="1"/>
    <x v="1"/>
    <x v="1"/>
    <x v="3"/>
    <x v="0"/>
    <x v="2"/>
    <x v="5"/>
    <x v="5"/>
    <x v="2"/>
    <x v="1"/>
    <x v="1"/>
    <x v="1"/>
    <x v="0"/>
    <s v="Totalmente de acuerdo / SI"/>
    <s v="No"/>
    <s v="No"/>
  </r>
  <r>
    <d v="2017-07-28T12:54:12"/>
    <s v="Luis Antonio "/>
    <s v="Noguera Vega "/>
    <n v="79966414"/>
    <s v="INGENIERO(A) EN DISTRIBUCIÓN Y REDES ELÉCTRICAS"/>
    <n v="2007"/>
    <n v="3125394806"/>
    <s v="luis.noguerav@gmail.com"/>
    <s v="Educación "/>
    <s v="Coordinador laboratorios"/>
    <s v="Universidad Distrital"/>
    <m/>
    <m/>
    <m/>
    <s v="Excelencia académica "/>
    <x v="3"/>
    <x v="1"/>
    <x v="0"/>
    <x v="2"/>
    <x v="2"/>
    <x v="0"/>
    <x v="2"/>
    <x v="2"/>
    <x v="2"/>
    <x v="0"/>
    <x v="2"/>
    <x v="2"/>
    <x v="2"/>
    <x v="2"/>
    <x v="2"/>
    <x v="2"/>
    <x v="0"/>
    <x v="0"/>
    <x v="1"/>
    <x v="2"/>
    <x v="4"/>
    <x v="4"/>
    <x v="2"/>
    <x v="3"/>
    <x v="0"/>
    <x v="3"/>
    <x v="2"/>
    <x v="4"/>
    <x v="2"/>
    <x v="1"/>
    <s v="De acuerdo"/>
    <s v="Esp. En informática y automática industrial"/>
    <s v="Sí"/>
  </r>
  <r>
    <d v="2017-07-28T13:27:32"/>
    <s v="Mario Alexander"/>
    <s v="Salamanca Torres"/>
    <n v="80005490"/>
    <s v="INGENIERO(A) EN DISTRIBUCIÓN Y REDES ELÉCTRICAS"/>
    <n v="2008"/>
    <n v="3108163171"/>
    <s v="masalamancatorres@gmail.com"/>
    <s v="Distribución y uso final"/>
    <s v="Contratista supervisor de convenios"/>
    <s v="Coldeportes"/>
    <s v="Juan Carlos Rueda "/>
    <s v="msalamancat@coldeportes.gov.co"/>
    <n v="3108163171"/>
    <m/>
    <x v="0"/>
    <x v="0"/>
    <x v="1"/>
    <x v="0"/>
    <x v="1"/>
    <x v="1"/>
    <x v="2"/>
    <x v="1"/>
    <x v="0"/>
    <x v="0"/>
    <x v="0"/>
    <x v="0"/>
    <x v="3"/>
    <x v="0"/>
    <x v="2"/>
    <x v="0"/>
    <x v="2"/>
    <x v="0"/>
    <x v="0"/>
    <x v="2"/>
    <x v="1"/>
    <x v="0"/>
    <x v="2"/>
    <x v="4"/>
    <x v="1"/>
    <x v="0"/>
    <x v="0"/>
    <x v="2"/>
    <x v="0"/>
    <x v="1"/>
    <s v="De acuerdo"/>
    <s v="Esp en gestión de proyectos de ingeniería "/>
    <s v="Sí"/>
  </r>
  <r>
    <d v="2017-07-28T13:30:27"/>
    <s v="César Augusto"/>
    <s v="Cifuentes Páez"/>
    <n v="79760075"/>
    <s v="INGENIERO(A) EN DISTRIBUCIÓN Y REDES ELÉCTRICAS"/>
    <n v="2007"/>
    <n v="3125604434"/>
    <s v="zesarpaez@hotmail.com"/>
    <s v="Proyectos  - Diseño Eléctrico de infraestructura"/>
    <s v="Asesor de Mantenimiento Eléctrico"/>
    <s v="Ejército Nacional"/>
    <s v="TC Carlos Alberto Alarcón Patiño"/>
    <s v="cesara.cifuentes@ejercito.mil.co"/>
    <m/>
    <s v="Amplia experiencia en montaje y mantenimiento de instalaciones eléctricas en media y baja tensión "/>
    <x v="3"/>
    <x v="3"/>
    <x v="1"/>
    <x v="1"/>
    <x v="2"/>
    <x v="0"/>
    <x v="4"/>
    <x v="2"/>
    <x v="1"/>
    <x v="1"/>
    <x v="1"/>
    <x v="2"/>
    <x v="0"/>
    <x v="1"/>
    <x v="1"/>
    <x v="0"/>
    <x v="1"/>
    <x v="0"/>
    <x v="1"/>
    <x v="1"/>
    <x v="0"/>
    <x v="0"/>
    <x v="2"/>
    <x v="3"/>
    <x v="3"/>
    <x v="0"/>
    <x v="0"/>
    <x v="0"/>
    <x v="1"/>
    <x v="0"/>
    <s v="Totalmente de acuerdo / SI"/>
    <s v="ESPECIALISTA EN GERENCIA DE PROYECTOS"/>
    <s v="Sí"/>
  </r>
  <r>
    <d v="2017-07-28T13:33:34"/>
    <s v="WILLIAM ENRIQUE"/>
    <s v="RUIZ ROJAS"/>
    <n v="79898372"/>
    <s v="INGENIERO(A) EN DISTRIBUCIÓN Y REDES ELÉCTRICAS"/>
    <n v="2012"/>
    <n v="3176461700"/>
    <s v="RUIZWE@GMAIL.COM"/>
    <s v="COMERCIALIZACIÓN DE ENERGIA"/>
    <s v="PROFESIONAL SENIOR"/>
    <s v="CODENSA"/>
    <s v="CARLOS ARDILA"/>
    <s v="WILLIAM.RUIZ@ENEL.COM"/>
    <n v="6011630"/>
    <m/>
    <x v="1"/>
    <x v="0"/>
    <x v="1"/>
    <x v="1"/>
    <x v="1"/>
    <x v="1"/>
    <x v="4"/>
    <x v="0"/>
    <x v="0"/>
    <x v="0"/>
    <x v="0"/>
    <x v="2"/>
    <x v="0"/>
    <x v="2"/>
    <x v="2"/>
    <x v="2"/>
    <x v="2"/>
    <x v="0"/>
    <x v="2"/>
    <x v="5"/>
    <x v="4"/>
    <x v="4"/>
    <x v="0"/>
    <x v="4"/>
    <x v="1"/>
    <x v="0"/>
    <x v="2"/>
    <x v="2"/>
    <x v="0"/>
    <x v="1"/>
    <s v="De acuerdo"/>
    <m/>
    <s v="Sí"/>
  </r>
  <r>
    <d v="2017-07-28T13:38:05"/>
    <s v="Javier Adolfo"/>
    <s v="Botero García "/>
    <n v="80048311"/>
    <s v="INGENIERO(A) EN DISTRIBUCIÓN Y REDES ELÉCTRICAS"/>
    <n v="2007"/>
    <n v="3003606757"/>
    <s v="javierbotero13@gmail.com"/>
    <s v="Proyectos, diseño, consultoría "/>
    <s v="Ing de proyectos"/>
    <s v="Pryce SAS"/>
    <s v="Javier Botero G"/>
    <s v="proyectos@prycesas.com"/>
    <n v="3003606757"/>
    <m/>
    <x v="1"/>
    <x v="1"/>
    <x v="1"/>
    <x v="1"/>
    <x v="1"/>
    <x v="0"/>
    <x v="4"/>
    <x v="2"/>
    <x v="0"/>
    <x v="2"/>
    <x v="2"/>
    <x v="2"/>
    <x v="0"/>
    <x v="2"/>
    <x v="2"/>
    <x v="1"/>
    <x v="1"/>
    <x v="1"/>
    <x v="2"/>
    <x v="2"/>
    <x v="2"/>
    <x v="4"/>
    <x v="0"/>
    <x v="3"/>
    <x v="3"/>
    <x v="0"/>
    <x v="0"/>
    <x v="0"/>
    <x v="0"/>
    <x v="1"/>
    <s v="De acuerdo"/>
    <s v="Gerencia de proyectos en ingeniería "/>
    <s v="Sí"/>
  </r>
  <r>
    <d v="2017-07-28T14:12:48"/>
    <s v="EDNA RUTH"/>
    <s v="RODRIGUEZ ZULETA"/>
    <n v="31423737"/>
    <s v="INGENIERO(A) EN DISTRIBUCIÓN Y REDES ELÉCTRICAS"/>
    <n v="2011"/>
    <n v="3125711043"/>
    <s v="edniarz@gmail.com"/>
    <s v="proyectos"/>
    <s v="sin empleo"/>
    <m/>
    <m/>
    <m/>
    <m/>
    <m/>
    <x v="4"/>
    <x v="2"/>
    <x v="0"/>
    <x v="2"/>
    <x v="0"/>
    <x v="0"/>
    <x v="0"/>
    <x v="2"/>
    <x v="2"/>
    <x v="2"/>
    <x v="2"/>
    <x v="2"/>
    <x v="2"/>
    <x v="2"/>
    <x v="0"/>
    <x v="0"/>
    <x v="2"/>
    <x v="0"/>
    <x v="2"/>
    <x v="0"/>
    <x v="0"/>
    <x v="4"/>
    <x v="0"/>
    <x v="0"/>
    <x v="0"/>
    <x v="1"/>
    <x v="2"/>
    <x v="0"/>
    <x v="0"/>
    <x v="1"/>
    <s v="De acuerdo"/>
    <s v="ESPECIALISTA EN GERENCIA DE PROYECTOS"/>
    <s v="Sí"/>
  </r>
  <r>
    <d v="2017-07-28T14:48:21"/>
    <s v="NELSON ALFREDO"/>
    <s v="GUTIERREZ RIVERA"/>
    <n v="79727908"/>
    <s v="INGENIERO(A) EN DISTRIBUCIÓN Y REDES ELÉCTRICAS"/>
    <n v="2006"/>
    <n v="3118861525"/>
    <s v="neelsin@hotmail.com"/>
    <s v="CONSTRUCTORAS"/>
    <s v="ING OBRAS"/>
    <s v="MIROAL INGENIERIA SAS"/>
    <m/>
    <s v="proyelec@miroal.com"/>
    <n v="3118861525"/>
    <m/>
    <x v="0"/>
    <x v="1"/>
    <x v="1"/>
    <x v="1"/>
    <x v="1"/>
    <x v="0"/>
    <x v="4"/>
    <x v="0"/>
    <x v="0"/>
    <x v="2"/>
    <x v="0"/>
    <x v="0"/>
    <x v="1"/>
    <x v="0"/>
    <x v="2"/>
    <x v="0"/>
    <x v="2"/>
    <x v="1"/>
    <x v="4"/>
    <x v="5"/>
    <x v="0"/>
    <x v="2"/>
    <x v="2"/>
    <x v="0"/>
    <x v="0"/>
    <x v="0"/>
    <x v="2"/>
    <x v="2"/>
    <x v="1"/>
    <x v="0"/>
    <s v="Totalmente de acuerdo / SI"/>
    <m/>
    <s v="Sí"/>
  </r>
  <r>
    <d v="2017-07-28T17:44:33"/>
    <s v="FRANCY LILIANA"/>
    <s v="LÓPEZ ROJAS"/>
    <n v="52975701"/>
    <s v="INGENIERO(A) ELÉCTRICO(A)"/>
    <n v="2015"/>
    <n v="3125039537"/>
    <s v="francylilo@gmail.com"/>
    <s v="Educación"/>
    <s v="Laboratorista"/>
    <s v="Universidad Distrital FJC"/>
    <s v="Luis Antonio Noguera Vega"/>
    <s v="lab-tecelectrica@udistrital.edu.co"/>
    <n v="3239300"/>
    <m/>
    <x v="1"/>
    <x v="0"/>
    <x v="1"/>
    <x v="1"/>
    <x v="1"/>
    <x v="1"/>
    <x v="4"/>
    <x v="0"/>
    <x v="1"/>
    <x v="1"/>
    <x v="0"/>
    <x v="1"/>
    <x v="3"/>
    <x v="0"/>
    <x v="2"/>
    <x v="1"/>
    <x v="2"/>
    <x v="2"/>
    <x v="1"/>
    <x v="1"/>
    <x v="0"/>
    <x v="4"/>
    <x v="2"/>
    <x v="4"/>
    <x v="1"/>
    <x v="0"/>
    <x v="2"/>
    <x v="1"/>
    <x v="1"/>
    <x v="0"/>
    <s v="Totalmente de acuerdo / SI"/>
    <m/>
    <s v="No"/>
  </r>
  <r>
    <d v="2017-07-28T19:12:47"/>
    <s v="pedro arnulfo"/>
    <s v="lopez Santana"/>
    <n v="79726439"/>
    <s v="INGENIERO(A) ELÉCTRICO(A)"/>
    <n v="2013"/>
    <n v="3212311500"/>
    <s v="ing.electrico.pedro.lopez@gmail.com"/>
    <s v="codensa"/>
    <s v="ingeniero obras"/>
    <s v="aenco"/>
    <s v="danni"/>
    <m/>
    <m/>
    <s v="prestigio"/>
    <x v="1"/>
    <x v="1"/>
    <x v="1"/>
    <x v="2"/>
    <x v="4"/>
    <x v="2"/>
    <x v="0"/>
    <x v="2"/>
    <x v="4"/>
    <x v="2"/>
    <x v="2"/>
    <x v="2"/>
    <x v="0"/>
    <x v="2"/>
    <x v="3"/>
    <x v="2"/>
    <x v="0"/>
    <x v="2"/>
    <x v="1"/>
    <x v="0"/>
    <x v="3"/>
    <x v="2"/>
    <x v="4"/>
    <x v="2"/>
    <x v="2"/>
    <x v="1"/>
    <x v="2"/>
    <x v="0"/>
    <x v="2"/>
    <x v="2"/>
    <s v="Medianamente de acuerdo"/>
    <m/>
    <s v="Sí"/>
  </r>
  <r>
    <d v="2017-07-28T19:42:52"/>
    <s v="SERGIO"/>
    <s v="VALBUENA MARULANDA"/>
    <n v="80004798"/>
    <s v="INGENIERO(A) EN DISTRIBUCIÓN Y REDES ELÉCTRICAS"/>
    <n v="2007"/>
    <n v="3138382424"/>
    <s v="servalmar@yahoo.es"/>
    <s v="PROTECCIONES Y CONTROL DE SISTEMAS DE POTENCIA"/>
    <s v="ESPECIALISTA EN CONTROL Y PROTECCIONES"/>
    <s v="SIEMENS"/>
    <s v="YATE"/>
    <s v="sergio.valbuenamarulanda@siemens.com"/>
    <n v="0"/>
    <s v="NINGUNO"/>
    <x v="3"/>
    <x v="3"/>
    <x v="4"/>
    <x v="2"/>
    <x v="0"/>
    <x v="0"/>
    <x v="2"/>
    <x v="2"/>
    <x v="2"/>
    <x v="2"/>
    <x v="2"/>
    <x v="0"/>
    <x v="0"/>
    <x v="0"/>
    <x v="2"/>
    <x v="4"/>
    <x v="4"/>
    <x v="3"/>
    <x v="4"/>
    <x v="5"/>
    <x v="4"/>
    <x v="3"/>
    <x v="0"/>
    <x v="4"/>
    <x v="1"/>
    <x v="0"/>
    <x v="0"/>
    <x v="2"/>
    <x v="0"/>
    <x v="1"/>
    <s v="De acuerdo"/>
    <s v="ESPECIALISTA EN SISTEMAS DE TRANSMISION"/>
    <s v="Sí"/>
  </r>
  <r>
    <d v="2017-07-28T19:46:22"/>
    <s v="SANDRA MARIA"/>
    <s v="RAMIREZ RINCON"/>
    <n v="52741831"/>
    <s v="INGENIERO(A) EN DISTRIBUCIÓN Y REDES ELÉCTRICAS"/>
    <n v="2008"/>
    <n v="3114595690"/>
    <s v="liusandraramirez@gmail.com"/>
    <s v="DISEÑO MT"/>
    <s v="INDEPENDIENTE"/>
    <s v="INDEPENDIENTE "/>
    <s v="SANDRA"/>
    <s v="liusandraramirez@gmail.com"/>
    <m/>
    <s v="NA"/>
    <x v="0"/>
    <x v="1"/>
    <x v="0"/>
    <x v="0"/>
    <x v="0"/>
    <x v="0"/>
    <x v="4"/>
    <x v="0"/>
    <x v="0"/>
    <x v="0"/>
    <x v="0"/>
    <x v="0"/>
    <x v="3"/>
    <x v="0"/>
    <x v="2"/>
    <x v="0"/>
    <x v="2"/>
    <x v="0"/>
    <x v="0"/>
    <x v="0"/>
    <x v="0"/>
    <x v="4"/>
    <x v="0"/>
    <x v="4"/>
    <x v="1"/>
    <x v="0"/>
    <x v="0"/>
    <x v="2"/>
    <x v="0"/>
    <x v="1"/>
    <s v="De acuerdo"/>
    <m/>
    <s v="Sí"/>
  </r>
  <r>
    <d v="2017-07-28T23:06:24"/>
    <s v="JAIRO HUMBERTO"/>
    <s v="PORRAS HERNANDEZ"/>
    <n v="79823010"/>
    <s v="TECNÓLOGO(A) EN ELECTRICIDAD"/>
    <n v="2006"/>
    <n v="3204981532"/>
    <s v="jairo.porras@hotmail.com"/>
    <s v="Puesta en servicio  de Subestacionas de Media, Alta y Extra alta Tensión"/>
    <s v="Especialista de Field Service"/>
    <s v="SIEMENS"/>
    <s v="JOHN BEDOYA"/>
    <s v="jairo.porras_hernandez@siemens.com"/>
    <n v="2942465"/>
    <m/>
    <x v="0"/>
    <x v="1"/>
    <x v="1"/>
    <x v="1"/>
    <x v="1"/>
    <x v="0"/>
    <x v="2"/>
    <x v="2"/>
    <x v="1"/>
    <x v="0"/>
    <x v="0"/>
    <x v="0"/>
    <x v="0"/>
    <x v="0"/>
    <x v="2"/>
    <x v="0"/>
    <x v="2"/>
    <x v="0"/>
    <x v="1"/>
    <x v="1"/>
    <x v="3"/>
    <x v="4"/>
    <x v="2"/>
    <x v="3"/>
    <x v="3"/>
    <x v="2"/>
    <x v="2"/>
    <x v="1"/>
    <x v="1"/>
    <x v="0"/>
    <s v="Totalmente de acuerdo / SI"/>
    <m/>
    <s v="Sí"/>
  </r>
  <r>
    <d v="2017-07-28T23:16:19"/>
    <s v="JAIRO HUMBERTO"/>
    <s v="PORRAS HERNANDEZ"/>
    <n v="79823010"/>
    <s v="TECNÓLOGO(A) EN ELECTRICIDAD"/>
    <n v="2006"/>
    <n v="3204981532"/>
    <s v="jairo.porras@hotmail.com"/>
    <s v="Puesta en servicio de Subestaciones de Media, Alta y Extra Alta Tensión"/>
    <s v="Especialista de Field Service"/>
    <s v="SIEMENS "/>
    <s v="JOHN BEDOYA"/>
    <s v="jairo.porras_hernandez@siemens.com"/>
    <n v="2942465"/>
    <m/>
    <x v="3"/>
    <x v="3"/>
    <x v="1"/>
    <x v="1"/>
    <x v="1"/>
    <x v="0"/>
    <x v="4"/>
    <x v="2"/>
    <x v="1"/>
    <x v="1"/>
    <x v="0"/>
    <x v="0"/>
    <x v="0"/>
    <x v="1"/>
    <x v="2"/>
    <x v="0"/>
    <x v="2"/>
    <x v="0"/>
    <x v="1"/>
    <x v="1"/>
    <x v="3"/>
    <x v="0"/>
    <x v="2"/>
    <x v="3"/>
    <x v="3"/>
    <x v="2"/>
    <x v="0"/>
    <x v="1"/>
    <x v="1"/>
    <x v="0"/>
    <s v="Totalmente de acuerdo / SI"/>
    <m/>
    <s v="Sí"/>
  </r>
  <r>
    <d v="2017-07-28T23:26:21"/>
    <s v="LUIS WILLINGTON "/>
    <s v="ORTIZ SACRISTÁN "/>
    <n v="80808938"/>
    <s v="INGENIERO(A) ELÉCTRICO(A)"/>
    <n v="2014"/>
    <n v="3143472033"/>
    <s v="germaniawilli007@hotmail.com"/>
    <s v="Redes eléctricas "/>
    <s v="Supervisor DRS"/>
    <s v="Deltec"/>
    <s v="Jennifer Castaño "/>
    <s v="supervisordrs@gmail.com"/>
    <m/>
    <m/>
    <x v="1"/>
    <x v="0"/>
    <x v="1"/>
    <x v="1"/>
    <x v="1"/>
    <x v="1"/>
    <x v="1"/>
    <x v="1"/>
    <x v="1"/>
    <x v="0"/>
    <x v="1"/>
    <x v="1"/>
    <x v="1"/>
    <x v="1"/>
    <x v="2"/>
    <x v="1"/>
    <x v="2"/>
    <x v="0"/>
    <x v="1"/>
    <x v="1"/>
    <x v="0"/>
    <x v="0"/>
    <x v="2"/>
    <x v="3"/>
    <x v="1"/>
    <x v="2"/>
    <x v="1"/>
    <x v="1"/>
    <x v="0"/>
    <x v="1"/>
    <s v="De acuerdo"/>
    <m/>
    <s v="Sí"/>
  </r>
  <r>
    <d v="2017-07-29T06:01:21"/>
    <s v="Alexis"/>
    <s v="Losada"/>
    <n v="79489549"/>
    <s v="INGENIERO(A) ELÉCTRICO(A)"/>
    <n v="2013"/>
    <n v="3013834407"/>
    <s v="alexis_losada@hotmail.com"/>
    <s v="Educacion"/>
    <s v="Docente De Planta De La Secretaria De Educacion SED"/>
    <s v="SED"/>
    <s v="Tillman Herrera Lopez"/>
    <s v="coldigrancolombian7@redp.edu.co"/>
    <n v="7196611"/>
    <m/>
    <x v="0"/>
    <x v="1"/>
    <x v="1"/>
    <x v="1"/>
    <x v="4"/>
    <x v="1"/>
    <x v="2"/>
    <x v="1"/>
    <x v="1"/>
    <x v="0"/>
    <x v="0"/>
    <x v="0"/>
    <x v="0"/>
    <x v="4"/>
    <x v="1"/>
    <x v="1"/>
    <x v="1"/>
    <x v="0"/>
    <x v="1"/>
    <x v="0"/>
    <x v="0"/>
    <x v="4"/>
    <x v="0"/>
    <x v="3"/>
    <x v="3"/>
    <x v="1"/>
    <x v="2"/>
    <x v="2"/>
    <x v="2"/>
    <x v="0"/>
    <s v="Totalmente de acuerdo / SI"/>
    <s v="Magíster en didáctica de las Ciencias"/>
    <s v="Sí"/>
  </r>
  <r>
    <d v="2017-07-29T06:20:14"/>
    <s v="Alexis"/>
    <s v="Losada"/>
    <n v="79489549"/>
    <s v="INGENIERO(A) ELÉCTRICO(A)"/>
    <n v="2013"/>
    <n v="3013834407"/>
    <s v="alexis_losada@hotmail.com"/>
    <s v="Educacion"/>
    <s v="Docente de planta de la secretaria de Educación SED"/>
    <s v="SED"/>
    <s v="Tillman Herrera Lopez"/>
    <s v="coldigrancolombian7@redp.edu.co"/>
    <n v="7196611"/>
    <m/>
    <x v="0"/>
    <x v="0"/>
    <x v="1"/>
    <x v="1"/>
    <x v="0"/>
    <x v="1"/>
    <x v="2"/>
    <x v="0"/>
    <x v="1"/>
    <x v="2"/>
    <x v="0"/>
    <x v="1"/>
    <x v="0"/>
    <x v="2"/>
    <x v="1"/>
    <x v="0"/>
    <x v="1"/>
    <x v="0"/>
    <x v="1"/>
    <x v="0"/>
    <x v="0"/>
    <x v="4"/>
    <x v="0"/>
    <x v="3"/>
    <x v="1"/>
    <x v="0"/>
    <x v="0"/>
    <x v="2"/>
    <x v="0"/>
    <x v="0"/>
    <s v="Totalmente de acuerdo / SI"/>
    <s v="Magíster en didáctica de las Ciencias"/>
    <s v="Sí"/>
  </r>
  <r>
    <d v="2017-07-29T08:49:17"/>
    <s v="JULIO CESAR"/>
    <s v="AVELLANEDA TORRES"/>
    <n v="79727429"/>
    <s v="INGENIERO(A) EN DISTRIBUCIÓN Y REDES ELÉCTRICAS"/>
    <n v="2005"/>
    <n v="3112601714"/>
    <s v="jcresidente@gmail.com"/>
    <s v="DIRECCION DR PROYECTOS"/>
    <s v="COORDINADOR DE INGENIERIA"/>
    <s v="JE JAIMES INGENIEROS SA"/>
    <s v="OSCAR GONZALEZ"/>
    <s v="j.avellaneda@jejaimes.com.co"/>
    <n v="3599300"/>
    <m/>
    <x v="0"/>
    <x v="1"/>
    <x v="1"/>
    <x v="1"/>
    <x v="0"/>
    <x v="1"/>
    <x v="1"/>
    <x v="1"/>
    <x v="1"/>
    <x v="0"/>
    <x v="0"/>
    <x v="3"/>
    <x v="0"/>
    <x v="0"/>
    <x v="0"/>
    <x v="0"/>
    <x v="0"/>
    <x v="2"/>
    <x v="1"/>
    <x v="4"/>
    <x v="2"/>
    <x v="0"/>
    <x v="2"/>
    <x v="3"/>
    <x v="3"/>
    <x v="0"/>
    <x v="2"/>
    <x v="1"/>
    <x v="1"/>
    <x v="0"/>
    <s v="Totalmente de acuerdo / SI"/>
    <s v="ESPECIALIZACION EN GERENCIA DE PROYECTOS"/>
    <s v="Sí"/>
  </r>
  <r>
    <d v="2017-07-29T09:04:48"/>
    <s v="ViCTOR"/>
    <s v="ALVAREZ"/>
    <n v="79898003"/>
    <s v="INGENIERO(A) ELÉCTRICO(A)"/>
    <n v="2017"/>
    <n v="3112876571"/>
    <s v="vicalber@yahoo.com.ar"/>
    <s v="Operación Subestaciones"/>
    <s v="Gerente de Operaciones "/>
    <s v="J. E. Jaimes Ingenieros"/>
    <m/>
    <m/>
    <m/>
    <m/>
    <x v="0"/>
    <x v="1"/>
    <x v="0"/>
    <x v="0"/>
    <x v="4"/>
    <x v="0"/>
    <x v="0"/>
    <x v="2"/>
    <x v="1"/>
    <x v="0"/>
    <x v="2"/>
    <x v="0"/>
    <x v="3"/>
    <x v="0"/>
    <x v="2"/>
    <x v="1"/>
    <x v="0"/>
    <x v="0"/>
    <x v="1"/>
    <x v="1"/>
    <x v="3"/>
    <x v="0"/>
    <x v="2"/>
    <x v="2"/>
    <x v="2"/>
    <x v="2"/>
    <x v="0"/>
    <x v="1"/>
    <x v="2"/>
    <x v="0"/>
    <s v="Totalmente de acuerdo / SI"/>
    <m/>
    <s v="Sí"/>
  </r>
  <r>
    <d v="2017-07-29T10:12:32"/>
    <s v="YAQUELINE"/>
    <s v="GARZON"/>
    <n v="52529975"/>
    <s v="INGENIERO(A) EN DISTRIBUCIÓN Y REDES ELÉCTRICAS"/>
    <n v="2005"/>
    <n v="3163655527"/>
    <s v="yaqueline.garzon@gmail.com"/>
    <s v="EDUCACION-DOCENCIA"/>
    <s v="DOCENTE UNIVERSITARIO"/>
    <s v="UNIVERSIDAD DISTRITAL"/>
    <s v="HERY IBÁÑEZ "/>
    <s v="ygarzonr@udistrital.edu.co"/>
    <n v="3239300"/>
    <s v="BECA DE POSGRADO"/>
    <x v="0"/>
    <x v="1"/>
    <x v="0"/>
    <x v="0"/>
    <x v="0"/>
    <x v="0"/>
    <x v="2"/>
    <x v="0"/>
    <x v="0"/>
    <x v="1"/>
    <x v="0"/>
    <x v="0"/>
    <x v="0"/>
    <x v="0"/>
    <x v="1"/>
    <x v="0"/>
    <x v="2"/>
    <x v="0"/>
    <x v="1"/>
    <x v="0"/>
    <x v="1"/>
    <x v="0"/>
    <x v="0"/>
    <x v="3"/>
    <x v="3"/>
    <x v="0"/>
    <x v="0"/>
    <x v="2"/>
    <x v="3"/>
    <x v="0"/>
    <s v="Totalmente de acuerdo / SI"/>
    <s v="MAESTRIA EN CIENCIAS DE INFORMACION Y COMUNICACIONES"/>
    <s v="Sí"/>
  </r>
  <r>
    <d v="2017-07-29T10:12:34"/>
    <s v="YAQUELINE"/>
    <s v="GARZON"/>
    <n v="52529975"/>
    <s v="INGENIERO(A) EN DISTRIBUCIÓN Y REDES ELÉCTRICAS"/>
    <n v="2005"/>
    <n v="3163655527"/>
    <s v="yaqueline.garzon@gmail.com"/>
    <s v="EDUCACION-DOCENCIA"/>
    <s v="DOCENTE UNIVERSITARIO"/>
    <s v="UNIVERSIDAD DISTRITAL"/>
    <s v="HERY IBÁÑEZ "/>
    <s v="ygarzonr@udistrital.edu.co"/>
    <n v="3239300"/>
    <s v="BECA DE POSGRADO"/>
    <x v="0"/>
    <x v="1"/>
    <x v="0"/>
    <x v="0"/>
    <x v="0"/>
    <x v="0"/>
    <x v="2"/>
    <x v="0"/>
    <x v="0"/>
    <x v="1"/>
    <x v="0"/>
    <x v="0"/>
    <x v="0"/>
    <x v="0"/>
    <x v="1"/>
    <x v="0"/>
    <x v="2"/>
    <x v="0"/>
    <x v="1"/>
    <x v="0"/>
    <x v="1"/>
    <x v="0"/>
    <x v="0"/>
    <x v="3"/>
    <x v="3"/>
    <x v="0"/>
    <x v="0"/>
    <x v="2"/>
    <x v="3"/>
    <x v="0"/>
    <s v="Totalmente de acuerdo / SI"/>
    <s v="MAESTRIA EN CIENCIAS DE INFORMACION Y COMUNICACIONES"/>
    <s v="Sí"/>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 dinámica1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2:I4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0"/>
        <item x="1"/>
        <item x="4"/>
        <item x="3"/>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4"/>
  </colFields>
  <colItems count="8">
    <i>
      <x/>
    </i>
    <i>
      <x v="1"/>
    </i>
    <i>
      <x v="2"/>
    </i>
    <i>
      <x v="3"/>
    </i>
    <i>
      <x v="4"/>
    </i>
    <i>
      <x v="5"/>
    </i>
    <i>
      <x v="6"/>
    </i>
    <i t="grand">
      <x/>
    </i>
  </colItems>
  <dataFields count="1">
    <dataField name="Cuenta de 11. Conozco los procedimientos para hacer parte de los órganos de dirección de mi programa académico." fld="14" subtotal="count" baseField="0" baseItem="0"/>
  </dataFields>
  <formats count="1">
    <format dxfId="18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I2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axis="axisCol" dataField="1" showAll="0">
      <items count="8">
        <item x="5"/>
        <item x="2"/>
        <item x="3"/>
        <item x="4"/>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0"/>
  </colFields>
  <colItems count="8">
    <i>
      <x/>
    </i>
    <i>
      <x v="1"/>
    </i>
    <i>
      <x v="2"/>
    </i>
    <i>
      <x v="3"/>
    </i>
    <i>
      <x v="4"/>
    </i>
    <i>
      <x v="5"/>
    </i>
    <i>
      <x v="6"/>
    </i>
    <i t="grand">
      <x/>
    </i>
  </colItems>
  <dataFields count="1">
    <dataField name="Cuenta de 7. Conozco el proceso de admisiones a cada uno de los niveles de formación de los programas académicos por ciclos ofrecidos en la Facultad Tecnológica." fld="10" subtotal="count" baseField="0" baseItem="0"/>
  </dataFields>
  <formats count="1">
    <format dxfId="19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Tabla dinámica4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0:H23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m="1" x="6"/>
        <item x="1"/>
        <item x="0"/>
        <item x="2"/>
        <item x="3"/>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7"/>
  </colFields>
  <colItems count="7">
    <i>
      <x/>
    </i>
    <i>
      <x v="2"/>
    </i>
    <i>
      <x v="3"/>
    </i>
    <i>
      <x v="4"/>
    </i>
    <i>
      <x v="5"/>
    </i>
    <i>
      <x v="6"/>
    </i>
    <i t="grand">
      <x/>
    </i>
  </colItems>
  <dataFields count="1">
    <dataField name="Cuenta de 52.3. Considero que los computadores y software disponibles en el programa académico al cual pertenezco son: ACTUALIZADO" fld="67" subtotal="count" baseField="0" baseItem="0"/>
  </dataFields>
  <formats count="1">
    <format dxfId="10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Tabla dinámica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06:I20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2"/>
        <item x="1"/>
        <item x="0"/>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1"/>
  </colFields>
  <colItems count="8">
    <i>
      <x/>
    </i>
    <i>
      <x v="1"/>
    </i>
    <i>
      <x v="2"/>
    </i>
    <i>
      <x v="3"/>
    </i>
    <i>
      <x v="4"/>
    </i>
    <i>
      <x v="5"/>
    </i>
    <i>
      <x v="6"/>
    </i>
    <i t="grand">
      <x/>
    </i>
  </colItems>
  <dataFields count="1">
    <dataField name="Cuenta de 50. Considero que el programa académico al cual pertenezco ejecuta proyectos y ayuda a resolver problemas del entorno inmediato." fld="61" subtotal="count" baseField="0" baseItem="0"/>
  </dataFields>
  <formats count="1">
    <format dxfId="1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Tabla dinámica1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4:I9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5"/>
        <item x="1"/>
        <item x="0"/>
        <item x="4"/>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3"/>
  </colFields>
  <colItems count="8">
    <i>
      <x/>
    </i>
    <i>
      <x v="1"/>
    </i>
    <i>
      <x v="2"/>
    </i>
    <i>
      <x v="3"/>
    </i>
    <i>
      <x v="4"/>
    </i>
    <i>
      <x v="5"/>
    </i>
    <i>
      <x v="6"/>
    </i>
    <i t="grand">
      <x/>
    </i>
  </colItems>
  <dataFields count="1">
    <dataField name="Cuenta de 22. Considero que el programa académico al cual pertenezco controla la participación de los docentes en actividades de actualización o capacitación acordes con las necesidades y objetivos colectivos." fld="33" subtotal="count" baseField="0" baseItem="0"/>
  </dataFields>
  <formats count="1">
    <format dxfId="10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Tabla dinámica8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2:F4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1"/>
        <item m="1" x="4"/>
        <item m="1" x="5"/>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0"/>
  </colFields>
  <colItems count="5">
    <i>
      <x/>
    </i>
    <i>
      <x v="1"/>
    </i>
    <i>
      <x v="4"/>
    </i>
    <i>
      <x v="5"/>
    </i>
    <i t="grand">
      <x/>
    </i>
  </colItems>
  <dataFields count="1">
    <dataField name="Cuenta de 11. Considero que en el programa académico al cual pertenezco se aplican debidamente las normas establecidas en los reglamentos estudiantil y académico." fld="20" subtotal="count" baseField="0" baseItem="0"/>
  </dataFields>
  <formats count="1">
    <format dxfId="10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Tabla dinámica5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0:F33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1"/>
        <item m="1" x="4"/>
        <item m="1" x="5"/>
        <item x="0"/>
        <item x="3"/>
      </items>
    </pivotField>
    <pivotField showAll="0" defaultSubtotal="0"/>
    <pivotField showAll="0" defaultSubtotal="0"/>
    <pivotField showAll="0" defaultSubtotal="0"/>
    <pivotField showAll="0" defaultSubtotal="0"/>
    <pivotField showAll="0" defaultSubtotal="0"/>
    <pivotField showAll="0"/>
  </pivotFields>
  <rowItems count="1">
    <i/>
  </rowItems>
  <colFields count="1">
    <field x="92"/>
  </colFields>
  <colItems count="5">
    <i>
      <x/>
    </i>
    <i>
      <x v="1"/>
    </i>
    <i>
      <x v="4"/>
    </i>
    <i>
      <x v="5"/>
    </i>
    <i t="grand">
      <x/>
    </i>
  </colItems>
  <dataFields count="1">
    <dataField name="Cuenta de 64. Considero que las orientaciones de los directivos del programa académico al cual pertenezco son adecuadas. " fld="92" subtotal="count" baseField="0" baseItem="0"/>
  </dataFields>
  <formats count="1">
    <format dxfId="1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4:I31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2"/>
        <item x="1"/>
        <item x="0"/>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8"/>
  </colFields>
  <colItems count="8">
    <i>
      <x/>
    </i>
    <i>
      <x v="1"/>
    </i>
    <i>
      <x v="2"/>
    </i>
    <i>
      <x v="3"/>
    </i>
    <i>
      <x v="4"/>
    </i>
    <i>
      <x v="5"/>
    </i>
    <i>
      <x v="6"/>
    </i>
    <i t="grand">
      <x/>
    </i>
  </colItems>
  <dataFields count="1">
    <dataField name="Cuenta de 60.3. La organización, administración y gestión del programa académico al cual pertenezco permite cumplir los objetivos de: INTEGRACIÓN CON LA COMUNIDAD Y CON EL ENTORNO." fld="88" subtotal="count" baseField="0" baseItem="0"/>
  </dataFields>
  <formats count="1">
    <format dxfId="10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Tabla dinámica4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8:F34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m="1" x="4"/>
        <item x="2"/>
        <item m="1" x="5"/>
        <item x="1"/>
        <item x="0"/>
        <item m="1" x="6"/>
        <item x="3"/>
      </items>
    </pivotField>
    <pivotField showAll="0" defaultSubtotal="0"/>
    <pivotField showAll="0" defaultSubtotal="0"/>
    <pivotField showAll="0" defaultSubtotal="0"/>
    <pivotField showAll="0"/>
  </pivotFields>
  <rowItems count="1">
    <i/>
  </rowItems>
  <colFields count="1">
    <field x="94"/>
  </colFields>
  <colItems count="5">
    <i>
      <x v="1"/>
    </i>
    <i>
      <x v="3"/>
    </i>
    <i>
      <x v="4"/>
    </i>
    <i>
      <x v="6"/>
    </i>
    <i t="grand">
      <x/>
    </i>
  </colItems>
  <dataFields count="1">
    <dataField name="Cuenta de 66. Considero que el liderazgo ejercido por los directivos del programa académico al cual pertenezco es idóneo." fld="94" subtotal="count" baseField="0" baseItem="0"/>
  </dataFields>
  <formats count="1">
    <format dxfId="1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Tabla dinámica7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6:I8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1"/>
        <item x="0"/>
        <item x="2"/>
        <item x="5"/>
        <item x="4"/>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1"/>
  </colFields>
  <colItems count="8">
    <i>
      <x/>
    </i>
    <i>
      <x v="1"/>
    </i>
    <i>
      <x v="2"/>
    </i>
    <i>
      <x v="3"/>
    </i>
    <i>
      <x v="4"/>
    </i>
    <i>
      <x v="5"/>
    </i>
    <i>
      <x v="6"/>
    </i>
    <i t="grand">
      <x/>
    </i>
  </colItems>
  <dataFields count="1">
    <dataField name="Cuenta de 20. Considero que el tiempo de dedicación que los profesores de vinculación especial (TCO, MTO y HC) en actividades de consejería, atención a estudiantes y corrección de trabajos de grado es adecuado." fld="31" subtotal="count" baseField="0" baseItem="0"/>
  </dataFields>
  <formats count="1">
    <format dxfId="10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Tabla dinámica6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6:I14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6"/>
  </colFields>
  <colItems count="8">
    <i>
      <x/>
    </i>
    <i>
      <x v="1"/>
    </i>
    <i>
      <x v="2"/>
    </i>
    <i>
      <x v="3"/>
    </i>
    <i>
      <x v="4"/>
    </i>
    <i>
      <x v="5"/>
    </i>
    <i>
      <x v="6"/>
    </i>
    <i t="grand">
      <x/>
    </i>
  </colItems>
  <dataFields count="1">
    <dataField name="Cuenta de 35. Considero que el programa académico al cual pertenezco se preocupa por evolucionar hacia planes de estudios cada vez más flexibles." fld="46" subtotal="count" baseField="0" baseItem="0"/>
  </dataFields>
  <formats count="1">
    <format dxfId="1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Tabla dinámica8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0:I25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3"/>
        <item x="0"/>
        <item x="2"/>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2"/>
  </colFields>
  <colItems count="8">
    <i>
      <x/>
    </i>
    <i>
      <x v="1"/>
    </i>
    <i>
      <x v="2"/>
    </i>
    <i>
      <x v="3"/>
    </i>
    <i>
      <x v="4"/>
    </i>
    <i>
      <x v="5"/>
    </i>
    <i>
      <x v="6"/>
    </i>
    <i t="grand">
      <x/>
    </i>
  </colItems>
  <dataFields count="1">
    <dataField name="Cuenta de 53.5. Considero que los laboratorios y talleres disponibles en el programa académico al cual pertenezco son: VENTILADOS" fld="72" subtotal="count" baseField="0" baseItem="0"/>
  </dataFields>
  <formats count="1">
    <format dxfId="11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4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0:I19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5"/>
        <item x="4"/>
        <item x="1"/>
        <item x="2"/>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1"/>
  </colFields>
  <colItems count="8">
    <i>
      <x/>
    </i>
    <i>
      <x v="1"/>
    </i>
    <i>
      <x v="2"/>
    </i>
    <i>
      <x v="3"/>
    </i>
    <i>
      <x v="4"/>
    </i>
    <i>
      <x v="5"/>
    </i>
    <i>
      <x v="6"/>
    </i>
    <i t="grand">
      <x/>
    </i>
  </colItems>
  <dataFields count="1">
    <dataField name="Cuenta de 42. Conozco los procesos para la evaluación periódica de la pertinencia y calidad del programa académico al cual pertenezco." fld="51" subtotal="count" baseField="0" baseItem="0"/>
  </dataFields>
  <formats count="1">
    <format dxfId="19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Tabla dinámica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2:F30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m="1" x="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5"/>
  </colFields>
  <colItems count="5">
    <i>
      <x v="1"/>
    </i>
    <i>
      <x v="2"/>
    </i>
    <i>
      <x v="3"/>
    </i>
    <i>
      <x v="4"/>
    </i>
    <i t="grand">
      <x/>
    </i>
  </colItems>
  <dataFields count="1">
    <dataField name="Cuenta de 59. Considero que la atención por parte del personal administrativo del programa académico al cual pertenezco es idónea. " fld="85" subtotal="count" baseField="0" baseItem="0"/>
  </dataFields>
  <formats count="1">
    <format dxfId="1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1.xml><?xml version="1.0" encoding="utf-8"?>
<pivotTableDefinition xmlns="http://schemas.openxmlformats.org/spreadsheetml/2006/main" name="Tabla dinámica5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0:H7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0"/>
        <item x="1"/>
        <item x="4"/>
        <item m="1" x="6"/>
        <item x="3"/>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7"/>
  </colFields>
  <colItems count="7">
    <i>
      <x/>
    </i>
    <i>
      <x v="1"/>
    </i>
    <i>
      <x v="2"/>
    </i>
    <i>
      <x v="3"/>
    </i>
    <i>
      <x v="5"/>
    </i>
    <i>
      <x v="6"/>
    </i>
    <i t="grand">
      <x/>
    </i>
  </colItems>
  <dataFields count="1">
    <dataField name="Cuenta de 18. Considero que el número de docentes de tiempo completo al servicio del programa académico al cual pertenezco es suficiente." fld="27" subtotal="count" baseField="0" baseItem="0"/>
  </dataFields>
  <formats count="1">
    <format dxfId="11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2.xml><?xml version="1.0" encoding="utf-8"?>
<pivotTableDefinition xmlns="http://schemas.openxmlformats.org/spreadsheetml/2006/main" name="Tabla dinámica9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22:I32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90"/>
  </colFields>
  <colItems count="8">
    <i>
      <x/>
    </i>
    <i>
      <x v="1"/>
    </i>
    <i>
      <x v="2"/>
    </i>
    <i>
      <x v="3"/>
    </i>
    <i>
      <x v="4"/>
    </i>
    <i>
      <x v="5"/>
    </i>
    <i>
      <x v="6"/>
    </i>
    <i t="grand">
      <x/>
    </i>
  </colItems>
  <dataFields count="1">
    <dataField name="Cuenta de 62. Considero que los representantes docentes han liderado propuestas para el mejoramiento del programa académico al cual pertenezco. " fld="90" subtotal="count" baseField="0" baseItem="0"/>
  </dataFields>
  <formats count="1">
    <format dxfId="1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3.xml><?xml version="1.0" encoding="utf-8"?>
<pivotTableDefinition xmlns="http://schemas.openxmlformats.org/spreadsheetml/2006/main" name="Tabla dinámica3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6:F30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m="1" x="4"/>
        <item x="2"/>
        <item x="1"/>
        <item x="0"/>
        <item m="1" x="5"/>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6"/>
  </colFields>
  <colItems count="5">
    <i>
      <x v="1"/>
    </i>
    <i>
      <x v="2"/>
    </i>
    <i>
      <x v="3"/>
    </i>
    <i>
      <x v="5"/>
    </i>
    <i t="grand">
      <x/>
    </i>
  </colItems>
  <dataFields count="1">
    <dataField name="Cuenta de 60.1. La organización, administración y gestión del programa académico al cual pertenezco permite cumplir los objetivos de: DESARROLLO REGULAR DE LOS ESPACIOS Y DE LOS SEMESTRES ACADÉMICOS." fld="86" subtotal="count" baseField="0" baseItem="0"/>
  </dataFields>
  <formats count="1">
    <format dxfId="1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4.xml><?xml version="1.0" encoding="utf-8"?>
<pivotTableDefinition xmlns="http://schemas.openxmlformats.org/spreadsheetml/2006/main" name="Tabla dinámica5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6:I18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5"/>
        <item x="3"/>
        <item x="0"/>
        <item x="1"/>
        <item x="4"/>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6"/>
  </colFields>
  <colItems count="8">
    <i>
      <x/>
    </i>
    <i>
      <x v="1"/>
    </i>
    <i>
      <x v="2"/>
    </i>
    <i>
      <x v="3"/>
    </i>
    <i>
      <x v="4"/>
    </i>
    <i>
      <x v="5"/>
    </i>
    <i>
      <x v="6"/>
    </i>
    <i t="grand">
      <x/>
    </i>
  </colItems>
  <dataFields count="1">
    <dataField name="Cuenta de 45. El programa académico al cual pertenezco incentiva el desarrollo de trabajos de aula con contenido investigativo." fld="56" subtotal="count" baseField="0" baseItem="0"/>
  </dataFields>
  <formats count="1">
    <format dxfId="11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5.xml><?xml version="1.0" encoding="utf-8"?>
<pivotTableDefinition xmlns="http://schemas.openxmlformats.org/spreadsheetml/2006/main" name="Tabla dinámica1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G1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0"/>
        <item m="1" x="5"/>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2"/>
  </colFields>
  <colItems count="6">
    <i>
      <x/>
    </i>
    <i>
      <x v="1"/>
    </i>
    <i>
      <x v="2"/>
    </i>
    <i>
      <x v="3"/>
    </i>
    <i>
      <x v="5"/>
    </i>
    <i t="grand">
      <x/>
    </i>
  </colItems>
  <dataFields count="1">
    <dataField name="Cuenta de 3. Considero que la Universidad Distrital Francisco José de Caldas es una alternativa real para acceder al conocimiento por parte de la población bogotana de menores ingresos." fld="12" subtotal="count" baseField="0" baseItem="0"/>
  </dataFields>
  <formats count="1">
    <format dxfId="1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6.xml><?xml version="1.0" encoding="utf-8"?>
<pivotTableDefinition xmlns="http://schemas.openxmlformats.org/spreadsheetml/2006/main" name="Tabla dinámica8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6:H26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0"/>
        <item m="1" x="6"/>
        <item x="1"/>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6"/>
  </colFields>
  <colItems count="7">
    <i>
      <x/>
    </i>
    <i>
      <x v="1"/>
    </i>
    <i>
      <x v="2"/>
    </i>
    <i>
      <x v="4"/>
    </i>
    <i>
      <x v="5"/>
    </i>
    <i>
      <x v="6"/>
    </i>
    <i t="grand">
      <x/>
    </i>
  </colItems>
  <dataFields count="1">
    <dataField name="Cuenta de 54.2. Considero que los equipos de apoyo audiovisual a disposición del programa académico al cual pertenezco son: ADECUADOS" fld="76" subtotal="count" baseField="0" baseItem="0"/>
  </dataFields>
  <formats count="1">
    <format dxfId="1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7.xml><?xml version="1.0" encoding="utf-8"?>
<pivotTableDefinition xmlns="http://schemas.openxmlformats.org/spreadsheetml/2006/main" name="Tabla dinámica7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0:I31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5"/>
        <item x="4"/>
        <item x="1"/>
        <item x="0"/>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7"/>
  </colFields>
  <colItems count="8">
    <i>
      <x/>
    </i>
    <i>
      <x v="1"/>
    </i>
    <i>
      <x v="2"/>
    </i>
    <i>
      <x v="3"/>
    </i>
    <i>
      <x v="4"/>
    </i>
    <i>
      <x v="5"/>
    </i>
    <i>
      <x v="6"/>
    </i>
    <i t="grand">
      <x/>
    </i>
  </colItems>
  <dataFields count="1">
    <dataField name="Cuenta de 60.2. La organización, administración y gestión del programa académico al cual pertenezco permite cumplir los objetivos de: PROMOCIÓN DE LA CULTURA DE LA INVESTIGACIÓN" fld="87" subtotal="count" baseField="0" baseItem="0"/>
  </dataFields>
  <formats count="1">
    <format dxfId="1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8.xml><?xml version="1.0" encoding="utf-8"?>
<pivotTableDefinition xmlns="http://schemas.openxmlformats.org/spreadsheetml/2006/main" name="Tabla dinámica5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2:H34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4"/>
        <item x="1"/>
        <item x="0"/>
        <item x="2"/>
        <item x="5"/>
      </items>
    </pivotField>
    <pivotField showAll="0" defaultSubtotal="0"/>
    <pivotField showAll="0" defaultSubtotal="0"/>
    <pivotField showAll="0"/>
  </pivotFields>
  <rowItems count="1">
    <i/>
  </rowItems>
  <colFields count="1">
    <field x="95"/>
  </colFields>
  <colItems count="7">
    <i>
      <x/>
    </i>
    <i>
      <x v="1"/>
    </i>
    <i>
      <x v="2"/>
    </i>
    <i>
      <x v="3"/>
    </i>
    <i>
      <x v="4"/>
    </i>
    <i>
      <x v="5"/>
    </i>
    <i t="grand">
      <x/>
    </i>
  </colItems>
  <dataFields count="1">
    <dataField name="Cuenta de 67.1. Considero que la planta física empleada por el programa académico al cual pertenezco es: ADECUADA" fld="95" subtotal="count" baseField="0" baseItem="0"/>
  </dataFields>
  <formats count="1">
    <format dxfId="1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9.xml><?xml version="1.0" encoding="utf-8"?>
<pivotTableDefinition xmlns="http://schemas.openxmlformats.org/spreadsheetml/2006/main" name="Tabla dinámica9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0:I5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2"/>
        <item x="1"/>
        <item x="0"/>
        <item x="5"/>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2"/>
  </colFields>
  <colItems count="8">
    <i>
      <x/>
    </i>
    <i>
      <x v="1"/>
    </i>
    <i>
      <x v="2"/>
    </i>
    <i>
      <x v="3"/>
    </i>
    <i>
      <x v="4"/>
    </i>
    <i>
      <x v="5"/>
    </i>
    <i>
      <x v="6"/>
    </i>
    <i t="grand">
      <x/>
    </i>
  </colItems>
  <dataFields count="1">
    <dataField name="Cuenta de 13. Considero que el proceso de selección y vinculación de docentes OCASIONALES a la Universidad Distrital Francisco José de Caldas es trasparente y equitativo." fld="22" subtotal="count" baseField="0" baseItem="0"/>
  </dataFields>
  <formats count="1">
    <format dxfId="1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1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6:I6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4"/>
        <item x="3"/>
        <item x="1"/>
        <item x="5"/>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0"/>
  </colFields>
  <colItems count="8">
    <i>
      <x/>
    </i>
    <i>
      <x v="1"/>
    </i>
    <i>
      <x v="2"/>
    </i>
    <i>
      <x v="3"/>
    </i>
    <i>
      <x v="4"/>
    </i>
    <i>
      <x v="5"/>
    </i>
    <i>
      <x v="6"/>
    </i>
    <i t="grand">
      <x/>
    </i>
  </colItems>
  <dataFields count="1">
    <dataField name="Cuenta de 15.3. Considero que el tiempo dedicado por los docentes de mi programa académico es adecuado para: LA PARTICIPACIÓN EN PROYECTOS DIRIGIDOS A LA COMUNIDAD." fld="20" subtotal="count" baseField="0" baseItem="0"/>
  </dataFields>
  <formats count="1">
    <format dxfId="1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0.xml><?xml version="1.0" encoding="utf-8"?>
<pivotTableDefinition xmlns="http://schemas.openxmlformats.org/spreadsheetml/2006/main" name="Tabla dinámica5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G3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2"/>
        <item x="0"/>
        <item m="1" x="5"/>
        <item x="1"/>
        <item m="1" x="6"/>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7"/>
  </colFields>
  <colItems count="6">
    <i>
      <x/>
    </i>
    <i>
      <x v="1"/>
    </i>
    <i>
      <x v="2"/>
    </i>
    <i>
      <x v="4"/>
    </i>
    <i>
      <x v="6"/>
    </i>
    <i t="grand">
      <x/>
    </i>
  </colItems>
  <dataFields count="1">
    <dataField name="Cuenta de 8. Considero que el proceso de admisión de estudiantes a los programas de la Facultad Tecnológica es transparente y equitativo." fld="17" subtotal="count" baseField="0" baseItem="0"/>
  </dataFields>
  <formats count="1">
    <format dxfId="1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1.xml><?xml version="1.0" encoding="utf-8"?>
<pivotTableDefinition xmlns="http://schemas.openxmlformats.org/spreadsheetml/2006/main" name="Tabla dinámica4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2:H12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2"/>
        <item x="3"/>
        <item x="1"/>
        <item m="1" x="6"/>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0"/>
  </colFields>
  <colItems count="7">
    <i>
      <x/>
    </i>
    <i>
      <x v="1"/>
    </i>
    <i>
      <x v="2"/>
    </i>
    <i>
      <x v="3"/>
    </i>
    <i>
      <x v="5"/>
    </i>
    <i>
      <x v="6"/>
    </i>
    <i t="grand">
      <x/>
    </i>
  </colItems>
  <dataFields count="1">
    <dataField name="Cuenta de 29. El plan de estudios del programa académico al cual pertenezco permite desarrollar en los estudiantes competencias investigativas. " fld="40" subtotal="count" baseField="0" baseItem="0"/>
  </dataFields>
  <formats count="1">
    <format dxfId="1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2.xml><?xml version="1.0" encoding="utf-8"?>
<pivotTableDefinition xmlns="http://schemas.openxmlformats.org/spreadsheetml/2006/main" name="Tabla dinámica2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2:G18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3"/>
        <item x="0"/>
        <item m="1" x="5"/>
        <item x="1"/>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5"/>
  </colFields>
  <colItems count="6">
    <i>
      <x/>
    </i>
    <i>
      <x v="1"/>
    </i>
    <i>
      <x v="2"/>
    </i>
    <i>
      <x v="4"/>
    </i>
    <i>
      <x v="5"/>
    </i>
    <i t="grand">
      <x/>
    </i>
  </colItems>
  <dataFields count="1">
    <dataField name="Cuenta de 44. Considero que los métodos de evaluación empleados en el programa académico al cual pertenezco permiten evaluar la adquisición de competencias profesionales por  los estudiantes. " fld="55" subtotal="count" baseField="0" baseItem="0"/>
  </dataFields>
  <formats count="1">
    <format dxfId="1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3.xml><?xml version="1.0" encoding="utf-8"?>
<pivotTableDefinition xmlns="http://schemas.openxmlformats.org/spreadsheetml/2006/main" name="Tabla dinámica2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4:I21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4"/>
        <item x="1"/>
        <item x="0"/>
        <item x="3"/>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3"/>
  </colFields>
  <colItems count="8">
    <i>
      <x/>
    </i>
    <i>
      <x v="1"/>
    </i>
    <i>
      <x v="2"/>
    </i>
    <i>
      <x v="3"/>
    </i>
    <i>
      <x v="4"/>
    </i>
    <i>
      <x v="5"/>
    </i>
    <i>
      <x v="6"/>
    </i>
    <i t="grand">
      <x/>
    </i>
  </colItems>
  <dataFields count="1">
    <dataField name="Cuenta de 51.2. Considero que el material bibliográfico a disposición del programa académico al cual pertenezco es: ADECUADO" fld="63" subtotal="count" baseField="0" baseItem="0"/>
  </dataFields>
  <formats count="1">
    <format dxfId="12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4.xml><?xml version="1.0" encoding="utf-8"?>
<pivotTableDefinition xmlns="http://schemas.openxmlformats.org/spreadsheetml/2006/main" name="Tabla dinámica5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0:I11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0"/>
        <item x="1"/>
        <item x="3"/>
        <item x="4"/>
        <item x="2"/>
        <item x="5"/>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7"/>
  </colFields>
  <colItems count="8">
    <i>
      <x/>
    </i>
    <i>
      <x v="1"/>
    </i>
    <i>
      <x v="2"/>
    </i>
    <i>
      <x v="3"/>
    </i>
    <i>
      <x v="4"/>
    </i>
    <i>
      <x v="5"/>
    </i>
    <i>
      <x v="6"/>
    </i>
    <i t="grand">
      <x/>
    </i>
  </colItems>
  <dataFields count="1">
    <dataField name="Cuenta de 26. El programa académico al cual pertenezco me da a conocer los resultados de la evaluación docente de cada periodo académico." fld="37" subtotal="count" baseField="0" baseItem="0"/>
  </dataFields>
  <formats count="1">
    <format dxfId="1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5.xml><?xml version="1.0" encoding="utf-8"?>
<pivotTableDefinition xmlns="http://schemas.openxmlformats.org/spreadsheetml/2006/main" name="Tabla dinámica7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H3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8"/>
  </colFields>
  <colItems count="7">
    <i>
      <x/>
    </i>
    <i>
      <x v="1"/>
    </i>
    <i>
      <x v="2"/>
    </i>
    <i>
      <x v="3"/>
    </i>
    <i>
      <x v="4"/>
    </i>
    <i>
      <x v="5"/>
    </i>
    <i t="grand">
      <x/>
    </i>
  </colItems>
  <dataFields count="1">
    <dataField name="Cuenta de 9. Me siento cómodo con el número de estudiantes que se inscriben en los diferentes espacios académicos que lidero." fld="18" subtotal="count" baseField="0" baseItem="0"/>
  </dataFields>
  <formats count="1">
    <format dxfId="1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6.xml><?xml version="1.0" encoding="utf-8"?>
<pivotTableDefinition xmlns="http://schemas.openxmlformats.org/spreadsheetml/2006/main" name="Tabla dinámica9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2:H26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0"/>
        <item m="1" x="6"/>
        <item x="1"/>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5"/>
  </colFields>
  <colItems count="7">
    <i>
      <x/>
    </i>
    <i>
      <x v="1"/>
    </i>
    <i>
      <x v="2"/>
    </i>
    <i>
      <x v="4"/>
    </i>
    <i>
      <x v="5"/>
    </i>
    <i>
      <x v="6"/>
    </i>
    <i t="grand">
      <x/>
    </i>
  </colItems>
  <dataFields count="1">
    <dataField name="Cuenta de 54.1. Considero que los equipos de apoyo audiovisual a disposición del programa académico al cual pertenezco son: SUFICIENTES" fld="75" subtotal="count" baseField="0" baseItem="0"/>
  </dataFields>
  <formats count="1">
    <format dxfId="12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7.xml><?xml version="1.0" encoding="utf-8"?>
<pivotTableDefinition xmlns="http://schemas.openxmlformats.org/spreadsheetml/2006/main" name="Tabla dinámica8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2:I14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1"/>
        <item x="4"/>
        <item x="0"/>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5"/>
  </colFields>
  <colItems count="8">
    <i>
      <x/>
    </i>
    <i>
      <x v="1"/>
    </i>
    <i>
      <x v="2"/>
    </i>
    <i>
      <x v="3"/>
    </i>
    <i>
      <x v="4"/>
    </i>
    <i>
      <x v="5"/>
    </i>
    <i>
      <x v="6"/>
    </i>
    <i t="grand">
      <x/>
    </i>
  </colItems>
  <dataFields count="1">
    <dataField name="Cuenta de 34. El programa académico al cual pertenezco incentiva las actividades y proyectos extra clase realizados por docentes y estudiantes. " fld="45" subtotal="count" baseField="0" baseItem="0"/>
  </dataFields>
  <formats count="1">
    <format dxfId="1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8.xml><?xml version="1.0" encoding="utf-8"?>
<pivotTableDefinition xmlns="http://schemas.openxmlformats.org/spreadsheetml/2006/main" name="Tabla dinámica2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8:I26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3"/>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4"/>
  </colFields>
  <colItems count="8">
    <i>
      <x/>
    </i>
    <i>
      <x v="1"/>
    </i>
    <i>
      <x v="2"/>
    </i>
    <i>
      <x v="3"/>
    </i>
    <i>
      <x v="4"/>
    </i>
    <i>
      <x v="5"/>
    </i>
    <i>
      <x v="6"/>
    </i>
    <i t="grand">
      <x/>
    </i>
  </colItems>
  <dataFields count="1">
    <dataField name="Cuenta de 53.7. Considero que los laboratorios y talleres disponibles en el programa académico al cual pertenezco son: DISEÑADOS SEGÚN NORMAS DE SEGURIDAD" fld="74" subtotal="count" baseField="0" baseItem="0"/>
  </dataFields>
  <formats count="1">
    <format dxfId="1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9.xml><?xml version="1.0" encoding="utf-8"?>
<pivotTableDefinition xmlns="http://schemas.openxmlformats.org/spreadsheetml/2006/main" name="Tabla dinámica7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4:I29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0"/>
        <item x="3"/>
        <item x="1"/>
        <item x="5"/>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3"/>
  </colFields>
  <colItems count="8">
    <i>
      <x/>
    </i>
    <i>
      <x v="1"/>
    </i>
    <i>
      <x v="2"/>
    </i>
    <i>
      <x v="3"/>
    </i>
    <i>
      <x v="4"/>
    </i>
    <i>
      <x v="5"/>
    </i>
    <i>
      <x v="6"/>
    </i>
    <i t="grand">
      <x/>
    </i>
  </colItems>
  <dataFields count="1">
    <dataField name="Cuenta de 58.2. Considero que los servicios de Bienestar Universitario son: ADECUADOS" fld="83" subtotal="count" baseField="0" baseItem="0"/>
  </dataFields>
  <formats count="1">
    <format dxfId="1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 dinámica3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2:I12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0"/>
        <item x="1"/>
        <item x="2"/>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4"/>
  </colFields>
  <colItems count="8">
    <i>
      <x/>
    </i>
    <i>
      <x v="1"/>
    </i>
    <i>
      <x v="2"/>
    </i>
    <i>
      <x v="3"/>
    </i>
    <i>
      <x v="4"/>
    </i>
    <i>
      <x v="5"/>
    </i>
    <i>
      <x v="6"/>
    </i>
    <i t="grand">
      <x/>
    </i>
  </colItems>
  <dataFields count="1">
    <dataField name="Cuenta de 25. En mi programa académico existen cursos de interés para los estudiantes de otros programas académicos de la Facultad Tecnológica y de la Universidad Distrital Francisco José de Caldas." fld="34" subtotal="count" baseField="0" baseItem="0"/>
  </dataFields>
  <formats count="1">
    <format dxfId="19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0.xml><?xml version="1.0" encoding="utf-8"?>
<pivotTableDefinition xmlns="http://schemas.openxmlformats.org/spreadsheetml/2006/main" name="Tabla dinámica2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4:H13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4"/>
        <item x="2"/>
        <item m="1" x="6"/>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3"/>
  </colFields>
  <colItems count="7">
    <i>
      <x/>
    </i>
    <i>
      <x v="1"/>
    </i>
    <i>
      <x v="2"/>
    </i>
    <i>
      <x v="4"/>
    </i>
    <i>
      <x v="5"/>
    </i>
    <i>
      <x v="6"/>
    </i>
    <i t="grand">
      <x/>
    </i>
  </colItems>
  <dataFields count="1">
    <dataField name="Cuenta de 32. El programa académico al cual pertenezco incentiva el desarrollo de proyectos de grado con participación interdisciplinaria." fld="43" subtotal="count" baseField="0" baseItem="0"/>
  </dataFields>
  <formats count="1">
    <format dxfId="13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1.xml><?xml version="1.0" encoding="utf-8"?>
<pivotTableDefinition xmlns="http://schemas.openxmlformats.org/spreadsheetml/2006/main" name="Tabla dinámica6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4:H27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m="1" x="6"/>
        <item x="2"/>
        <item x="0"/>
        <item x="1"/>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8"/>
  </colFields>
  <colItems count="7">
    <i>
      <x/>
    </i>
    <i>
      <x v="2"/>
    </i>
    <i>
      <x v="3"/>
    </i>
    <i>
      <x v="4"/>
    </i>
    <i>
      <x v="5"/>
    </i>
    <i>
      <x v="6"/>
    </i>
    <i t="grand">
      <x/>
    </i>
  </colItems>
  <dataFields count="1">
    <dataField name="Cuenta de 54.4. Considero que los equipos de apoyo audiovisual a disposición del programa académico al cual pertenezco son: SOPORTADOS POR PERSONAL DEBIDAMENTE CAPACITADO" fld="78" subtotal="count" baseField="0" baseItem="0"/>
  </dataFields>
  <formats count="1">
    <format dxfId="1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2.xml><?xml version="1.0" encoding="utf-8"?>
<pivotTableDefinition xmlns="http://schemas.openxmlformats.org/spreadsheetml/2006/main" name="Tabla dinámica9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8:I30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2"/>
        <item x="0"/>
        <item x="1"/>
        <item x="4"/>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4"/>
  </colFields>
  <colItems count="8">
    <i>
      <x/>
    </i>
    <i>
      <x v="1"/>
    </i>
    <i>
      <x v="2"/>
    </i>
    <i>
      <x v="3"/>
    </i>
    <i>
      <x v="4"/>
    </i>
    <i>
      <x v="5"/>
    </i>
    <i>
      <x v="6"/>
    </i>
    <i t="grand">
      <x/>
    </i>
  </colItems>
  <dataFields count="1">
    <dataField name="Cuenta de 58.3. Considero que los servicios de Bienestar Universitario son: ACCESIBLES" fld="84" subtotal="count" baseField="0" baseItem="0"/>
  </dataFields>
  <formats count="1">
    <format dxfId="1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3.xml><?xml version="1.0" encoding="utf-8"?>
<pivotTableDefinition xmlns="http://schemas.openxmlformats.org/spreadsheetml/2006/main" name="Tabla dinámica6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G2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0"/>
        <item m="1" x="5"/>
        <item x="1"/>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4"/>
  </colFields>
  <colItems count="6">
    <i>
      <x/>
    </i>
    <i>
      <x v="1"/>
    </i>
    <i>
      <x v="2"/>
    </i>
    <i>
      <x v="4"/>
    </i>
    <i>
      <x v="5"/>
    </i>
    <i t="grand">
      <x/>
    </i>
  </colItems>
  <dataFields count="1">
    <dataField name="Cuenta de 5. Conozco el proyecto educativo (PEP) del programa académico al cual pertenezco." fld="14" subtotal="count" baseField="0" baseItem="0"/>
  </dataFields>
  <formats count="1">
    <format dxfId="1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4.xml><?xml version="1.0" encoding="utf-8"?>
<pivotTableDefinition xmlns="http://schemas.openxmlformats.org/spreadsheetml/2006/main" name="Tabla dinámica3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0:I29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0"/>
        <item x="2"/>
        <item x="1"/>
        <item x="5"/>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2"/>
  </colFields>
  <colItems count="8">
    <i>
      <x/>
    </i>
    <i>
      <x v="1"/>
    </i>
    <i>
      <x v="2"/>
    </i>
    <i>
      <x v="3"/>
    </i>
    <i>
      <x v="4"/>
    </i>
    <i>
      <x v="5"/>
    </i>
    <i>
      <x v="6"/>
    </i>
    <i t="grand">
      <x/>
    </i>
  </colItems>
  <dataFields count="1">
    <dataField name="Cuenta de 58.1. Considero que los servicios de Bienestar Universitario son: SUFICIENTES" fld="82" subtotal="count" baseField="0" baseItem="0"/>
  </dataFields>
  <formats count="1">
    <format dxfId="1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5.xml><?xml version="1.0" encoding="utf-8"?>
<pivotTableDefinition xmlns="http://schemas.openxmlformats.org/spreadsheetml/2006/main" name="Tabla dinámica3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66:F16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1"/>
        <item m="1" x="4"/>
        <item x="0"/>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1"/>
  </colFields>
  <colItems count="5">
    <i>
      <x/>
    </i>
    <i>
      <x v="2"/>
    </i>
    <i>
      <x v="3"/>
    </i>
    <i>
      <x v="4"/>
    </i>
    <i t="grand">
      <x/>
    </i>
  </colItems>
  <dataFields count="1">
    <dataField name="Cuenta de 40. Considero que ser tecnólogo brinda oportunidades para la vinculación en el mercado laboral." fld="51" subtotal="count" baseField="0" baseItem="0"/>
  </dataFields>
  <formats count="1">
    <format dxfId="1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6.xml><?xml version="1.0" encoding="utf-8"?>
<pivotTableDefinition xmlns="http://schemas.openxmlformats.org/spreadsheetml/2006/main" name="Tabla dinámica5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82:I28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5"/>
        <item x="1"/>
        <item x="0"/>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0"/>
  </colFields>
  <colItems count="8">
    <i>
      <x/>
    </i>
    <i>
      <x v="1"/>
    </i>
    <i>
      <x v="2"/>
    </i>
    <i>
      <x v="3"/>
    </i>
    <i>
      <x v="4"/>
    </i>
    <i>
      <x v="5"/>
    </i>
    <i>
      <x v="6"/>
    </i>
    <i t="grand">
      <x/>
    </i>
  </colItems>
  <dataFields count="1">
    <dataField name="Cuenta de 56. Considero que el programa académico al cual pertenezco promueve la participación en grupos de investigación. " fld="80" subtotal="count" baseField="0" baseItem="0"/>
  </dataFields>
  <formats count="1">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7.xml><?xml version="1.0" encoding="utf-8"?>
<pivotTableDefinition xmlns="http://schemas.openxmlformats.org/spreadsheetml/2006/main" name="Tabla dinámica7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8:H18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0"/>
        <item x="1"/>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4"/>
  </colFields>
  <colItems count="7">
    <i>
      <x/>
    </i>
    <i>
      <x v="1"/>
    </i>
    <i>
      <x v="2"/>
    </i>
    <i>
      <x v="3"/>
    </i>
    <i>
      <x v="4"/>
    </i>
    <i>
      <x v="5"/>
    </i>
    <i t="grand">
      <x/>
    </i>
  </colItems>
  <dataFields count="1">
    <dataField name="Cuenta de 43. Conozco cuales son los criterios, políticas y reglamentación de la evaluación académica de los estudiantes.  " fld="54" subtotal="count" baseField="0" baseItem="0"/>
  </dataFields>
  <formats count="1">
    <format dxfId="1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8.xml><?xml version="1.0" encoding="utf-8"?>
<pivotTableDefinition xmlns="http://schemas.openxmlformats.org/spreadsheetml/2006/main" name="Tabla dinámica6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62:H16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4"/>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0"/>
  </colFields>
  <colItems count="7">
    <i>
      <x/>
    </i>
    <i>
      <x v="1"/>
    </i>
    <i>
      <x v="2"/>
    </i>
    <i>
      <x v="3"/>
    </i>
    <i>
      <x v="4"/>
    </i>
    <i>
      <x v="5"/>
    </i>
    <i t="grand">
      <x/>
    </i>
  </colItems>
  <dataFields count="1">
    <dataField name="Cuenta de 39. Tengo claro qué es y para qué sirve el componente propedéutico en un programa de ingeniería por ciclos." fld="50" subtotal="count" baseField="0" baseItem="0"/>
  </dataFields>
  <formats count="1">
    <format dxfId="1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9.xml><?xml version="1.0" encoding="utf-8"?>
<pivotTableDefinition xmlns="http://schemas.openxmlformats.org/spreadsheetml/2006/main" name="Tabla dinámica3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8:H14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m="1" x="6"/>
        <item x="2"/>
        <item x="0"/>
        <item x="1"/>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4"/>
  </colFields>
  <colItems count="7">
    <i>
      <x/>
    </i>
    <i>
      <x v="2"/>
    </i>
    <i>
      <x v="3"/>
    </i>
    <i>
      <x v="4"/>
    </i>
    <i>
      <x v="5"/>
    </i>
    <i>
      <x v="6"/>
    </i>
    <i t="grand">
      <x/>
    </i>
  </colItems>
  <dataFields count="1">
    <dataField name="Cuenta de 33. El plan de estudios del programa académico al cual pertenezco ofrece la suficiente variedad de espacios académicos electivos. " fld="44" subtotal="count" baseField="0" baseItem="0"/>
  </dataFields>
  <formats count="1">
    <format dxfId="1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 dinámica7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86:I28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0"/>
        <item x="2"/>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5"/>
  </colFields>
  <colItems count="8">
    <i>
      <x/>
    </i>
    <i>
      <x v="1"/>
    </i>
    <i>
      <x v="2"/>
    </i>
    <i>
      <x v="3"/>
    </i>
    <i>
      <x v="4"/>
    </i>
    <i>
      <x v="5"/>
    </i>
    <i>
      <x v="6"/>
    </i>
    <i t="grand">
      <x/>
    </i>
  </colItems>
  <dataFields count="1">
    <dataField name="Cuenta de 53. Mi programa académico promueve la participación en proyectos de investigación." fld="75" subtotal="count" baseField="0" baseItem="0"/>
  </dataFields>
  <formats count="1">
    <format dxfId="2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0.xml><?xml version="1.0" encoding="utf-8"?>
<pivotTableDefinition xmlns="http://schemas.openxmlformats.org/spreadsheetml/2006/main" name="Tabla dinámica5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8:H20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2"/>
        <item x="1"/>
        <item m="1" x="6"/>
        <item x="0"/>
        <item x="3"/>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9"/>
  </colFields>
  <colItems count="7">
    <i>
      <x/>
    </i>
    <i>
      <x v="1"/>
    </i>
    <i>
      <x v="2"/>
    </i>
    <i>
      <x v="4"/>
    </i>
    <i>
      <x v="5"/>
    </i>
    <i>
      <x v="6"/>
    </i>
    <i t="grand">
      <x/>
    </i>
  </colItems>
  <dataFields count="1">
    <dataField name="Cuenta de 48. Puedo identificar mejoras realizadas en el programa académico al cual pertenezco durante el último año." fld="59" subtotal="count" baseField="0" baseItem="0"/>
  </dataFields>
  <formats count="1">
    <format dxfId="1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1.xml><?xml version="1.0" encoding="utf-8"?>
<pivotTableDefinition xmlns="http://schemas.openxmlformats.org/spreadsheetml/2006/main" name="Tabla dinámica5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6:H34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4"/>
        <item x="1"/>
        <item m="1" x="6"/>
        <item x="0"/>
        <item x="2"/>
        <item x="5"/>
      </items>
    </pivotField>
    <pivotField showAll="0" defaultSubtotal="0"/>
    <pivotField showAll="0"/>
  </pivotFields>
  <rowItems count="1">
    <i/>
  </rowItems>
  <colFields count="1">
    <field x="96"/>
  </colFields>
  <colItems count="7">
    <i>
      <x/>
    </i>
    <i>
      <x v="1"/>
    </i>
    <i>
      <x v="2"/>
    </i>
    <i>
      <x v="4"/>
    </i>
    <i>
      <x v="5"/>
    </i>
    <i>
      <x v="6"/>
    </i>
    <i t="grand">
      <x/>
    </i>
  </colItems>
  <dataFields count="1">
    <dataField name="Cuenta de 67.2. Considero que la planta física empleada por el programa académico al cual pertenezco es: SUFICIENTE" fld="96" subtotal="count" baseField="0" baseItem="0"/>
  </dataFields>
  <formats count="1">
    <format dxfId="1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2.xml><?xml version="1.0" encoding="utf-8"?>
<pivotTableDefinition xmlns="http://schemas.openxmlformats.org/spreadsheetml/2006/main" name="Tabla dinámica4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H2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1"/>
        <item x="2"/>
        <item m="1" x="6"/>
        <item x="0"/>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5"/>
  </colFields>
  <colItems count="7">
    <i>
      <x/>
    </i>
    <i>
      <x v="1"/>
    </i>
    <i>
      <x v="2"/>
    </i>
    <i>
      <x v="4"/>
    </i>
    <i>
      <x v="5"/>
    </i>
    <i>
      <x v="6"/>
    </i>
    <i t="grand">
      <x/>
    </i>
  </colItems>
  <dataFields count="1">
    <dataField name="Cuenta de 6. He participado en la elaboración, discusión y actualización del Proyecto Educativo de Programa." fld="15" subtotal="count" baseField="0" baseItem="0"/>
  </dataFields>
  <formats count="1">
    <format dxfId="1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3.xml><?xml version="1.0" encoding="utf-8"?>
<pivotTableDefinition xmlns="http://schemas.openxmlformats.org/spreadsheetml/2006/main" name="Tabla dinámica8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02:I20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2"/>
        <item x="4"/>
        <item x="5"/>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0"/>
  </colFields>
  <colItems count="8">
    <i>
      <x/>
    </i>
    <i>
      <x v="1"/>
    </i>
    <i>
      <x v="2"/>
    </i>
    <i>
      <x v="3"/>
    </i>
    <i>
      <x v="4"/>
    </i>
    <i>
      <x v="5"/>
    </i>
    <i>
      <x v="6"/>
    </i>
    <i t="grand">
      <x/>
    </i>
  </colItems>
  <dataFields count="1">
    <dataField name="Cuenta de 49. He participado en proyectos dirigidos a la comunidad y liderados por el programa académico al cual pertenezco." fld="60" subtotal="count" baseField="0" baseItem="0"/>
  </dataFields>
  <formats count="1">
    <format dxfId="1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4.xml><?xml version="1.0" encoding="utf-8"?>
<pivotTableDefinition xmlns="http://schemas.openxmlformats.org/spreadsheetml/2006/main" name="Tabla dinámica7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6:I22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1"/>
        <item x="4"/>
        <item x="0"/>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6"/>
  </colFields>
  <colItems count="8">
    <i>
      <x/>
    </i>
    <i>
      <x v="1"/>
    </i>
    <i>
      <x v="2"/>
    </i>
    <i>
      <x v="3"/>
    </i>
    <i>
      <x v="4"/>
    </i>
    <i>
      <x v="5"/>
    </i>
    <i>
      <x v="6"/>
    </i>
    <i t="grand">
      <x/>
    </i>
  </colItems>
  <dataFields count="1">
    <dataField name="Cuenta de 52.2. Considero que los computadores y software disponibles en el programa académico al cual pertenezco son: ADECUADO" fld="66" subtotal="count" baseField="0" baseItem="0"/>
  </dataFields>
  <formats count="1">
    <format dxfId="1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5.xml><?xml version="1.0" encoding="utf-8"?>
<pivotTableDefinition xmlns="http://schemas.openxmlformats.org/spreadsheetml/2006/main" name="Tabla dinámica1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0:H35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4"/>
        <item x="1"/>
        <item m="1" x="6"/>
        <item x="0"/>
        <item x="2"/>
        <item x="5"/>
      </items>
    </pivotField>
    <pivotField showAll="0"/>
  </pivotFields>
  <rowItems count="1">
    <i/>
  </rowItems>
  <colFields count="1">
    <field x="97"/>
  </colFields>
  <colItems count="7">
    <i>
      <x/>
    </i>
    <i>
      <x v="1"/>
    </i>
    <i>
      <x v="2"/>
    </i>
    <i>
      <x v="4"/>
    </i>
    <i>
      <x v="5"/>
    </i>
    <i>
      <x v="6"/>
    </i>
    <i t="grand">
      <x/>
    </i>
  </colItems>
  <dataFields count="1">
    <dataField name="Cuenta de 67.3. Considero que la planta física empleada por el programa académico al cual pertenezco es: MANTENIDA APROPIADAMENTE." fld="97" subtotal="count" baseField="0" baseItem="0"/>
  </dataFields>
  <formats count="1">
    <format dxfId="1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6.xml><?xml version="1.0" encoding="utf-8"?>
<pivotTableDefinition xmlns="http://schemas.openxmlformats.org/spreadsheetml/2006/main" name="Tabla dinámica3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8:H16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0"/>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9"/>
  </colFields>
  <colItems count="7">
    <i>
      <x/>
    </i>
    <i>
      <x v="1"/>
    </i>
    <i>
      <x v="2"/>
    </i>
    <i>
      <x v="3"/>
    </i>
    <i>
      <x v="4"/>
    </i>
    <i>
      <x v="5"/>
    </i>
    <i t="grand">
      <x/>
    </i>
  </colItems>
  <dataFields count="1">
    <dataField name="Cuenta de 38. Conozco las diferencias entre los programas de formación en ingeniería por ciclos y los programas de ingeniería tradicional." fld="49" subtotal="count" baseField="0" baseItem="0"/>
  </dataFields>
  <formats count="1">
    <format dxfId="1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7.xml><?xml version="1.0" encoding="utf-8"?>
<pivotTableDefinition xmlns="http://schemas.openxmlformats.org/spreadsheetml/2006/main" name="Tabla dinámica3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26:H32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4"/>
        <item x="3"/>
        <item m="1" x="6"/>
        <item x="0"/>
        <item x="1"/>
        <item x="5"/>
      </items>
    </pivotField>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91"/>
  </colFields>
  <colItems count="7">
    <i>
      <x/>
    </i>
    <i>
      <x v="1"/>
    </i>
    <i>
      <x v="2"/>
    </i>
    <i>
      <x v="4"/>
    </i>
    <i>
      <x v="5"/>
    </i>
    <i>
      <x v="6"/>
    </i>
    <i t="grand">
      <x/>
    </i>
  </colItems>
  <dataFields count="1">
    <dataField name="Cuenta de 63. Considero que los sistemas de información empleados por el programa académico al cual pertenezco son efectivos." fld="91" subtotal="count" baseField="0" baseItem="0"/>
  </dataFields>
  <formats count="1">
    <format dxfId="1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8.xml><?xml version="1.0" encoding="utf-8"?>
<pivotTableDefinition xmlns="http://schemas.openxmlformats.org/spreadsheetml/2006/main" name="Tabla dinámica8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4:I17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5"/>
        <item x="3"/>
        <item x="1"/>
        <item x="0"/>
        <item x="4"/>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3"/>
  </colFields>
  <colItems count="8">
    <i>
      <x/>
    </i>
    <i>
      <x v="1"/>
    </i>
    <i>
      <x v="2"/>
    </i>
    <i>
      <x v="3"/>
    </i>
    <i>
      <x v="4"/>
    </i>
    <i>
      <x v="5"/>
    </i>
    <i>
      <x v="6"/>
    </i>
    <i t="grand">
      <x/>
    </i>
  </colItems>
  <dataFields count="1">
    <dataField name="Cuenta de 42. Considero que el paso por el nivel de ingeniería  mejora las competencias que se han desarrollado en el nivel tecnológico. " fld="53" subtotal="count" baseField="0" baseItem="0"/>
  </dataFields>
  <formats count="1">
    <format dxfId="14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9.xml><?xml version="1.0" encoding="utf-8"?>
<pivotTableDefinition xmlns="http://schemas.openxmlformats.org/spreadsheetml/2006/main" name="Tabla dinámica6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6:G6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2"/>
        <item x="1"/>
        <item m="1" x="5"/>
        <item m="1" x="6"/>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6"/>
  </colFields>
  <colItems count="6">
    <i>
      <x/>
    </i>
    <i>
      <x v="1"/>
    </i>
    <i>
      <x v="2"/>
    </i>
    <i>
      <x v="5"/>
    </i>
    <i>
      <x v="6"/>
    </i>
    <i t="grand">
      <x/>
    </i>
  </colItems>
  <dataFields count="1">
    <dataField name="Cuenta de 17. Conozco los procedimientos para hacer parte de los órganos de dirección del programa académico al cual pertenezco, de la Facultad Tecnológica y de la Universidad Distrital Francisco José de Caldas." fld="26" subtotal="count" baseField="0" baseItem="0"/>
  </dataFields>
  <formats count="1">
    <format dxfId="1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 dinámica1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0:I5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5"/>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6"/>
  </colFields>
  <colItems count="8">
    <i>
      <x/>
    </i>
    <i>
      <x v="1"/>
    </i>
    <i>
      <x v="2"/>
    </i>
    <i>
      <x v="3"/>
    </i>
    <i>
      <x v="4"/>
    </i>
    <i>
      <x v="5"/>
    </i>
    <i>
      <x v="6"/>
    </i>
    <i t="grand">
      <x/>
    </i>
  </colItems>
  <dataFields count="1">
    <dataField name="Cuenta de 13. Considero que la evaluación de docentes se utiliza para definir la permanencia de los docentes de mi programa académico." fld="16" subtotal="count" baseField="0" baseItem="0"/>
  </dataFields>
  <formats count="1">
    <format dxfId="20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0.xml><?xml version="1.0" encoding="utf-8"?>
<pivotTableDefinition xmlns="http://schemas.openxmlformats.org/spreadsheetml/2006/main" name="Tabla dinámica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4:I19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2"/>
        <item x="1"/>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8"/>
  </colFields>
  <colItems count="8">
    <i>
      <x/>
    </i>
    <i>
      <x v="1"/>
    </i>
    <i>
      <x v="2"/>
    </i>
    <i>
      <x v="3"/>
    </i>
    <i>
      <x v="4"/>
    </i>
    <i>
      <x v="5"/>
    </i>
    <i>
      <x v="6"/>
    </i>
    <i t="grand">
      <x/>
    </i>
  </colItems>
  <dataFields count="1">
    <dataField name="Cuenta de 47. He participado en procesos para la evaluación periódica de la pertinencia y calidad del programa académico al cual pertenezco." fld="58" subtotal="count" baseField="0" baseItem="0"/>
  </dataFields>
  <formats count="1">
    <format dxfId="15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1.xml><?xml version="1.0" encoding="utf-8"?>
<pivotTableDefinition xmlns="http://schemas.openxmlformats.org/spreadsheetml/2006/main" name="Tabla dinámica4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86:I28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1"/>
  </colFields>
  <colItems count="8">
    <i>
      <x/>
    </i>
    <i>
      <x v="1"/>
    </i>
    <i>
      <x v="2"/>
    </i>
    <i>
      <x v="3"/>
    </i>
    <i>
      <x v="4"/>
    </i>
    <i>
      <x v="5"/>
    </i>
    <i>
      <x v="6"/>
    </i>
    <i t="grand">
      <x/>
    </i>
  </colItems>
  <dataFields count="1">
    <dataField name="Cuenta de 57. El programa académico al cual pertenezco muestra una dinámica de integración a redes académicas externas. " fld="81" subtotal="count" baseField="0" baseItem="0"/>
  </dataFields>
  <formats count="1">
    <format dxfId="15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2.xml><?xml version="1.0" encoding="utf-8"?>
<pivotTableDefinition xmlns="http://schemas.openxmlformats.org/spreadsheetml/2006/main" name="Tabla dinámica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4:H33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2"/>
        <item m="1" x="6"/>
        <item x="1"/>
        <item x="0"/>
        <item x="5"/>
      </items>
    </pivotField>
    <pivotField showAll="0" defaultSubtotal="0"/>
    <pivotField showAll="0" defaultSubtotal="0"/>
    <pivotField showAll="0" defaultSubtotal="0"/>
    <pivotField showAll="0" defaultSubtotal="0"/>
    <pivotField showAll="0"/>
  </pivotFields>
  <rowItems count="1">
    <i/>
  </rowItems>
  <colFields count="1">
    <field x="93"/>
  </colFields>
  <colItems count="7">
    <i>
      <x/>
    </i>
    <i>
      <x v="1"/>
    </i>
    <i>
      <x v="2"/>
    </i>
    <i>
      <x v="4"/>
    </i>
    <i>
      <x v="5"/>
    </i>
    <i>
      <x v="6"/>
    </i>
    <i t="grand">
      <x/>
    </i>
  </colItems>
  <dataFields count="1">
    <dataField name="Cuenta de 65. Me entero de las decisiones del Consejo Curricular del programa académico al cual pertenezco." fld="93" subtotal="count" baseField="0" baseItem="0"/>
  </dataFields>
  <formats count="1">
    <format dxfId="1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3.xml><?xml version="1.0" encoding="utf-8"?>
<pivotTableDefinition xmlns="http://schemas.openxmlformats.org/spreadsheetml/2006/main" name="Tabla dinámica4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4:I23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5"/>
        <item x="2"/>
        <item x="0"/>
        <item x="4"/>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8"/>
  </colFields>
  <colItems count="8">
    <i>
      <x/>
    </i>
    <i>
      <x v="1"/>
    </i>
    <i>
      <x v="2"/>
    </i>
    <i>
      <x v="3"/>
    </i>
    <i>
      <x v="4"/>
    </i>
    <i>
      <x v="5"/>
    </i>
    <i>
      <x v="6"/>
    </i>
    <i t="grand">
      <x/>
    </i>
  </colItems>
  <dataFields count="1">
    <dataField name="Cuenta de 53.1. Considero que los laboratorios y talleres disponibles en el programa académico al cual pertenezco son: SUFICIENTES" fld="68" subtotal="count" baseField="0" baseItem="0"/>
  </dataFields>
  <formats count="1">
    <format dxfId="1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4.xml><?xml version="1.0" encoding="utf-8"?>
<pivotTableDefinition xmlns="http://schemas.openxmlformats.org/spreadsheetml/2006/main" name="Tabla dinámica5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8:G12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3"/>
        <item m="1" x="5"/>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9"/>
  </colFields>
  <colItems count="6">
    <i>
      <x/>
    </i>
    <i>
      <x v="1"/>
    </i>
    <i>
      <x v="3"/>
    </i>
    <i>
      <x v="4"/>
    </i>
    <i>
      <x v="5"/>
    </i>
    <i t="grand">
      <x/>
    </i>
  </colItems>
  <dataFields count="1">
    <dataField name="Cuenta de 28. El plan de estudios del programa académico al cual pertenezco es coherente con el perfil profesional y ocupacional que se espera alcanzar." fld="39" subtotal="count" baseField="0" baseItem="0"/>
  </dataFields>
  <formats count="1">
    <format dxfId="1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5.xml><?xml version="1.0" encoding="utf-8"?>
<pivotTableDefinition xmlns="http://schemas.openxmlformats.org/spreadsheetml/2006/main" name="Tabla dinámica4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0:H17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4"/>
        <item x="1"/>
        <item x="0"/>
        <item x="3"/>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2"/>
  </colFields>
  <colItems count="7">
    <i>
      <x/>
    </i>
    <i>
      <x v="1"/>
    </i>
    <i>
      <x v="2"/>
    </i>
    <i>
      <x v="3"/>
    </i>
    <i>
      <x v="4"/>
    </i>
    <i>
      <x v="5"/>
    </i>
    <i t="grand">
      <x/>
    </i>
  </colItems>
  <dataFields count="1">
    <dataField name="Cuenta de 41. Considero que ser ingeniero mejora las condiciones laborales del tecnólogo. " fld="52" subtotal="count" baseField="0" baseItem="0"/>
  </dataFields>
  <formats count="1">
    <format dxfId="1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6.xml><?xml version="1.0" encoding="utf-8"?>
<pivotTableDefinition xmlns="http://schemas.openxmlformats.org/spreadsheetml/2006/main" name="Tabla dinámica8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8:I22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4"/>
        <item x="1"/>
        <item x="0"/>
        <item x="3"/>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4"/>
  </colFields>
  <colItems count="8">
    <i>
      <x/>
    </i>
    <i>
      <x v="1"/>
    </i>
    <i>
      <x v="2"/>
    </i>
    <i>
      <x v="3"/>
    </i>
    <i>
      <x v="4"/>
    </i>
    <i>
      <x v="5"/>
    </i>
    <i>
      <x v="6"/>
    </i>
    <i t="grand">
      <x/>
    </i>
  </colItems>
  <dataFields count="1">
    <dataField name="Cuenta de 51.3. Considero que el material bibliográfico a disposición del programa académico al cual pertenezco es: ACTUALIZADO" fld="64" subtotal="count" baseField="0" baseItem="0"/>
  </dataFields>
  <formats count="1">
    <format dxfId="15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7.xml><?xml version="1.0" encoding="utf-8"?>
<pivotTableDefinition xmlns="http://schemas.openxmlformats.org/spreadsheetml/2006/main" name="Tabla dinámica6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8:H24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0"/>
        <item x="2"/>
        <item x="1"/>
        <item m="1" x="6"/>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9"/>
  </colFields>
  <colItems count="7">
    <i>
      <x/>
    </i>
    <i>
      <x v="1"/>
    </i>
    <i>
      <x v="2"/>
    </i>
    <i>
      <x v="3"/>
    </i>
    <i>
      <x v="4"/>
    </i>
    <i>
      <x v="6"/>
    </i>
    <i t="grand">
      <x/>
    </i>
  </colItems>
  <dataFields count="1">
    <dataField name="Cuenta de 53.2. Considero que los laboratorios y talleres disponibles en el programa académico al cual pertenezco son: ADECUADOS" fld="69" subtotal="count" baseField="0" baseItem="0"/>
  </dataFields>
  <formats count="1">
    <format dxfId="15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8.xml><?xml version="1.0" encoding="utf-8"?>
<pivotTableDefinition xmlns="http://schemas.openxmlformats.org/spreadsheetml/2006/main" name="Tabla dinámica1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42:I24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3"/>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0"/>
  </colFields>
  <colItems count="8">
    <i>
      <x/>
    </i>
    <i>
      <x v="1"/>
    </i>
    <i>
      <x v="2"/>
    </i>
    <i>
      <x v="3"/>
    </i>
    <i>
      <x v="4"/>
    </i>
    <i>
      <x v="5"/>
    </i>
    <i>
      <x v="6"/>
    </i>
    <i t="grand">
      <x/>
    </i>
  </colItems>
  <dataFields count="1">
    <dataField name="Cuenta de 53.3. Considero que los laboratorios y talleres disponibles en el programa académico al cual pertenezco son: ACTUALIZADOS" fld="70" subtotal="count" baseField="0" baseItem="0"/>
  </dataFields>
  <formats count="1">
    <format dxfId="15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9.xml><?xml version="1.0" encoding="utf-8"?>
<pivotTableDefinition xmlns="http://schemas.openxmlformats.org/spreadsheetml/2006/main" name="Tabla dinámica3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G1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2"/>
        <item x="3"/>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3"/>
  </colFields>
  <colItems count="6">
    <i>
      <x/>
    </i>
    <i>
      <x v="1"/>
    </i>
    <i>
      <x v="2"/>
    </i>
    <i>
      <x v="3"/>
    </i>
    <i>
      <x v="4"/>
    </i>
    <i t="grand">
      <x/>
    </i>
  </colItems>
  <dataFields count="1">
    <dataField name="Cuenta de 4. Considero que la Universidad Distrital Francisco José de Caldas desarrolla una educación de alta calidad con capacidad de responder a los retos del Distrito Capital y del país." fld="13" subtotal="count" baseField="0" baseItem="0"/>
  </dataFields>
  <formats count="1">
    <format dxfId="1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 dinámica9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62:I36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3"/>
        <item x="1"/>
        <item x="2"/>
        <item x="0"/>
        <item x="6"/>
        <item t="default"/>
      </items>
    </pivotField>
    <pivotField showAll="0"/>
    <pivotField showAll="0"/>
    <pivotField showAll="0"/>
    <pivotField showAll="0"/>
    <pivotField showAll="0"/>
    <pivotField showAll="0"/>
    <pivotField showAll="0"/>
    <pivotField showAll="0"/>
  </pivotFields>
  <rowItems count="1">
    <i/>
  </rowItems>
  <colFields count="1">
    <field x="94"/>
  </colFields>
  <colItems count="8">
    <i>
      <x/>
    </i>
    <i>
      <x v="1"/>
    </i>
    <i>
      <x v="2"/>
    </i>
    <i>
      <x v="3"/>
    </i>
    <i>
      <x v="4"/>
    </i>
    <i>
      <x v="5"/>
    </i>
    <i>
      <x v="6"/>
    </i>
    <i t="grand">
      <x/>
    </i>
  </colItems>
  <dataFields count="1">
    <dataField name="Cuenta de 67.1. Considero que los medios empleados para la difusión de información de mi programa académico son: VERACES." fld="94" subtotal="count" baseField="0" baseItem="0"/>
  </dataFields>
  <formats count="1">
    <format dxfId="2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0.xml><?xml version="1.0" encoding="utf-8"?>
<pivotTableDefinition xmlns="http://schemas.openxmlformats.org/spreadsheetml/2006/main" name="Tabla dinámica9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E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1"/>
        <item m="1" x="4"/>
        <item m="1" x="3"/>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0"/>
  </colFields>
  <colItems count="4">
    <i>
      <x/>
    </i>
    <i>
      <x v="3"/>
    </i>
    <i>
      <x v="4"/>
    </i>
    <i t="grand">
      <x/>
    </i>
  </colItems>
  <dataFields count="1">
    <dataField name="Cuenta de 1. Conozco la misión de la Universidad Distrital Francisco José de Caldas." fld="10" subtotal="count" baseField="0" baseItem="0"/>
  </dataFields>
  <formats count="1">
    <format dxfId="1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1.xml><?xml version="1.0" encoding="utf-8"?>
<pivotTableDefinition xmlns="http://schemas.openxmlformats.org/spreadsheetml/2006/main" name="Tabla dinámica1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4:I15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8"/>
  </colFields>
  <colItems count="8">
    <i>
      <x/>
    </i>
    <i>
      <x v="1"/>
    </i>
    <i>
      <x v="2"/>
    </i>
    <i>
      <x v="3"/>
    </i>
    <i>
      <x v="4"/>
    </i>
    <i>
      <x v="5"/>
    </i>
    <i>
      <x v="6"/>
    </i>
    <i t="grand">
      <x/>
    </i>
  </colItems>
  <dataFields count="1">
    <dataField name="Cuenta de 37. Considero que el programa académico al cual pertenezco reflexiona permanentemente sobre los métodos de enseñanza- aprendizaje empleados. " fld="48" subtotal="count" baseField="0" baseItem="0"/>
  </dataFields>
  <formats count="1">
    <format dxfId="1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2.xml><?xml version="1.0" encoding="utf-8"?>
<pivotTableDefinition xmlns="http://schemas.openxmlformats.org/spreadsheetml/2006/main" name="Tabla dinámica6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4:I11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1"/>
        <item x="0"/>
        <item x="2"/>
        <item x="3"/>
        <item x="4"/>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8"/>
  </colFields>
  <colItems count="8">
    <i>
      <x/>
    </i>
    <i>
      <x v="1"/>
    </i>
    <i>
      <x v="2"/>
    </i>
    <i>
      <x v="3"/>
    </i>
    <i>
      <x v="4"/>
    </i>
    <i>
      <x v="5"/>
    </i>
    <i>
      <x v="6"/>
    </i>
    <i t="grand">
      <x/>
    </i>
  </colItems>
  <dataFields count="1">
    <dataField name="Cuenta de 27. El programa académico al cual pertenezco utiliza los resultados de la evaluación docente para implementar acciones de mejora. " fld="38" subtotal="count" baseField="0" baseItem="0"/>
  </dataFields>
  <formats count="1">
    <format dxfId="1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3.xml><?xml version="1.0" encoding="utf-8"?>
<pivotTableDefinition xmlns="http://schemas.openxmlformats.org/spreadsheetml/2006/main" name="Tabla dinámica6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0:H15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3"/>
        <item x="1"/>
        <item m="1" x="6"/>
        <item x="0"/>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7"/>
  </colFields>
  <colItems count="7">
    <i>
      <x/>
    </i>
    <i>
      <x v="1"/>
    </i>
    <i>
      <x v="2"/>
    </i>
    <i>
      <x v="4"/>
    </i>
    <i>
      <x v="5"/>
    </i>
    <i>
      <x v="6"/>
    </i>
    <i t="grand">
      <x/>
    </i>
  </colItems>
  <dataFields count="1">
    <dataField name="Cuenta de 36. Considero que el programa académico al cual pertenezco se preocupa permanentemente por la actualización de los contenidos programáticos de los diferentes espacios académicos." fld="47" subtotal="count" baseField="0" baseItem="0"/>
  </dataFields>
  <formats count="1">
    <format dxfId="1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4.xml><?xml version="1.0" encoding="utf-8"?>
<pivotTableDefinition xmlns="http://schemas.openxmlformats.org/spreadsheetml/2006/main" name="Tabla dinámica2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0:I21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1"/>
        <item x="0"/>
        <item x="3"/>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2"/>
  </colFields>
  <colItems count="8">
    <i>
      <x/>
    </i>
    <i>
      <x v="1"/>
    </i>
    <i>
      <x v="2"/>
    </i>
    <i>
      <x v="3"/>
    </i>
    <i>
      <x v="4"/>
    </i>
    <i>
      <x v="5"/>
    </i>
    <i>
      <x v="6"/>
    </i>
    <i t="grand">
      <x/>
    </i>
  </colItems>
  <dataFields count="1">
    <dataField name="Cuenta de 51.1. Considero que el material bibliográfico a disposición del programa académico al cual pertenezco es: SUFICIENTE" fld="62" subtotal="count" baseField="0" baseItem="0"/>
  </dataFields>
  <formats count="1">
    <format dxfId="1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5.xml><?xml version="1.0" encoding="utf-8"?>
<pivotTableDefinition xmlns="http://schemas.openxmlformats.org/spreadsheetml/2006/main" name="Tabla dinámica9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4:H5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2"/>
        <item x="3"/>
        <item x="1"/>
        <item m="1" x="6"/>
        <item x="0"/>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3"/>
  </colFields>
  <colItems count="7">
    <i>
      <x/>
    </i>
    <i>
      <x v="1"/>
    </i>
    <i>
      <x v="2"/>
    </i>
    <i>
      <x v="4"/>
    </i>
    <i>
      <x v="5"/>
    </i>
    <i>
      <x v="6"/>
    </i>
    <i t="grand">
      <x/>
    </i>
  </colItems>
  <dataFields count="1">
    <dataField name="Cuenta de 14. Conozco los criterios académicos establecidos para definir la permanencia de los docentes en la Universidad Distrital Francisco José de Caldas." fld="23" subtotal="count" baseField="0" baseItem="0"/>
  </dataFields>
  <formats count="1">
    <format dxfId="1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6.xml><?xml version="1.0" encoding="utf-8"?>
<pivotTableDefinition xmlns="http://schemas.openxmlformats.org/spreadsheetml/2006/main" name="Tabla dinámica4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0:H27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0"/>
        <item m="1" x="6"/>
        <item x="1"/>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7"/>
  </colFields>
  <colItems count="7">
    <i>
      <x/>
    </i>
    <i>
      <x v="1"/>
    </i>
    <i>
      <x v="2"/>
    </i>
    <i>
      <x v="4"/>
    </i>
    <i>
      <x v="5"/>
    </i>
    <i>
      <x v="6"/>
    </i>
    <i t="grand">
      <x/>
    </i>
  </colItems>
  <dataFields count="1">
    <dataField name="Cuenta de 54.3. Considero que los equipos de apoyo audiovisual a disposición del programa académico al cual pertenezco son: ACTUALIZADOS" fld="77" subtotal="count" baseField="0" baseItem="0"/>
  </dataFields>
  <formats count="1">
    <format dxfId="1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7.xml><?xml version="1.0" encoding="utf-8"?>
<pivotTableDefinition xmlns="http://schemas.openxmlformats.org/spreadsheetml/2006/main" name="Tabla dinámica7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4:H7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8"/>
  </colFields>
  <colItems count="7">
    <i>
      <x/>
    </i>
    <i>
      <x v="1"/>
    </i>
    <i>
      <x v="2"/>
    </i>
    <i>
      <x v="3"/>
    </i>
    <i>
      <x v="4"/>
    </i>
    <i>
      <x v="5"/>
    </i>
    <i t="grand">
      <x/>
    </i>
  </colItems>
  <dataFields count="1">
    <dataField name="Cuenta de 19.1. Considero que el tiempo que dedico a las siguientes actividades es suficiente: A LA DOCENCIA" fld="28" subtotal="count" baseField="0" baseItem="0"/>
  </dataFields>
  <formats count="1">
    <format dxfId="1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8.xml><?xml version="1.0" encoding="utf-8"?>
<pivotTableDefinition xmlns="http://schemas.openxmlformats.org/spreadsheetml/2006/main" name="Tabla dinámica8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6:I10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3"/>
        <item x="1"/>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6"/>
  </colFields>
  <colItems count="8">
    <i>
      <x/>
    </i>
    <i>
      <x v="1"/>
    </i>
    <i>
      <x v="2"/>
    </i>
    <i>
      <x v="3"/>
    </i>
    <i>
      <x v="4"/>
    </i>
    <i>
      <x v="5"/>
    </i>
    <i>
      <x v="6"/>
    </i>
    <i t="grand">
      <x/>
    </i>
  </colItems>
  <dataFields count="1">
    <dataField name="Cuenta de 25. Considero que el contenido de la evaluación docente está acorde con los requerimientos del proyecto educativo del programa académico al cual pertenezco. " fld="36" subtotal="count" baseField="0" baseItem="0"/>
  </dataFields>
  <formats count="1">
    <format dxfId="16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9.xml><?xml version="1.0" encoding="utf-8"?>
<pivotTableDefinition xmlns="http://schemas.openxmlformats.org/spreadsheetml/2006/main" name="Tabla dinámica1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0:I19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0"/>
        <item x="5"/>
        <item x="2"/>
        <item x="1"/>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57"/>
  </colFields>
  <colItems count="8">
    <i>
      <x/>
    </i>
    <i>
      <x v="1"/>
    </i>
    <i>
      <x v="2"/>
    </i>
    <i>
      <x v="3"/>
    </i>
    <i>
      <x v="4"/>
    </i>
    <i>
      <x v="5"/>
    </i>
    <i>
      <x v="6"/>
    </i>
    <i t="grand">
      <x/>
    </i>
  </colItems>
  <dataFields count="1">
    <dataField name="Cuenta de 46. Conozco los procesos efectuados para la evaluación periódica de la pertinencia y calidad del programa académico al cual pertenezco." fld="57" subtotal="count" baseField="0" baseItem="0"/>
  </dataFields>
  <formats count="1">
    <format dxfId="1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 dinámica4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8:H16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2"/>
        <item x="3"/>
        <item x="0"/>
        <item m="1" x="6"/>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3"/>
  </colFields>
  <colItems count="7">
    <i>
      <x/>
    </i>
    <i>
      <x v="1"/>
    </i>
    <i>
      <x v="2"/>
    </i>
    <i>
      <x v="3"/>
    </i>
    <i>
      <x v="5"/>
    </i>
    <i>
      <x v="6"/>
    </i>
    <i t="grand">
      <x/>
    </i>
  </colItems>
  <dataFields count="1">
    <dataField name="Cuenta de 34. Considero que ser tecnólogo me brinda oportunidades para vincularme en el mercado laboral." fld="43" subtotal="count" baseField="0" baseItem="0"/>
  </dataFields>
  <formats count="1">
    <format dxfId="20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0.xml><?xml version="1.0" encoding="utf-8"?>
<pivotTableDefinition xmlns="http://schemas.openxmlformats.org/spreadsheetml/2006/main" name="Tabla dinámica6"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F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2"/>
        <item x="1"/>
        <item m="1" x="4"/>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1"/>
  </colFields>
  <colItems count="5">
    <i>
      <x/>
    </i>
    <i>
      <x v="1"/>
    </i>
    <i>
      <x v="3"/>
    </i>
    <i>
      <x v="4"/>
    </i>
    <i t="grand">
      <x/>
    </i>
  </colItems>
  <dataFields count="1">
    <dataField name="Cuenta de 2. Me siento identificado con la misión de la Universidad Distrital Francisco José de Caldas." fld="11" subtotal="count" baseField="0" baseItem="0"/>
  </dataFields>
  <formats count="1">
    <format dxfId="17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1.xml><?xml version="1.0" encoding="utf-8"?>
<pivotTableDefinition xmlns="http://schemas.openxmlformats.org/spreadsheetml/2006/main" name="Tabla dinámica2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G4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0"/>
        <item x="1"/>
        <item m="1" x="5"/>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9"/>
  </colFields>
  <colItems count="6">
    <i>
      <x/>
    </i>
    <i>
      <x v="1"/>
    </i>
    <i>
      <x v="2"/>
    </i>
    <i>
      <x v="4"/>
    </i>
    <i>
      <x v="5"/>
    </i>
    <i t="grand">
      <x/>
    </i>
  </colItems>
  <dataFields count="1">
    <dataField name="Cuenta de 10. Considero que los principales reglamentos de la Universidad Distrital son apropiados." fld="19" subtotal="count" baseField="0" baseItem="0"/>
  </dataFields>
  <formats count="1">
    <format dxfId="1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2.xml><?xml version="1.0" encoding="utf-8"?>
<pivotTableDefinition xmlns="http://schemas.openxmlformats.org/spreadsheetml/2006/main" name="Tabla dinámica8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8:I10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0"/>
        <item x="1"/>
        <item x="5"/>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4"/>
  </colFields>
  <colItems count="8">
    <i>
      <x/>
    </i>
    <i>
      <x v="1"/>
    </i>
    <i>
      <x v="2"/>
    </i>
    <i>
      <x v="3"/>
    </i>
    <i>
      <x v="4"/>
    </i>
    <i>
      <x v="5"/>
    </i>
    <i>
      <x v="6"/>
    </i>
    <i t="grand">
      <x/>
    </i>
  </colItems>
  <dataFields count="1">
    <dataField name="Cuenta de 23. Considero que el sistema de bonificaciones y el de asignación de puntos salariales para los profesores de planta es transparente." fld="34" subtotal="count" baseField="0" baseItem="0"/>
  </dataFields>
  <formats count="1">
    <format dxfId="17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3.xml><?xml version="1.0" encoding="utf-8"?>
<pivotTableDefinition xmlns="http://schemas.openxmlformats.org/spreadsheetml/2006/main" name="Tabla dinámica7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8:I28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5"/>
        <item x="4"/>
        <item x="1"/>
        <item x="2"/>
        <item x="0"/>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9"/>
  </colFields>
  <colItems count="8">
    <i>
      <x/>
    </i>
    <i>
      <x v="1"/>
    </i>
    <i>
      <x v="2"/>
    </i>
    <i>
      <x v="3"/>
    </i>
    <i>
      <x v="4"/>
    </i>
    <i>
      <x v="5"/>
    </i>
    <i>
      <x v="6"/>
    </i>
    <i t="grand">
      <x/>
    </i>
  </colItems>
  <dataFields count="1">
    <dataField name="Cuenta de 55. Considero que la institución apoya suficientemente las iniciativas de movilidad académica de los docentes." fld="79" subtotal="count" baseField="0" baseItem="0"/>
  </dataFields>
  <formats count="1">
    <format dxfId="1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4.xml><?xml version="1.0" encoding="utf-8"?>
<pivotTableDefinition xmlns="http://schemas.openxmlformats.org/spreadsheetml/2006/main" name="Tabla dinámica3"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8:I8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1"/>
        <item x="3"/>
        <item x="0"/>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9"/>
  </colFields>
  <colItems count="8">
    <i>
      <x/>
    </i>
    <i>
      <x v="1"/>
    </i>
    <i>
      <x v="2"/>
    </i>
    <i>
      <x v="3"/>
    </i>
    <i>
      <x v="4"/>
    </i>
    <i>
      <x v="5"/>
    </i>
    <i>
      <x v="6"/>
    </i>
    <i t="grand">
      <x/>
    </i>
  </colItems>
  <dataFields count="1">
    <dataField name="Cuenta de 19.2. Considero que el tiempo que dedico a las siguientes actividades es suficiente: A LA INVESTIGACIÓN" fld="29" subtotal="count" baseField="0" baseItem="0"/>
  </dataFields>
  <formats count="1">
    <format dxfId="1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5.xml><?xml version="1.0" encoding="utf-8"?>
<pivotTableDefinition xmlns="http://schemas.openxmlformats.org/spreadsheetml/2006/main" name="Tabla dinámica6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2:H6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1"/>
        <item x="0"/>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5"/>
  </colFields>
  <colItems count="7">
    <i>
      <x/>
    </i>
    <i>
      <x v="1"/>
    </i>
    <i>
      <x v="2"/>
    </i>
    <i>
      <x v="3"/>
    </i>
    <i>
      <x v="4"/>
    </i>
    <i>
      <x v="5"/>
    </i>
    <i t="grand">
      <x/>
    </i>
  </colItems>
  <dataFields count="1">
    <dataField name="Cuenta de 16. Considero que el estatuto docente es pertinente y es vigente." fld="25" subtotal="count" baseField="0" baseItem="0"/>
  </dataFields>
  <formats count="1">
    <format dxfId="1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6.xml><?xml version="1.0" encoding="utf-8"?>
<pivotTableDefinition xmlns="http://schemas.openxmlformats.org/spreadsheetml/2006/main" name="Tabla dinámica4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46:G24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1"/>
        <item m="1" x="6"/>
        <item m="1" x="5"/>
        <item x="0"/>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1"/>
  </colFields>
  <colItems count="6">
    <i>
      <x/>
    </i>
    <i>
      <x v="1"/>
    </i>
    <i>
      <x v="4"/>
    </i>
    <i>
      <x v="5"/>
    </i>
    <i>
      <x v="6"/>
    </i>
    <i t="grand">
      <x/>
    </i>
  </colItems>
  <dataFields count="1">
    <dataField name="Cuenta de 53.4. Considero que los laboratorios y talleres disponibles en el programa académico al cual pertenezco son: APOYADOS POR PERSONAL DEBIDAMENTE CAPACITADO" fld="71" subtotal="count" baseField="0" baseItem="0"/>
  </dataFields>
  <formats count="1">
    <format dxfId="1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7.xml><?xml version="1.0" encoding="utf-8"?>
<pivotTableDefinition xmlns="http://schemas.openxmlformats.org/spreadsheetml/2006/main" name="Tabla dinámica11"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8:G6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2"/>
        <item x="1"/>
        <item x="0"/>
        <item x="3"/>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4"/>
  </colFields>
  <colItems count="6">
    <i>
      <x/>
    </i>
    <i>
      <x v="1"/>
    </i>
    <i>
      <x v="2"/>
    </i>
    <i>
      <x v="3"/>
    </i>
    <i>
      <x v="4"/>
    </i>
    <i t="grand">
      <x/>
    </i>
  </colItems>
  <dataFields count="1">
    <dataField name="Cuenta de 15. Considero que en el programa académico al cual pertenezco se aplican debidamente las normas establecidas en el estatuto docente." fld="24" subtotal="count" baseField="0" baseItem="0"/>
  </dataFields>
  <formats count="1">
    <format dxfId="1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8.xml><?xml version="1.0" encoding="utf-8"?>
<pivotTableDefinition xmlns="http://schemas.openxmlformats.org/spreadsheetml/2006/main" name="Tabla dinámica25"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G2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3"/>
        <item x="0"/>
        <item m="1" x="5"/>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16"/>
  </colFields>
  <colItems count="6">
    <i>
      <x/>
    </i>
    <i>
      <x v="1"/>
    </i>
    <i>
      <x v="2"/>
    </i>
    <i>
      <x v="4"/>
    </i>
    <i>
      <x v="5"/>
    </i>
    <i t="grand">
      <x/>
    </i>
  </colItems>
  <dataFields count="1">
    <dataField name="Cuenta de 7. Considero que el proceso de admisión a cada uno de los niveles de formación de los programas académicos por ciclos es el apropiado." fld="16" subtotal="count" baseField="0" baseItem="0"/>
  </dataFields>
  <formats count="1">
    <format dxfId="17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9.xml><?xml version="1.0" encoding="utf-8"?>
<pivotTableDefinition xmlns="http://schemas.openxmlformats.org/spreadsheetml/2006/main" name="Tabla dinámica1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2:I22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65"/>
  </colFields>
  <colItems count="8">
    <i>
      <x/>
    </i>
    <i>
      <x v="1"/>
    </i>
    <i>
      <x v="2"/>
    </i>
    <i>
      <x v="3"/>
    </i>
    <i>
      <x v="4"/>
    </i>
    <i>
      <x v="5"/>
    </i>
    <i>
      <x v="6"/>
    </i>
    <i t="grand">
      <x/>
    </i>
  </colItems>
  <dataFields count="1">
    <dataField name="Cuenta de 52.1. Considero que los computadores y software disponibles en el programa académico al cual pertenezco son: SUFICIENTE" fld="65" subtotal="count" baseField="0" baseItem="0"/>
  </dataFields>
  <formats count="1">
    <format dxfId="1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 dinámica7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8:I30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8"/>
  </colFields>
  <colItems count="8">
    <i>
      <x/>
    </i>
    <i>
      <x v="1"/>
    </i>
    <i>
      <x v="2"/>
    </i>
    <i>
      <x v="3"/>
    </i>
    <i>
      <x v="4"/>
    </i>
    <i>
      <x v="5"/>
    </i>
    <i>
      <x v="6"/>
    </i>
    <i t="grand">
      <x/>
    </i>
  </colItems>
  <dataFields count="1">
    <dataField name="Cuenta de 56. Considero que los servicios o actividades ofrecidas por Bienestar Institucional contribuyen a mi desarrollo personal y profesional." fld="78" subtotal="count" baseField="0" baseItem="0"/>
  </dataFields>
  <formats count="1">
    <format dxfId="20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0.xml><?xml version="1.0" encoding="utf-8"?>
<pivotTableDefinition xmlns="http://schemas.openxmlformats.org/spreadsheetml/2006/main" name="Tabla dinámica90"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8:I320"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0"/>
        <item x="1"/>
        <item x="2"/>
        <item x="3"/>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89"/>
  </colFields>
  <colItems count="8">
    <i>
      <x/>
    </i>
    <i>
      <x v="1"/>
    </i>
    <i>
      <x v="2"/>
    </i>
    <i>
      <x v="3"/>
    </i>
    <i>
      <x v="4"/>
    </i>
    <i>
      <x v="5"/>
    </i>
    <i>
      <x v="6"/>
    </i>
    <i t="grand">
      <x/>
    </i>
  </colItems>
  <dataFields count="1">
    <dataField name="Cuenta de 61. Considero que la representación docente cumple su papel de comunicación entre los directivos y los docentes." fld="89" subtotal="count" baseField="0" baseItem="0"/>
  </dataFields>
  <formats count="1">
    <format dxfId="1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1.xml><?xml version="1.0" encoding="utf-8"?>
<pivotTableDefinition xmlns="http://schemas.openxmlformats.org/spreadsheetml/2006/main" name="Tabla dinámica3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4:I256"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5"/>
        <item x="3"/>
        <item x="0"/>
        <item x="2"/>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73"/>
  </colFields>
  <colItems count="8">
    <i>
      <x/>
    </i>
    <i>
      <x v="1"/>
    </i>
    <i>
      <x v="2"/>
    </i>
    <i>
      <x v="3"/>
    </i>
    <i>
      <x v="4"/>
    </i>
    <i>
      <x v="5"/>
    </i>
    <i>
      <x v="6"/>
    </i>
    <i t="grand">
      <x/>
    </i>
  </colItems>
  <dataFields count="1">
    <dataField name="Cuenta de 53.6. Considero que los laboratorios y talleres disponibles en el programa académico al cual pertenezco son: ILUMINADOS" fld="73" subtotal="count" baseField="0" baseItem="0"/>
  </dataFields>
  <formats count="1">
    <format dxfId="1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2.xml><?xml version="1.0" encoding="utf-8"?>
<pivotTableDefinition xmlns="http://schemas.openxmlformats.org/spreadsheetml/2006/main" name="Tabla dinámica29"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6:I4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4"/>
        <item x="3"/>
        <item x="2"/>
        <item x="1"/>
        <item x="0"/>
        <item x="5"/>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21"/>
  </colFields>
  <colItems count="8">
    <i>
      <x/>
    </i>
    <i>
      <x v="1"/>
    </i>
    <i>
      <x v="2"/>
    </i>
    <i>
      <x v="3"/>
    </i>
    <i>
      <x v="4"/>
    </i>
    <i>
      <x v="5"/>
    </i>
    <i>
      <x v="6"/>
    </i>
    <i t="grand">
      <x/>
    </i>
  </colItems>
  <dataFields count="1">
    <dataField name="Cuenta de 12. Considero que el proceso de selección y vinculación de docentes DE PLANTA a la Universidad Distrital Francisco José de Caldas es trasparente y equitativo." fld="21" subtotal="count" baseField="0" baseItem="0"/>
  </dataFields>
  <formats count="1">
    <format dxfId="1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3.xml><?xml version="1.0" encoding="utf-8"?>
<pivotTableDefinition xmlns="http://schemas.openxmlformats.org/spreadsheetml/2006/main" name="Tabla dinámica9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6:H128"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4"/>
        <item x="1"/>
        <item x="0"/>
        <item x="3"/>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1"/>
  </colFields>
  <colItems count="7">
    <i>
      <x/>
    </i>
    <i>
      <x v="1"/>
    </i>
    <i>
      <x v="2"/>
    </i>
    <i>
      <x v="3"/>
    </i>
    <i>
      <x v="4"/>
    </i>
    <i>
      <x v="5"/>
    </i>
    <i t="grand">
      <x/>
    </i>
  </colItems>
  <dataFields count="1">
    <dataField name="Cuenta de 30. El plan de estudios del programa académico al cual pertenezco permite desarrollar en los estudiantes competencias para la comprensión del contexto. " fld="41" subtotal="count" baseField="0" baseItem="0"/>
  </dataFields>
  <formats count="1">
    <format dxfId="1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4.xml><?xml version="1.0" encoding="utf-8"?>
<pivotTableDefinition xmlns="http://schemas.openxmlformats.org/spreadsheetml/2006/main" name="Tabla dinámica2"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0:H13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4"/>
        <item x="2"/>
        <item m="1" x="6"/>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42"/>
  </colFields>
  <colItems count="7">
    <i>
      <x/>
    </i>
    <i>
      <x v="1"/>
    </i>
    <i>
      <x v="2"/>
    </i>
    <i>
      <x v="4"/>
    </i>
    <i>
      <x v="5"/>
    </i>
    <i>
      <x v="6"/>
    </i>
    <i t="grand">
      <x/>
    </i>
  </colItems>
  <dataFields count="1">
    <dataField name="Cuenta de 31. El programa académico al cual pertenezco incentiva el desarrollo de proyectos de investigación con participación interdisciplinaria." fld="42" subtotal="count" baseField="0" baseItem="0"/>
  </dataFields>
  <formats count="1">
    <format dxfId="1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5.xml><?xml version="1.0" encoding="utf-8"?>
<pivotTableDefinition xmlns="http://schemas.openxmlformats.org/spreadsheetml/2006/main" name="Tabla dinámica34"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0:G92"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2"/>
        <item x="1"/>
        <item x="0"/>
        <item x="3"/>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2"/>
  </colFields>
  <colItems count="6">
    <i>
      <x/>
    </i>
    <i>
      <x v="1"/>
    </i>
    <i>
      <x v="2"/>
    </i>
    <i>
      <x v="3"/>
    </i>
    <i>
      <x v="4"/>
    </i>
    <i t="grand">
      <x/>
    </i>
  </colItems>
  <dataFields count="1">
    <dataField name="Cuenta de 21. Conozco los procedimientos para acceder a los apoyos económicos institucionales para participar en actividades de formación o actualización." fld="32" subtotal="count" baseField="0" baseItem="0"/>
  </dataFields>
  <formats count="1">
    <format dxfId="18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6.xml><?xml version="1.0" encoding="utf-8"?>
<pivotTableDefinition xmlns="http://schemas.openxmlformats.org/spreadsheetml/2006/main" name="Tabla dinámica39"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H3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4"/>
        <item x="5"/>
        <item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6"/>
  </colFields>
  <colItems count="7">
    <i>
      <x/>
    </i>
    <i>
      <x v="1"/>
    </i>
    <i>
      <x v="2"/>
    </i>
    <i>
      <x v="3"/>
    </i>
    <i>
      <x v="4"/>
    </i>
    <i>
      <x v="5"/>
    </i>
    <i t="grand">
      <x/>
    </i>
  </colItems>
  <dataFields count="1">
    <dataField name="Cuenta de 9. He participado en procesos para la evaluación periódica de la pertinencia y calidad de los programas académicos con los cuales me he relacionado." fld="16" subtotal="count" baseField="0" baseItem="0"/>
  </dataFields>
  <formats count="1">
    <format dxfId="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7.xml><?xml version="1.0" encoding="utf-8"?>
<pivotTableDefinition xmlns="http://schemas.openxmlformats.org/spreadsheetml/2006/main" name="Tabla dinámica26"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4:H7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2"/>
        <item x="1"/>
        <item x="0"/>
        <item x="4"/>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6"/>
  </colFields>
  <colItems count="7">
    <i>
      <x/>
    </i>
    <i>
      <x v="1"/>
    </i>
    <i>
      <x v="2"/>
    </i>
    <i>
      <x v="3"/>
    </i>
    <i>
      <x v="4"/>
    </i>
    <i>
      <x v="5"/>
    </i>
    <i t="grand">
      <x/>
    </i>
  </colItems>
  <dataFields count="1">
    <dataField name="Cuenta de 11.3. Considero que los equipos de apoyo audiovisual a disposición de los programas académicos con los cuales me he relacionado son: ACTUALIZADOS." fld="26" subtotal="count" baseField="0" baseItem="0"/>
  </dataFields>
  <formats count="1">
    <format dxfId="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8.xml><?xml version="1.0" encoding="utf-8"?>
<pivotTableDefinition xmlns="http://schemas.openxmlformats.org/spreadsheetml/2006/main" name="Tabla dinámica77"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H2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3"/>
        <item x="2"/>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3"/>
  </colFields>
  <colItems count="7">
    <i>
      <x/>
    </i>
    <i>
      <x v="1"/>
    </i>
    <i>
      <x v="2"/>
    </i>
    <i>
      <x v="3"/>
    </i>
    <i>
      <x v="4"/>
    </i>
    <i>
      <x v="5"/>
    </i>
    <i t="grand">
      <x/>
    </i>
  </colItems>
  <dataFields count="1">
    <dataField name="Cuenta de 6. Conozco las diferencias entre los programas de formación en ingeniería por ciclos y los programas de ingeniería tradicional." fld="13" subtotal="count" baseField="0" baseItem="0"/>
  </dataFields>
  <formats count="1">
    <format dxfId="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9.xml><?xml version="1.0" encoding="utf-8"?>
<pivotTableDefinition xmlns="http://schemas.openxmlformats.org/spreadsheetml/2006/main" name="Tabla dinámica50"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H4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4"/>
        <item x="1"/>
        <item x="3"/>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7"/>
  </colFields>
  <colItems count="7">
    <i>
      <x/>
    </i>
    <i>
      <x v="1"/>
    </i>
    <i>
      <x v="2"/>
    </i>
    <i>
      <x v="3"/>
    </i>
    <i>
      <x v="4"/>
    </i>
    <i>
      <x v="5"/>
    </i>
    <i t="grand">
      <x/>
    </i>
  </colItems>
  <dataFields count="1">
    <dataField name="Cuenta de 10.1. Considero que los laboratorios y talleres disponibles de los programas académicos con los cuales me he relacionado son: SUFICIENTES." fld="17" subtotal="count" baseField="0" baseItem="0"/>
  </dataFields>
  <formats count="1">
    <format dxfId="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a dinámica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I16" firstHeaderRow="1" firstDataRow="2" firstDataCol="1"/>
  <pivotFields count="103">
    <pivotField numFmtId="166" showAll="0"/>
    <pivotField showAll="0"/>
    <pivotField showAll="0"/>
    <pivotField showAll="0"/>
    <pivotField showAll="0"/>
    <pivotField showAll="0"/>
    <pivotField showAll="0"/>
    <pivotField axis="axisCol" dataField="1" showAll="0">
      <items count="8">
        <item x="4"/>
        <item x="3"/>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
  </colFields>
  <colItems count="8">
    <i>
      <x/>
    </i>
    <i>
      <x v="1"/>
    </i>
    <i>
      <x v="2"/>
    </i>
    <i>
      <x v="3"/>
    </i>
    <i>
      <x v="4"/>
    </i>
    <i>
      <x v="5"/>
    </i>
    <i>
      <x v="6"/>
    </i>
    <i t="grand">
      <x/>
    </i>
  </colItems>
  <dataFields count="1">
    <dataField name="Cuenta de 4. Conozco el proyecto educativo de mi programa académico (PEP). " fld="7" subtotal="count" baseField="0" baseItem="0"/>
  </dataFields>
  <formats count="1">
    <format dxfId="2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0.xml><?xml version="1.0" encoding="utf-8"?>
<pivotTableDefinition xmlns="http://schemas.openxmlformats.org/spreadsheetml/2006/main" name="Tabla dinámica14"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6:H14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4"/>
        <item x="0"/>
        <item x="5"/>
      </items>
    </pivotField>
  </pivotFields>
  <rowItems count="1">
    <i/>
  </rowItems>
  <colFields count="1">
    <field x="44"/>
  </colFields>
  <colItems count="7">
    <i>
      <x/>
    </i>
    <i>
      <x v="1"/>
    </i>
    <i>
      <x v="2"/>
    </i>
    <i>
      <x v="3"/>
    </i>
    <i>
      <x v="4"/>
    </i>
    <i>
      <x v="5"/>
    </i>
    <i t="grand">
      <x/>
    </i>
  </colItems>
  <dataFields count="1">
    <dataField name="Cuenta de 24.3. Considero que la planta física empleada por los programas académicos con los cuales me he relacionado es:. DEBIDAMENTE MANTENIDA." fld="44" subtotal="count" baseField="0" baseItem="0"/>
  </dataFields>
  <formats count="1">
    <format dxfId="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1.xml><?xml version="1.0" encoding="utf-8"?>
<pivotTableDefinition xmlns="http://schemas.openxmlformats.org/spreadsheetml/2006/main" name="Tabla dinámica86"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H3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5"/>
  </colFields>
  <colItems count="7">
    <i>
      <x/>
    </i>
    <i>
      <x v="1"/>
    </i>
    <i>
      <x v="2"/>
    </i>
    <i>
      <x v="3"/>
    </i>
    <i>
      <x v="4"/>
    </i>
    <i>
      <x v="5"/>
    </i>
    <i t="grand">
      <x/>
    </i>
  </colItems>
  <dataFields count="1">
    <dataField name="Cuenta de 8. Conozco los procesos efectuados para la evaluación periódica de la pertinencia y calidad de los programas académicos con los cuales me he relacionado." fld="15" subtotal="count" baseField="0" baseItem="0"/>
  </dataFields>
  <formats count="1">
    <format dxfId="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2.xml><?xml version="1.0" encoding="utf-8"?>
<pivotTableDefinition xmlns="http://schemas.openxmlformats.org/spreadsheetml/2006/main" name="Tabla dinámica47"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2:H12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1"/>
        <item x="2"/>
        <item x="0"/>
        <item x="3"/>
      </items>
    </pivotField>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8"/>
  </colFields>
  <colItems count="7">
    <i>
      <x/>
    </i>
    <i>
      <x v="1"/>
    </i>
    <i>
      <x v="2"/>
    </i>
    <i>
      <x v="3"/>
    </i>
    <i>
      <x v="4"/>
    </i>
    <i>
      <x v="5"/>
    </i>
    <i t="grand">
      <x/>
    </i>
  </colItems>
  <dataFields count="1">
    <dataField name="Cuenta de 20. Considero que los sistemas de información empleados por los programas académicos con los cuales me he relacionado son efectivos." fld="38" subtotal="count" baseField="0" baseItem="0"/>
  </dataFields>
  <formats count="1">
    <format dxfId="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3.xml><?xml version="1.0" encoding="utf-8"?>
<pivotTableDefinition xmlns="http://schemas.openxmlformats.org/spreadsheetml/2006/main" name="Tabla dinámica30"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8:H14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2"/>
        <item x="3"/>
        <item x="1"/>
        <item x="0"/>
        <item x="5"/>
      </items>
    </pivotField>
    <pivotField showAll="0" defaultSubtotal="0"/>
    <pivotField showAll="0" defaultSubtotal="0"/>
  </pivotFields>
  <rowItems count="1">
    <i/>
  </rowItems>
  <colFields count="1">
    <field x="42"/>
  </colFields>
  <colItems count="7">
    <i>
      <x/>
    </i>
    <i>
      <x v="1"/>
    </i>
    <i>
      <x v="2"/>
    </i>
    <i>
      <x v="3"/>
    </i>
    <i>
      <x v="4"/>
    </i>
    <i>
      <x v="5"/>
    </i>
    <i t="grand">
      <x/>
    </i>
  </colItems>
  <dataFields count="1">
    <dataField name="Cuenta de 24.1. Considero que la planta física empleada por los programas académicos con los cuales me he relacionado es: ADECUADA." fld="42" subtotal="count" baseField="0" baseItem="0"/>
  </dataFields>
  <formats count="1">
    <format dxfId="6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4.xml><?xml version="1.0" encoding="utf-8"?>
<pivotTableDefinition xmlns="http://schemas.openxmlformats.org/spreadsheetml/2006/main" name="Tabla dinámica69"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H2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3"/>
        <item x="2"/>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4"/>
  </colFields>
  <colItems count="7">
    <i>
      <x/>
    </i>
    <i>
      <x v="1"/>
    </i>
    <i>
      <x v="2"/>
    </i>
    <i>
      <x v="3"/>
    </i>
    <i>
      <x v="4"/>
    </i>
    <i>
      <x v="5"/>
    </i>
    <i t="grand">
      <x/>
    </i>
  </colItems>
  <dataFields count="1">
    <dataField name="Cuenta de 7. Tengo claro qué es y para qué sirve el componente propedéutico en un programa de ingeniería por ciclos." fld="14" subtotal="count" baseField="0" baseItem="0"/>
  </dataFields>
  <formats count="1">
    <format dxfId="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5.xml><?xml version="1.0" encoding="utf-8"?>
<pivotTableDefinition xmlns="http://schemas.openxmlformats.org/spreadsheetml/2006/main" name="Tabla dinámica76"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6:H6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0"/>
        <item x="5"/>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4"/>
  </colFields>
  <colItems count="7">
    <i>
      <x/>
    </i>
    <i>
      <x v="1"/>
    </i>
    <i>
      <x v="2"/>
    </i>
    <i>
      <x v="3"/>
    </i>
    <i>
      <x v="4"/>
    </i>
    <i>
      <x v="5"/>
    </i>
    <i t="grand">
      <x/>
    </i>
  </colItems>
  <dataFields count="1">
    <dataField name="Cuenta de 11.1. Considero que los equipos de apoyo audiovisual a disposición de los programas académicos con los cuales me he relacionado son: SUFICIENTES." fld="24" subtotal="count" baseField="0" baseItem="0"/>
  </dataFields>
  <formats count="1">
    <format dxfId="7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6.xml><?xml version="1.0" encoding="utf-8"?>
<pivotTableDefinition xmlns="http://schemas.openxmlformats.org/spreadsheetml/2006/main" name="Tabla dinámica79"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2:H10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3"/>
        <item x="2"/>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3"/>
  </colFields>
  <colItems count="7">
    <i>
      <x/>
    </i>
    <i>
      <x v="1"/>
    </i>
    <i>
      <x v="2"/>
    </i>
    <i>
      <x v="3"/>
    </i>
    <i>
      <x v="4"/>
    </i>
    <i>
      <x v="5"/>
    </i>
    <i t="grand">
      <x/>
    </i>
  </colItems>
  <dataFields count="1">
    <dataField name="Cuenta de 15. Considero que las funciones a mi cargo fueron debidamente planeadas para el logro de los objetivos de los programas académicos con los cuales me he relacionado." fld="33" subtotal="count" baseField="0" baseItem="0"/>
  </dataFields>
  <formats count="1">
    <format dxfId="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7.xml><?xml version="1.0" encoding="utf-8"?>
<pivotTableDefinition xmlns="http://schemas.openxmlformats.org/spreadsheetml/2006/main" name="Tabla dinámica25"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6:H12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2"/>
        <item x="1"/>
        <item x="0"/>
        <item x="3"/>
      </items>
    </pivotField>
    <pivotField showAll="0" defaultSubtotal="0"/>
    <pivotField showAll="0" defaultSubtotal="0"/>
    <pivotField showAll="0" defaultSubtotal="0"/>
    <pivotField showAll="0" defaultSubtotal="0"/>
    <pivotField showAll="0" defaultSubtotal="0"/>
  </pivotFields>
  <rowItems count="1">
    <i/>
  </rowItems>
  <colFields count="1">
    <field x="39"/>
  </colFields>
  <colItems count="7">
    <i>
      <x/>
    </i>
    <i>
      <x v="1"/>
    </i>
    <i>
      <x v="2"/>
    </i>
    <i>
      <x v="3"/>
    </i>
    <i>
      <x v="4"/>
    </i>
    <i>
      <x v="5"/>
    </i>
    <i t="grand">
      <x/>
    </i>
  </colItems>
  <dataFields count="1">
    <dataField name="Cuenta de 21. Considero que los mecanismos de comunicación empleados por los programas académicos con los cuales me he relacionado son efectivos." fld="39" subtotal="count" baseField="0" baseItem="0"/>
  </dataFields>
  <formats count="1">
    <format dxfId="7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8.xml><?xml version="1.0" encoding="utf-8"?>
<pivotTableDefinition xmlns="http://schemas.openxmlformats.org/spreadsheetml/2006/main" name="Tabla dinámica15"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2:H4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1"/>
        <item x="2"/>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8"/>
  </colFields>
  <colItems count="7">
    <i>
      <x/>
    </i>
    <i>
      <x v="1"/>
    </i>
    <i>
      <x v="2"/>
    </i>
    <i>
      <x v="3"/>
    </i>
    <i>
      <x v="4"/>
    </i>
    <i>
      <x v="5"/>
    </i>
    <i t="grand">
      <x/>
    </i>
  </colItems>
  <dataFields count="1">
    <dataField name="Cuenta de 10.2. Considero que los laboratorios y talleres disponibles de los programas académicos con los cuales me he relacionado son: ADECUADOS." fld="18" subtotal="count" baseField="0" baseItem="0"/>
  </dataFields>
  <formats count="1">
    <format dxfId="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9.xml><?xml version="1.0" encoding="utf-8"?>
<pivotTableDefinition xmlns="http://schemas.openxmlformats.org/spreadsheetml/2006/main" name="Tabla dinámica28"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0:H7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0"/>
        <item x="5"/>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5"/>
  </colFields>
  <colItems count="7">
    <i>
      <x/>
    </i>
    <i>
      <x v="1"/>
    </i>
    <i>
      <x v="2"/>
    </i>
    <i>
      <x v="3"/>
    </i>
    <i>
      <x v="4"/>
    </i>
    <i>
      <x v="5"/>
    </i>
    <i t="grand">
      <x/>
    </i>
  </colItems>
  <dataFields count="1">
    <dataField name="Cuenta de 11.2. Considero que los equipos de apoyo audiovisual a disposición de los programas académicos con los cuales me he relacionado son: ADECUADOS." fld="25" subtotal="count" baseField="0" baseItem="0"/>
  </dataFields>
  <formats count="1">
    <format dxfId="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7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0:I31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2"/>
        <item x="3"/>
        <item x="0"/>
        <item x="1"/>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1"/>
  </colFields>
  <colItems count="8">
    <i>
      <x/>
    </i>
    <i>
      <x v="1"/>
    </i>
    <i>
      <x v="2"/>
    </i>
    <i>
      <x v="3"/>
    </i>
    <i>
      <x v="4"/>
    </i>
    <i>
      <x v="5"/>
    </i>
    <i>
      <x v="6"/>
    </i>
    <i t="grand">
      <x/>
    </i>
  </colItems>
  <dataFields count="1">
    <dataField name="Cuenta de 57.3. Considero que los servicios de bienestar son: ACCESIBLES." fld="81" subtotal="count" baseField="0" baseItem="0"/>
  </dataFields>
  <formats count="1">
    <format dxfId="18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a dinámica6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46:I24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x="0"/>
        <item x="1"/>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5"/>
  </colFields>
  <colItems count="8">
    <i>
      <x/>
    </i>
    <i>
      <x v="1"/>
    </i>
    <i>
      <x v="2"/>
    </i>
    <i>
      <x v="3"/>
    </i>
    <i>
      <x v="4"/>
    </i>
    <i>
      <x v="5"/>
    </i>
    <i>
      <x v="6"/>
    </i>
    <i t="grand">
      <x/>
    </i>
  </colItems>
  <dataFields count="1">
    <dataField name="Cuenta de 51.2. Considero que los laboratorios y talleres disponibles en mi programa académico son: ADECUADOS." fld="65" subtotal="count" baseField="0" baseItem="0"/>
  </dataFields>
  <formats count="1">
    <format dxfId="20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0.xml><?xml version="1.0" encoding="utf-8"?>
<pivotTableDefinition xmlns="http://schemas.openxmlformats.org/spreadsheetml/2006/main" name="Tabla dinámica29"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0:H9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5"/>
        <item x="1"/>
        <item x="0"/>
        <item x="4"/>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0"/>
  </colFields>
  <colItems count="7">
    <i>
      <x/>
    </i>
    <i>
      <x v="1"/>
    </i>
    <i>
      <x v="2"/>
    </i>
    <i>
      <x v="3"/>
    </i>
    <i>
      <x v="4"/>
    </i>
    <i>
      <x v="5"/>
    </i>
    <i t="grand">
      <x/>
    </i>
  </colItems>
  <dataFields count="1">
    <dataField name="Cuenta de 12.3. Considero que los servicios de Bienestar Universitario son: ACCESIBLES." fld="30" subtotal="count" baseField="0" baseItem="0"/>
  </dataFields>
  <formats count="1">
    <format dxfId="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1.xml><?xml version="1.0" encoding="utf-8"?>
<pivotTableDefinition xmlns="http://schemas.openxmlformats.org/spreadsheetml/2006/main" name="Tabla dinámica94"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4:H11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5"/>
        <item x="4"/>
        <item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6"/>
  </colFields>
  <colItems count="7">
    <i>
      <x/>
    </i>
    <i>
      <x v="1"/>
    </i>
    <i>
      <x v="2"/>
    </i>
    <i>
      <x v="3"/>
    </i>
    <i>
      <x v="4"/>
    </i>
    <i>
      <x v="5"/>
    </i>
    <i t="grand">
      <x/>
    </i>
  </colItems>
  <dataFields count="1">
    <dataField name="Cuenta de 18. Considero que la representación de los administrativos cumple su papel de comunicación entre los directivos y el personal administrativo." fld="36" subtotal="count" baseField="0" baseItem="0"/>
  </dataFields>
  <formats count="1">
    <format dxfId="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2.xml><?xml version="1.0" encoding="utf-8"?>
<pivotTableDefinition xmlns="http://schemas.openxmlformats.org/spreadsheetml/2006/main" name="Tabla dinámica5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G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9"/>
  </colFields>
  <colItems count="6">
    <i>
      <x/>
    </i>
    <i>
      <x v="1"/>
    </i>
    <i>
      <x v="2"/>
    </i>
    <i>
      <x v="3"/>
    </i>
    <i>
      <x v="4"/>
    </i>
    <i t="grand">
      <x/>
    </i>
  </colItems>
  <dataFields count="1">
    <dataField name="Cuenta de 2. Me siento identificado con la misión de la Universidad Distrital Francisco José de Caldas." fld="9" subtotal="count" baseField="0" baseItem="0"/>
  </dataFields>
  <formats count="1">
    <format dxfId="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3.xml><?xml version="1.0" encoding="utf-8"?>
<pivotTableDefinition xmlns="http://schemas.openxmlformats.org/spreadsheetml/2006/main" name="Tabla dinámica7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8:H8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2"/>
        <item x="0"/>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7"/>
  </colFields>
  <colItems count="7">
    <i>
      <x/>
    </i>
    <i>
      <x v="1"/>
    </i>
    <i>
      <x v="2"/>
    </i>
    <i>
      <x v="3"/>
    </i>
    <i>
      <x v="4"/>
    </i>
    <i>
      <x v="5"/>
    </i>
    <i t="grand">
      <x/>
    </i>
  </colItems>
  <dataFields count="1">
    <dataField name="Cuenta de 11.4. Considero que los equipos de apoyo audiovisual a disposición de los programas académicos con los cuales me he relacionado son: SOPORTADOS POR PERSONAL DEBIDAMENTE CAPACITADO." fld="27" subtotal="count" baseField="0" baseItem="0"/>
  </dataFields>
  <formats count="1">
    <format dxfId="7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4.xml><?xml version="1.0" encoding="utf-8"?>
<pivotTableDefinition xmlns="http://schemas.openxmlformats.org/spreadsheetml/2006/main" name="Tabla dinámica90"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8:H6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3"/>
        <item x="1"/>
        <item x="2"/>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2"/>
  </colFields>
  <colItems count="7">
    <i>
      <x/>
    </i>
    <i>
      <x v="1"/>
    </i>
    <i>
      <x v="2"/>
    </i>
    <i>
      <x v="3"/>
    </i>
    <i>
      <x v="4"/>
    </i>
    <i>
      <x v="5"/>
    </i>
    <i t="grand">
      <x/>
    </i>
  </colItems>
  <dataFields count="1">
    <dataField name="Cuenta de 10.6. Considero que los laboratorios y talleres disponibles de los programas académicos con los cuales me he relacionado son: ILUMINADOS" fld="22" subtotal="count" baseField="0" baseItem="0"/>
  </dataFields>
  <formats count="1">
    <format dxfId="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5.xml><?xml version="1.0" encoding="utf-8"?>
<pivotTableDefinition xmlns="http://schemas.openxmlformats.org/spreadsheetml/2006/main" name="Tabla dinámica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4:H13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5"/>
        <item x="3"/>
        <item x="1"/>
        <item x="0"/>
        <item x="2"/>
      </items>
    </pivotField>
    <pivotField showAll="0" defaultSubtotal="0"/>
    <pivotField showAll="0" defaultSubtotal="0"/>
    <pivotField showAll="0" defaultSubtotal="0"/>
  </pivotFields>
  <rowItems count="1">
    <i/>
  </rowItems>
  <colFields count="1">
    <field x="41"/>
  </colFields>
  <colItems count="7">
    <i>
      <x/>
    </i>
    <i>
      <x v="1"/>
    </i>
    <i>
      <x v="2"/>
    </i>
    <i>
      <x v="3"/>
    </i>
    <i>
      <x v="4"/>
    </i>
    <i>
      <x v="5"/>
    </i>
    <i t="grand">
      <x/>
    </i>
  </colItems>
  <dataFields count="1">
    <dataField name="Cuenta de 23. Considero que el liderazgo ejercido por los directivos de los programas académicos con los cuales me he relacionado es idóneo." fld="41" subtotal="count" baseField="0" baseItem="0"/>
  </dataFields>
  <formats count="1">
    <format dxfId="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6.xml><?xml version="1.0" encoding="utf-8"?>
<pivotTableDefinition xmlns="http://schemas.openxmlformats.org/spreadsheetml/2006/main" name="Tabla dinámica5"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8:H12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2"/>
        <item x="3"/>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7"/>
  </colFields>
  <colItems count="7">
    <i>
      <x/>
    </i>
    <i>
      <x v="1"/>
    </i>
    <i>
      <x v="2"/>
    </i>
    <i>
      <x v="3"/>
    </i>
    <i>
      <x v="4"/>
    </i>
    <i>
      <x v="5"/>
    </i>
    <i t="grand">
      <x/>
    </i>
  </colItems>
  <dataFields count="1">
    <dataField name="Cuenta de 19. Considero que los representantes administrativos han liderado propuestas para el mejoramiento de los programas académicos con los cuales me he relacionado." fld="37" subtotal="count" baseField="0" baseItem="0"/>
  </dataFields>
  <formats count="1">
    <format dxfId="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7.xml><?xml version="1.0" encoding="utf-8"?>
<pivotTableDefinition xmlns="http://schemas.openxmlformats.org/spreadsheetml/2006/main" name="Tabla dinámica84"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6:H8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3"/>
        <item x="1"/>
        <item x="0"/>
        <item x="5"/>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9"/>
  </colFields>
  <colItems count="7">
    <i>
      <x/>
    </i>
    <i>
      <x v="1"/>
    </i>
    <i>
      <x v="2"/>
    </i>
    <i>
      <x v="3"/>
    </i>
    <i>
      <x v="4"/>
    </i>
    <i>
      <x v="5"/>
    </i>
    <i t="grand">
      <x/>
    </i>
  </colItems>
  <dataFields count="1">
    <dataField name="Cuenta de 12.2. Considero que los servicios de Bienestar Universitario son:  ADECUADOS" fld="29" subtotal="count" baseField="0" baseItem="0"/>
  </dataFields>
  <formats count="1">
    <format dxfId="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8.xml><?xml version="1.0" encoding="utf-8"?>
<pivotTableDefinition xmlns="http://schemas.openxmlformats.org/spreadsheetml/2006/main" name="Tabla dinámica4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2:H6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3"/>
  </colFields>
  <colItems count="7">
    <i>
      <x/>
    </i>
    <i>
      <x v="1"/>
    </i>
    <i>
      <x v="2"/>
    </i>
    <i>
      <x v="3"/>
    </i>
    <i>
      <x v="4"/>
    </i>
    <i>
      <x v="5"/>
    </i>
    <i t="grand">
      <x/>
    </i>
  </colItems>
  <dataFields count="1">
    <dataField name="Cuenta de 10.7. Considero que los laboratorios y talleres disponibles de los programas académicos con los cuales me he relacionado son: DISEÑADOS SEGÚN NORMAS DE SEGURIDAD." fld="23" subtotal="count" baseField="0" baseItem="0"/>
  </dataFields>
  <formats count="1">
    <format dxfId="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9.xml><?xml version="1.0" encoding="utf-8"?>
<pivotTableDefinition xmlns="http://schemas.openxmlformats.org/spreadsheetml/2006/main" name="Tabla dinámica20"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6:H4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9"/>
  </colFields>
  <colItems count="7">
    <i>
      <x/>
    </i>
    <i>
      <x v="1"/>
    </i>
    <i>
      <x v="2"/>
    </i>
    <i>
      <x v="3"/>
    </i>
    <i>
      <x v="4"/>
    </i>
    <i>
      <x v="5"/>
    </i>
    <i t="grand">
      <x/>
    </i>
  </colItems>
  <dataFields count="1">
    <dataField name="Cuenta de 10.3. Considero que los laboratorios y talleres disponibles de los programas académicos con los cuales me he relacionado son: ACTUALIZADOS." fld="19" subtotal="count" baseField="0" baseItem="0"/>
  </dataFields>
  <formats count="1">
    <format dxfId="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a dinámica2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8:I10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3"/>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8"/>
  </colFields>
  <colItems count="8">
    <i>
      <x/>
    </i>
    <i>
      <x v="1"/>
    </i>
    <i>
      <x v="2"/>
    </i>
    <i>
      <x v="3"/>
    </i>
    <i>
      <x v="4"/>
    </i>
    <i>
      <x v="5"/>
    </i>
    <i>
      <x v="6"/>
    </i>
    <i t="grand">
      <x/>
    </i>
  </colItems>
  <dataFields count="1">
    <dataField name="Cuenta de 19. El menú de asignaturas electivas despierta en mi interés profesional y personal." fld="28" subtotal="count" baseField="0" baseItem="0"/>
  </dataFields>
  <formats count="1">
    <format dxfId="2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0.xml><?xml version="1.0" encoding="utf-8"?>
<pivotTableDefinition xmlns="http://schemas.openxmlformats.org/spreadsheetml/2006/main" name="Tabla dinámica45"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G1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0"/>
  </colFields>
  <colItems count="6">
    <i>
      <x/>
    </i>
    <i>
      <x v="1"/>
    </i>
    <i>
      <x v="2"/>
    </i>
    <i>
      <x v="3"/>
    </i>
    <i>
      <x v="4"/>
    </i>
    <i t="grand">
      <x/>
    </i>
  </colItems>
  <dataFields count="1">
    <dataField name="Cuenta de 3. Considero que la Universidad Distrital Francisco José de Caldas es una alternativa real para acceder al conocimiento por parte de los mejores egresados de la educación media de Bogotá con menores ingresos." fld="10" subtotal="count" baseField="0" baseItem="0"/>
  </dataFields>
  <formats count="1">
    <format dxfId="8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1.xml><?xml version="1.0" encoding="utf-8"?>
<pivotTableDefinition xmlns="http://schemas.openxmlformats.org/spreadsheetml/2006/main" name="Tabla dinámica13"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2:H14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3"/>
        <item x="2"/>
        <item x="1"/>
        <item x="4"/>
        <item x="0"/>
        <item x="5"/>
      </items>
    </pivotField>
    <pivotField showAll="0" defaultSubtotal="0"/>
  </pivotFields>
  <rowItems count="1">
    <i/>
  </rowItems>
  <colFields count="1">
    <field x="43"/>
  </colFields>
  <colItems count="7">
    <i>
      <x/>
    </i>
    <i>
      <x v="1"/>
    </i>
    <i>
      <x v="2"/>
    </i>
    <i>
      <x v="3"/>
    </i>
    <i>
      <x v="4"/>
    </i>
    <i>
      <x v="5"/>
    </i>
    <i t="grand">
      <x/>
    </i>
  </colItems>
  <dataFields count="1">
    <dataField name="Cuenta de 24.2. Considero que la planta física empleada por los programas académicos con los cuales me he relacionado es: SUFICIENTE." fld="43" subtotal="count" baseField="0" baseItem="0"/>
  </dataFields>
  <formats count="1">
    <format dxfId="8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2.xml><?xml version="1.0" encoding="utf-8"?>
<pivotTableDefinition xmlns="http://schemas.openxmlformats.org/spreadsheetml/2006/main" name="Tabla dinámica87"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0:H11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5"/>
  </colFields>
  <colItems count="7">
    <i>
      <x/>
    </i>
    <i>
      <x v="1"/>
    </i>
    <i>
      <x v="2"/>
    </i>
    <i>
      <x v="3"/>
    </i>
    <i>
      <x v="4"/>
    </i>
    <i>
      <x v="5"/>
    </i>
    <i t="grand">
      <x/>
    </i>
  </colItems>
  <dataFields count="1">
    <dataField name="Cuenta de 17. Tengo claras las funciones a mi cargo." fld="35" subtotal="count" baseField="0" baseItem="0"/>
  </dataFields>
  <formats count="1">
    <format dxfId="8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3.xml><?xml version="1.0" encoding="utf-8"?>
<pivotTableDefinition xmlns="http://schemas.openxmlformats.org/spreadsheetml/2006/main" name="Tabla dinámica35"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0:H5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5"/>
        <item x="1"/>
        <item x="0"/>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0"/>
  </colFields>
  <colItems count="7">
    <i>
      <x/>
    </i>
    <i>
      <x v="1"/>
    </i>
    <i>
      <x v="2"/>
    </i>
    <i>
      <x v="3"/>
    </i>
    <i>
      <x v="4"/>
    </i>
    <i>
      <x v="5"/>
    </i>
    <i t="grand">
      <x/>
    </i>
  </colItems>
  <dataFields count="1">
    <dataField name="Cuenta de 10.4. Considero que los laboratorios y talleres disponibles de los programas académicos con los cuales me he relacionado son: APOYADOS POR PERSONAL DEBIDAMENTE CAPACITADO." fld="20" subtotal="count" baseField="0" baseItem="0"/>
  </dataFields>
  <formats count="1">
    <format dxfId="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4.xml><?xml version="1.0" encoding="utf-8"?>
<pivotTableDefinition xmlns="http://schemas.openxmlformats.org/spreadsheetml/2006/main" name="Tabla dinámica3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4:H9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5"/>
        <item x="1"/>
        <item x="0"/>
        <item x="4"/>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1"/>
  </colFields>
  <colItems count="7">
    <i>
      <x/>
    </i>
    <i>
      <x v="1"/>
    </i>
    <i>
      <x v="2"/>
    </i>
    <i>
      <x v="3"/>
    </i>
    <i>
      <x v="4"/>
    </i>
    <i>
      <x v="5"/>
    </i>
    <i t="grand">
      <x/>
    </i>
  </colItems>
  <dataFields count="1">
    <dataField name="Cuenta de 13. Considero que las actividades de Bienestar Universitario contribuyen a mi desarrollo personal." fld="31" subtotal="count" baseField="0" baseItem="0"/>
  </dataFields>
  <formats count="1">
    <format dxfId="9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5.xml><?xml version="1.0" encoding="utf-8"?>
<pivotTableDefinition xmlns="http://schemas.openxmlformats.org/spreadsheetml/2006/main" name="Tabla dinámica6"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2:H8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2"/>
        <item x="4"/>
        <item x="1"/>
        <item x="0"/>
        <item x="5"/>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8"/>
  </colFields>
  <colItems count="7">
    <i>
      <x/>
    </i>
    <i>
      <x v="1"/>
    </i>
    <i>
      <x v="2"/>
    </i>
    <i>
      <x v="3"/>
    </i>
    <i>
      <x v="4"/>
    </i>
    <i>
      <x v="5"/>
    </i>
    <i t="grand">
      <x/>
    </i>
  </colItems>
  <dataFields count="1">
    <dataField name="Cuenta de 12.1. Considero que los servicios de Bienestar Universitario son: SUFICIENTES." fld="28" subtotal="count" baseField="0" baseItem="0"/>
  </dataFields>
  <formats count="1">
    <format dxfId="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6.xml><?xml version="1.0" encoding="utf-8"?>
<pivotTableDefinition xmlns="http://schemas.openxmlformats.org/spreadsheetml/2006/main" name="Tabla dinámica74"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8:G10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2"/>
  </colFields>
  <colItems count="6">
    <i>
      <x/>
    </i>
    <i>
      <x v="1"/>
    </i>
    <i>
      <x v="2"/>
    </i>
    <i>
      <x v="3"/>
    </i>
    <i>
      <x v="4"/>
    </i>
    <i t="grand">
      <x/>
    </i>
  </colItems>
  <dataFields count="1">
    <dataField name="Cuenta de 14. Las tareas que me son asignadas corresponden con las necesidades de los programas académicos con los cuales me he relacionado." fld="32" subtotal="count" baseField="0" baseItem="0"/>
  </dataFields>
  <formats count="1">
    <format dxfId="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7.xml><?xml version="1.0" encoding="utf-8"?>
<pivotTableDefinition xmlns="http://schemas.openxmlformats.org/spreadsheetml/2006/main" name="Tabla dinámica2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H4"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5"/>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8"/>
  </colFields>
  <colItems count="7">
    <i>
      <x/>
    </i>
    <i>
      <x v="1"/>
    </i>
    <i>
      <x v="2"/>
    </i>
    <i>
      <x v="3"/>
    </i>
    <i>
      <x v="4"/>
    </i>
    <i>
      <x v="5"/>
    </i>
    <i t="grand">
      <x/>
    </i>
  </colItems>
  <dataFields count="1">
    <dataField name="Cuenta de 1. Conozco la misión de la Universidad Distrital Francisco José de Caldas." fld="8" subtotal="count" baseField="0" baseItem="0"/>
  </dataFields>
  <formats count="1">
    <format dxfId="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8.xml><?xml version="1.0" encoding="utf-8"?>
<pivotTableDefinition xmlns="http://schemas.openxmlformats.org/spreadsheetml/2006/main" name="Tabla dinámica9"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G1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3"/>
        <item x="2"/>
        <item x="1"/>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1"/>
  </colFields>
  <colItems count="6">
    <i>
      <x/>
    </i>
    <i>
      <x v="1"/>
    </i>
    <i>
      <x v="2"/>
    </i>
    <i>
      <x v="3"/>
    </i>
    <i>
      <x v="4"/>
    </i>
    <i t="grand">
      <x/>
    </i>
  </colItems>
  <dataFields count="1">
    <dataField name="Cuenta de 4. Considero que la Universidad Distrital Francisco José de Caldas desarrolla una educación de alta calidad con capacidad de responder a los retos del Distrito Capital y del país." fld="11" subtotal="count" baseField="0" baseItem="0"/>
  </dataFields>
  <formats count="1">
    <format dxfId="9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9.xml><?xml version="1.0" encoding="utf-8"?>
<pivotTableDefinition xmlns="http://schemas.openxmlformats.org/spreadsheetml/2006/main" name="Tabla dinámica2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0:G132"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4"/>
        <item x="3"/>
        <item x="1"/>
        <item x="0"/>
        <item x="2"/>
      </items>
    </pivotField>
    <pivotField showAll="0" defaultSubtotal="0"/>
    <pivotField showAll="0" defaultSubtotal="0"/>
    <pivotField showAll="0" defaultSubtotal="0"/>
    <pivotField showAll="0" defaultSubtotal="0"/>
  </pivotFields>
  <rowItems count="1">
    <i/>
  </rowItems>
  <colFields count="1">
    <field x="40"/>
  </colFields>
  <colItems count="6">
    <i>
      <x/>
    </i>
    <i>
      <x v="1"/>
    </i>
    <i>
      <x v="2"/>
    </i>
    <i>
      <x v="3"/>
    </i>
    <i>
      <x v="4"/>
    </i>
    <i t="grand">
      <x/>
    </i>
  </colItems>
  <dataFields count="1">
    <dataField name="Cuenta de 22. Considero que las orientaciones de los directivos de los programas académicos con los cuales me he relacionado son adecuadas." fld="40" subtotal="count" baseField="0" baseItem="0"/>
  </dataFields>
  <formats count="1">
    <format dxfId="9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a dinámica1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I4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0"/>
        <item x="1"/>
        <item x="2"/>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3"/>
  </colFields>
  <colItems count="8">
    <i>
      <x/>
    </i>
    <i>
      <x v="1"/>
    </i>
    <i>
      <x v="2"/>
    </i>
    <i>
      <x v="3"/>
    </i>
    <i>
      <x v="4"/>
    </i>
    <i>
      <x v="5"/>
    </i>
    <i>
      <x v="6"/>
    </i>
    <i t="grand">
      <x/>
    </i>
  </colItems>
  <dataFields count="1">
    <dataField name="Cuenta de 10. Considero que en mi programa académico se aplican debidamente las normas establecidas en los reglamentos estudiantil y académico." fld="13" subtotal="count" baseField="0" baseItem="0"/>
  </dataFields>
  <formats count="1">
    <format dxfId="20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0.xml><?xml version="1.0" encoding="utf-8"?>
<pivotTableDefinition xmlns="http://schemas.openxmlformats.org/spreadsheetml/2006/main" name="Tabla dinámica60"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H20"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5"/>
        <item x="4"/>
        <item x="3"/>
        <item x="1"/>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12"/>
  </colFields>
  <colItems count="7">
    <i>
      <x/>
    </i>
    <i>
      <x v="1"/>
    </i>
    <i>
      <x v="2"/>
    </i>
    <i>
      <x v="3"/>
    </i>
    <i>
      <x v="4"/>
    </i>
    <i>
      <x v="5"/>
    </i>
    <i t="grand">
      <x/>
    </i>
  </colItems>
  <dataFields count="1">
    <dataField name="Cuenta de 5. Conozco el Proyecto Educativo (PEP) de los programas académicos con los cuales me he relacionado." fld="12" subtotal="count" baseField="0" baseItem="0"/>
  </dataFields>
  <formats count="1">
    <format dxfId="9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1.xml><?xml version="1.0" encoding="utf-8"?>
<pivotTableDefinition xmlns="http://schemas.openxmlformats.org/spreadsheetml/2006/main" name="Tabla dinámica9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6:H108"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34"/>
  </colFields>
  <colItems count="7">
    <i>
      <x/>
    </i>
    <i>
      <x v="1"/>
    </i>
    <i>
      <x v="2"/>
    </i>
    <i>
      <x v="3"/>
    </i>
    <i>
      <x v="4"/>
    </i>
    <i>
      <x v="5"/>
    </i>
    <i t="grand">
      <x/>
    </i>
  </colItems>
  <dataFields count="1">
    <dataField name="Cuenta de 16. Considero que mis funciones me fueron entregadas y notificadas oportunamente." fld="34" subtotal="count" baseField="0" baseItem="0"/>
  </dataFields>
  <formats count="1">
    <format dxfId="9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2.xml><?xml version="1.0" encoding="utf-8"?>
<pivotTableDefinition xmlns="http://schemas.openxmlformats.org/spreadsheetml/2006/main" name="Tabla dinámica8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4:H56" firstHeaderRow="1" firstDataRow="2" firstDataCol="1"/>
  <pivotFields count="45">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4"/>
        <item x="3"/>
        <item x="2"/>
        <item x="1"/>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Items count="1">
    <i/>
  </rowItems>
  <colFields count="1">
    <field x="21"/>
  </colFields>
  <colItems count="7">
    <i>
      <x/>
    </i>
    <i>
      <x v="1"/>
    </i>
    <i>
      <x v="2"/>
    </i>
    <i>
      <x v="3"/>
    </i>
    <i>
      <x v="4"/>
    </i>
    <i>
      <x v="5"/>
    </i>
    <i t="grand">
      <x/>
    </i>
  </colItems>
  <dataFields count="1">
    <dataField name="Cuenta de 10.5. Considero que los laboratorios y talleres disponibles de los programas académicos con los cuales me he relacionado son: VENTILADOS." fld="21" subtotal="count" baseField="0" baseItem="0"/>
  </dataFields>
  <formats count="1">
    <format dxfId="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3.xml><?xml version="1.0" encoding="utf-8"?>
<pivotTableDefinition xmlns="http://schemas.openxmlformats.org/spreadsheetml/2006/main" name="Tabla dinámica11"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2:G4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4"/>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5"/>
  </colFields>
  <colItems count="6">
    <i>
      <x/>
    </i>
    <i>
      <x v="1"/>
    </i>
    <i>
      <x v="2"/>
    </i>
    <i>
      <x v="3"/>
    </i>
    <i>
      <x v="4"/>
    </i>
    <i t="grand">
      <x/>
    </i>
  </colItems>
  <dataFields count="1">
    <dataField name="Cuenta de 8.4. El programa académico al cual pertenecí me brindó las herramientas necesarias para SER PARTE ACTIVA Y PARTICIPATIVA EN LA CULTURA CIUDADANA" fld="2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4.xml><?xml version="1.0" encoding="utf-8"?>
<pivotTableDefinition xmlns="http://schemas.openxmlformats.org/spreadsheetml/2006/main" name="Tabla dinámica15"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8:F6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m="1" x="4"/>
        <item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9"/>
  </colFields>
  <colItems count="5">
    <i>
      <x v="1"/>
    </i>
    <i>
      <x v="2"/>
    </i>
    <i>
      <x v="3"/>
    </i>
    <i>
      <x v="4"/>
    </i>
    <i t="grand">
      <x/>
    </i>
  </colItems>
  <dataFields count="1">
    <dataField name="Cuenta de 11.1. Mi paso por la Facultad Tecnológica de la Universidad Distrital me ayudó a: APROPIARME DE MÉTODOS PARA EL APRENDIZAJE AUTÓNOMO." fld="2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5.xml><?xml version="1.0" encoding="utf-8"?>
<pivotTableDefinition xmlns="http://schemas.openxmlformats.org/spreadsheetml/2006/main" name="Tabla dinámica18"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0:H7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2"/>
  </colFields>
  <colItems count="7">
    <i>
      <x/>
    </i>
    <i>
      <x v="1"/>
    </i>
    <i>
      <x v="2"/>
    </i>
    <i>
      <x v="3"/>
    </i>
    <i>
      <x v="4"/>
    </i>
    <i>
      <x v="5"/>
    </i>
    <i t="grand">
      <x/>
    </i>
  </colItems>
  <dataFields count="1">
    <dataField name="Cuenta de 11.4. Mi paso por la Facultad Tecnológica de la Universidad Distrital me ayudó a: UTILIZAR HERRAMIENTAS INFORMÁTICAS ACTUALIZADAS AL SERVICIO DE MI PROFESIÓN." fld="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6.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H2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3"/>
        <item x="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9"/>
  </colFields>
  <colItems count="7">
    <i>
      <x/>
    </i>
    <i>
      <x v="1"/>
    </i>
    <i>
      <x v="2"/>
    </i>
    <i>
      <x v="3"/>
    </i>
    <i>
      <x v="4"/>
    </i>
    <i>
      <x v="5"/>
    </i>
    <i t="grand">
      <x/>
    </i>
  </colItems>
  <dataFields count="1">
    <dataField name="Cuenta de 5. Considero que el proceso de admisión a la Universidad Distrital Francisco José de Caldas es transparente y equitativo."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7.xml><?xml version="1.0" encoding="utf-8"?>
<pivotTableDefinition xmlns="http://schemas.openxmlformats.org/spreadsheetml/2006/main" name="Tabla dinámica12"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6:G4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4"/>
        <item x="3"/>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6"/>
  </colFields>
  <colItems count="6">
    <i>
      <x/>
    </i>
    <i>
      <x v="1"/>
    </i>
    <i>
      <x v="2"/>
    </i>
    <i>
      <x v="3"/>
    </i>
    <i>
      <x v="4"/>
    </i>
    <i t="grand">
      <x/>
    </i>
  </colItems>
  <dataFields count="1">
    <dataField name="Cuenta de 8.5. El programa académico al cual pertenecí me brindó las herramientas necesarias para PRODUCIR TEXTOS ARGUMENTANDO OPINIONES Y/O CONCEPTOS." fld="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8.xml><?xml version="1.0" encoding="utf-8"?>
<pivotTableDefinition xmlns="http://schemas.openxmlformats.org/spreadsheetml/2006/main" name="Tabla dinámica29"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0:H11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4"/>
        <item x="0"/>
        <item x="2"/>
        <item x="1"/>
        <item x="5"/>
        <item t="default"/>
      </items>
    </pivotField>
    <pivotField showAll="0"/>
    <pivotField showAll="0"/>
    <pivotField showAll="0"/>
    <pivotField showAll="0"/>
    <pivotField showAll="0"/>
  </pivotFields>
  <rowItems count="1">
    <i/>
  </rowItems>
  <colFields count="1">
    <field x="42"/>
  </colFields>
  <colItems count="7">
    <i>
      <x/>
    </i>
    <i>
      <x v="1"/>
    </i>
    <i>
      <x v="2"/>
    </i>
    <i>
      <x v="3"/>
    </i>
    <i>
      <x v="4"/>
    </i>
    <i>
      <x v="5"/>
    </i>
    <i t="grand">
      <x/>
    </i>
  </colItems>
  <dataFields count="1">
    <dataField name="Cuenta de 21. Considero que la apreciación de mi programa académico en el medio laboral en el que me desempeño es positiva." fld="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9.xml><?xml version="1.0" encoding="utf-8"?>
<pivotTableDefinition xmlns="http://schemas.openxmlformats.org/spreadsheetml/2006/main" name="Tabla dinámica24"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0:H9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5"/>
        <item x="4"/>
        <item x="0"/>
        <item x="2"/>
        <item x="1"/>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37"/>
  </colFields>
  <colItems count="7">
    <i>
      <x/>
    </i>
    <i>
      <x v="1"/>
    </i>
    <i>
      <x v="2"/>
    </i>
    <i>
      <x v="3"/>
    </i>
    <i>
      <x v="4"/>
    </i>
    <i>
      <x v="5"/>
    </i>
    <i t="grand">
      <x/>
    </i>
  </colItems>
  <dataFields count="1">
    <dataField name="Cuenta de 16. Considero que mi paso por el nivel de ingeniería mejoró o mejorará las competencias que he desarrollado en el nivel tecnológico." fld="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a dinámica7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4:I27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2"/>
  </colFields>
  <colItems count="8">
    <i>
      <x/>
    </i>
    <i>
      <x v="1"/>
    </i>
    <i>
      <x v="2"/>
    </i>
    <i>
      <x v="3"/>
    </i>
    <i>
      <x v="4"/>
    </i>
    <i>
      <x v="5"/>
    </i>
    <i>
      <x v="6"/>
    </i>
    <i t="grand">
      <x/>
    </i>
  </colItems>
  <dataFields count="1">
    <dataField name="Cuenta de 52.2. Considero que los materiales de apoyo audiovisual son: ADECUADOS." fld="72" subtotal="count" baseField="0" baseItem="0"/>
  </dataFields>
  <formats count="1">
    <format dxfId="2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0.xml><?xml version="1.0" encoding="utf-8"?>
<pivotTableDefinition xmlns="http://schemas.openxmlformats.org/spreadsheetml/2006/main" name="Tabla dinámica6"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G2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m="1" x="5"/>
        <item x="3"/>
        <item x="2"/>
        <item x="0"/>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0"/>
  </colFields>
  <colItems count="6">
    <i>
      <x v="1"/>
    </i>
    <i>
      <x v="2"/>
    </i>
    <i>
      <x v="3"/>
    </i>
    <i>
      <x v="4"/>
    </i>
    <i>
      <x v="5"/>
    </i>
    <i t="grand">
      <x/>
    </i>
  </colItems>
  <dataFields count="1">
    <dataField name="Cuenta de 6. Considero que el proceso de admisión a cada uno de los niveles de formación de los programas por ciclos ofrecidos en la Facultad Tecnológica es apropiado."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1.xml><?xml version="1.0" encoding="utf-8"?>
<pivotTableDefinition xmlns="http://schemas.openxmlformats.org/spreadsheetml/2006/main" name="Tabla dinámica19"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4:H7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3"/>
  </colFields>
  <colItems count="7">
    <i>
      <x/>
    </i>
    <i>
      <x v="1"/>
    </i>
    <i>
      <x v="2"/>
    </i>
    <i>
      <x v="3"/>
    </i>
    <i>
      <x v="4"/>
    </i>
    <i>
      <x v="5"/>
    </i>
    <i t="grand">
      <x/>
    </i>
  </colItems>
  <dataFields count="1">
    <dataField name="Cuenta de 12. Considero que estudiar un programa de ingeniería por ciclos, nivel tecnológico y nivel de Ingeniería, me brindó mejores oportunidades que estudiar una carrera de Ingeniería tradicional." fld="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2.xml><?xml version="1.0" encoding="utf-8"?>
<pivotTableDefinition xmlns="http://schemas.openxmlformats.org/spreadsheetml/2006/main" name="Tabla dinámica17"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6:H6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3"/>
        <item x="0"/>
        <item x="2"/>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1"/>
  </colFields>
  <colItems count="7">
    <i>
      <x/>
    </i>
    <i>
      <x v="1"/>
    </i>
    <i>
      <x v="2"/>
    </i>
    <i>
      <x v="3"/>
    </i>
    <i>
      <x v="4"/>
    </i>
    <i>
      <x v="5"/>
    </i>
    <i t="grand">
      <x/>
    </i>
  </colItems>
  <dataFields count="1">
    <dataField name="Cuenta de 11.3. Mi paso por la Facultad Tecnológica de la Universidad Distrital me ayudó a: HACER CONSULTAS BIBLIOGRÁFICAS EFECTIVAS" fld="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3.xml><?xml version="1.0" encoding="utf-8"?>
<pivotTableDefinition xmlns="http://schemas.openxmlformats.org/spreadsheetml/2006/main" name="Tabla dinámica23"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6:G8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m="1" x="5"/>
        <item x="2"/>
        <item x="4"/>
        <item x="0"/>
        <item x="1"/>
        <item t="default"/>
      </items>
    </pivotField>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6"/>
  </colFields>
  <colItems count="6">
    <i>
      <x/>
    </i>
    <i>
      <x v="2"/>
    </i>
    <i>
      <x v="3"/>
    </i>
    <i>
      <x v="4"/>
    </i>
    <i>
      <x v="5"/>
    </i>
    <i t="grand">
      <x/>
    </i>
  </colItems>
  <dataFields count="1">
    <dataField name="Cuenta de 15. Considero que ser ingeniero mejora o mejorará las condiciones laborales del tecnólogo." fld="3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4.xml><?xml version="1.0" encoding="utf-8"?>
<pivotTableDefinition xmlns="http://schemas.openxmlformats.org/spreadsheetml/2006/main" name="Tabla dinámica2"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G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m="1" x="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6"/>
  </colFields>
  <colItems count="6">
    <i>
      <x/>
    </i>
    <i>
      <x v="2"/>
    </i>
    <i>
      <x v="3"/>
    </i>
    <i>
      <x v="4"/>
    </i>
    <i>
      <x v="5"/>
    </i>
    <i t="grand">
      <x/>
    </i>
  </colItems>
  <dataFields count="1">
    <dataField name="Cuenta de 2. Me siento identificado con la misión de la Universidad Distrital Francisco José de Caldas." fld="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5.xml><?xml version="1.0" encoding="utf-8"?>
<pivotTableDefinition xmlns="http://schemas.openxmlformats.org/spreadsheetml/2006/main" name="Tabla dinámica25"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4:H9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2"/>
        <item x="3"/>
        <item x="4"/>
        <item x="5"/>
        <item x="0"/>
        <item t="default"/>
      </items>
    </pivotField>
    <pivotField showAll="0"/>
    <pivotField showAll="0"/>
    <pivotField showAll="0"/>
    <pivotField showAll="0"/>
    <pivotField showAll="0"/>
    <pivotField showAll="0"/>
    <pivotField showAll="0"/>
    <pivotField showAll="0"/>
    <pivotField showAll="0"/>
  </pivotFields>
  <rowItems count="1">
    <i/>
  </rowItems>
  <colFields count="1">
    <field x="38"/>
  </colFields>
  <colItems count="7">
    <i>
      <x/>
    </i>
    <i>
      <x v="1"/>
    </i>
    <i>
      <x v="2"/>
    </i>
    <i>
      <x v="3"/>
    </i>
    <i>
      <x v="4"/>
    </i>
    <i>
      <x v="5"/>
    </i>
    <i t="grand">
      <x/>
    </i>
  </colItems>
  <dataFields count="1">
    <dataField name="Cuenta de 17. Considero que la representación de los egresados en la Universidad Distrital cumple su papel de comunicación entre los directivos y los egresados." fld="3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6.xml><?xml version="1.0" encoding="utf-8"?>
<pivotTableDefinition xmlns="http://schemas.openxmlformats.org/spreadsheetml/2006/main" name="Tabla dinámica14"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4:G5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8"/>
  </colFields>
  <colItems count="6">
    <i>
      <x/>
    </i>
    <i>
      <x v="1"/>
    </i>
    <i>
      <x v="2"/>
    </i>
    <i>
      <x v="3"/>
    </i>
    <i>
      <x v="4"/>
    </i>
    <i t="grand">
      <x/>
    </i>
  </colItems>
  <dataFields count="1">
    <dataField name="Cuenta de 10. Las estrategias didácticas empleadas en mi programa académico me permitieron adquirir los conocimientos suficientes y requeridos en la profesión que escogí." fld="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7.xml><?xml version="1.0" encoding="utf-8"?>
<pivotTableDefinition xmlns="http://schemas.openxmlformats.org/spreadsheetml/2006/main" name="Tabla dinámica7"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H2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0"/>
        <item x="2"/>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1"/>
  </colFields>
  <colItems count="7">
    <i>
      <x/>
    </i>
    <i>
      <x v="1"/>
    </i>
    <i>
      <x v="2"/>
    </i>
    <i>
      <x v="3"/>
    </i>
    <i>
      <x v="4"/>
    </i>
    <i>
      <x v="5"/>
    </i>
    <i t="grand">
      <x/>
    </i>
  </colItems>
  <dataFields count="1">
    <dataField name="Cuenta de 7. Cuando fui estudiante, mi programa académico participaba activamente en proyectos dirigidos a la comunidad." fld="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8.xml><?xml version="1.0" encoding="utf-8"?>
<pivotTableDefinition xmlns="http://schemas.openxmlformats.org/spreadsheetml/2006/main" name="Tabla dinámica8"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H3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2"/>
  </colFields>
  <colItems count="7">
    <i>
      <x/>
    </i>
    <i>
      <x v="1"/>
    </i>
    <i>
      <x v="2"/>
    </i>
    <i>
      <x v="3"/>
    </i>
    <i>
      <x v="4"/>
    </i>
    <i>
      <x v="5"/>
    </i>
    <i t="grand">
      <x/>
    </i>
  </colItems>
  <dataFields count="1">
    <dataField name="Cuenta de 8.1. El programa académico al cual pertenecí me brindó las herramientas necesarias para DESARROLLAR PROCESOS DE INVESTIGACIÓN"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9.xml><?xml version="1.0" encoding="utf-8"?>
<pivotTableDefinition xmlns="http://schemas.openxmlformats.org/spreadsheetml/2006/main" name="Tabla dinámica16"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2:G6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3"/>
        <item x="2"/>
        <item x="0"/>
        <item x="1"/>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0"/>
  </colFields>
  <colItems count="6">
    <i>
      <x/>
    </i>
    <i>
      <x v="1"/>
    </i>
    <i>
      <x v="2"/>
    </i>
    <i>
      <x v="3"/>
    </i>
    <i>
      <x v="4"/>
    </i>
    <i t="grand">
      <x/>
    </i>
  </colItems>
  <dataFields count="1">
    <dataField name="Cuenta de 11.2. Mi paso por la Facultad Tecnológica de la Universidad Distrital me ayudó a: DESARROLLAR CAPACIDADES PARA LA SOLUCIÓN DE PROBLEMAS" fld="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a dinámica8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2:I34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9"/>
  </colFields>
  <colItems count="8">
    <i>
      <x/>
    </i>
    <i>
      <x v="1"/>
    </i>
    <i>
      <x v="2"/>
    </i>
    <i>
      <x v="3"/>
    </i>
    <i>
      <x v="4"/>
    </i>
    <i>
      <x v="5"/>
    </i>
    <i>
      <x v="6"/>
    </i>
    <i t="grand">
      <x/>
    </i>
  </colItems>
  <dataFields count="1">
    <dataField name="Cuenta de 63. Puedo identificar las personas que desarrollan la representación estudiantil en mi programa académico. " fld="89" subtotal="count" baseField="0" baseItem="0"/>
  </dataFields>
  <formats count="1">
    <format dxfId="21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0.xml><?xml version="1.0" encoding="utf-8"?>
<pivotTableDefinition xmlns="http://schemas.openxmlformats.org/spreadsheetml/2006/main" name="Tabla dinámica30"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4:F11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m="1" x="4"/>
        <item x="2"/>
        <item x="0"/>
        <item x="1"/>
        <item x="3"/>
        <item t="default"/>
      </items>
    </pivotField>
    <pivotField showAll="0"/>
    <pivotField showAll="0"/>
    <pivotField showAll="0"/>
    <pivotField showAll="0"/>
  </pivotFields>
  <rowItems count="1">
    <i/>
  </rowItems>
  <colFields count="1">
    <field x="43"/>
  </colFields>
  <colItems count="5">
    <i>
      <x v="1"/>
    </i>
    <i>
      <x v="2"/>
    </i>
    <i>
      <x v="3"/>
    </i>
    <i>
      <x v="4"/>
    </i>
    <i t="grand">
      <x/>
    </i>
  </colItems>
  <dataFields count="1">
    <dataField name="Cuenta de 22. El programa académico que cursé satisfizo mis expectativas personales." fld="4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1.xml><?xml version="1.0" encoding="utf-8"?>
<pivotTableDefinition xmlns="http://schemas.openxmlformats.org/spreadsheetml/2006/main" name="Tabla dinámica20"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8:H8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4"/>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4"/>
  </colFields>
  <colItems count="7">
    <i>
      <x/>
    </i>
    <i>
      <x v="1"/>
    </i>
    <i>
      <x v="2"/>
    </i>
    <i>
      <x v="3"/>
    </i>
    <i>
      <x v="4"/>
    </i>
    <i>
      <x v="5"/>
    </i>
    <i t="grand">
      <x/>
    </i>
  </colItems>
  <dataFields count="1">
    <dataField name="Cuenta de 13. Considero que la denominación de mi titulo de tecnólogo me ha abierto posibilidades en el mercado laboral." fld="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2.xml><?xml version="1.0" encoding="utf-8"?>
<pivotTableDefinition xmlns="http://schemas.openxmlformats.org/spreadsheetml/2006/main" name="Tabla dinámica4"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H1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5"/>
        <item x="2"/>
        <item x="0"/>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8"/>
  </colFields>
  <colItems count="7">
    <i>
      <x/>
    </i>
    <i>
      <x v="1"/>
    </i>
    <i>
      <x v="2"/>
    </i>
    <i>
      <x v="3"/>
    </i>
    <i>
      <x v="4"/>
    </i>
    <i>
      <x v="5"/>
    </i>
    <i t="grand">
      <x/>
    </i>
  </colItems>
  <dataFields count="1">
    <dataField name="Cuenta de 4. Considero que la Universidad Distrital Francisco José de Caldas desarrolla una educación de alta calidad con capacidad de responder a los retos del Distrito Capital y del país."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3.xml><?xml version="1.0" encoding="utf-8"?>
<pivotTableDefinition xmlns="http://schemas.openxmlformats.org/spreadsheetml/2006/main" name="Tabla dinámica27"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2:G10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3"/>
        <item x="1"/>
        <item x="0"/>
        <item x="2"/>
        <item m="1" x="5"/>
        <item t="default"/>
      </items>
    </pivotField>
    <pivotField showAll="0"/>
    <pivotField showAll="0"/>
    <pivotField showAll="0"/>
    <pivotField showAll="0"/>
    <pivotField showAll="0"/>
    <pivotField showAll="0"/>
    <pivotField showAll="0"/>
  </pivotFields>
  <rowItems count="1">
    <i/>
  </rowItems>
  <colFields count="1">
    <field x="40"/>
  </colFields>
  <colItems count="6">
    <i>
      <x/>
    </i>
    <i>
      <x v="1"/>
    </i>
    <i>
      <x v="2"/>
    </i>
    <i>
      <x v="3"/>
    </i>
    <i>
      <x v="4"/>
    </i>
    <i t="grand">
      <x/>
    </i>
  </colItems>
  <dataFields count="1">
    <dataField name="Cuenta de 19. Considero que mi programa académico me brindó las herramientas necesarias para ejercer mi profesión." fld="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4.xml><?xml version="1.0" encoding="utf-8"?>
<pivotTableDefinition xmlns="http://schemas.openxmlformats.org/spreadsheetml/2006/main" name="Tabla dinámica22"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8:F12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15">
        <item m="1" x="6"/>
        <item m="1" x="11"/>
        <item m="1" x="7"/>
        <item m="1" x="10"/>
        <item m="1" x="12"/>
        <item m="1" x="8"/>
        <item m="1" x="9"/>
        <item m="1" x="5"/>
        <item m="1" x="13"/>
        <item m="1" x="4"/>
        <item x="3"/>
        <item x="2"/>
        <item x="1"/>
        <item x="0"/>
        <item t="default"/>
      </items>
    </pivotField>
    <pivotField showAll="0"/>
    <pivotField showAll="0"/>
    <pivotField showAll="0"/>
  </pivotFields>
  <rowItems count="1">
    <i/>
  </rowItems>
  <colFields count="1">
    <field x="44"/>
  </colFields>
  <colItems count="5">
    <i>
      <x v="10"/>
    </i>
    <i>
      <x v="11"/>
    </i>
    <i>
      <x v="12"/>
    </i>
    <i>
      <x v="13"/>
    </i>
    <i t="grand">
      <x/>
    </i>
  </colItems>
  <dataFields count="1">
    <dataField name="Cuenta de 23. Considero que la formación profesional recibida ha contribuido en el desarrollo de mi proyecto de vida." fld="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5.xml><?xml version="1.0" encoding="utf-8"?>
<pivotTableDefinition xmlns="http://schemas.openxmlformats.org/spreadsheetml/2006/main" name="Tabla dinámica21"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2:G8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2"/>
        <item x="1"/>
        <item x="0"/>
        <item x="3"/>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5"/>
  </colFields>
  <colItems count="6">
    <i>
      <x/>
    </i>
    <i>
      <x v="1"/>
    </i>
    <i>
      <x v="2"/>
    </i>
    <i>
      <x v="3"/>
    </i>
    <i>
      <x v="4"/>
    </i>
    <i t="grand">
      <x/>
    </i>
  </colItems>
  <dataFields count="1">
    <dataField name="Cuenta de 14. Considero que la denominación de mi título de ingeniero me abre o me abrirá mayores posibilidades en el mercado laboral." fld="3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6.xml><?xml version="1.0" encoding="utf-8"?>
<pivotTableDefinition xmlns="http://schemas.openxmlformats.org/spreadsheetml/2006/main" name="Tabla dinámica28"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6:H108"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3"/>
        <item x="2"/>
        <item x="0"/>
        <item x="1"/>
        <item x="5"/>
        <item t="default"/>
      </items>
    </pivotField>
    <pivotField showAll="0"/>
    <pivotField showAll="0"/>
    <pivotField showAll="0"/>
    <pivotField showAll="0"/>
    <pivotField showAll="0"/>
    <pivotField showAll="0"/>
  </pivotFields>
  <rowItems count="1">
    <i/>
  </rowItems>
  <colFields count="1">
    <field x="41"/>
  </colFields>
  <colItems count="7">
    <i>
      <x/>
    </i>
    <i>
      <x v="1"/>
    </i>
    <i>
      <x v="2"/>
    </i>
    <i>
      <x v="3"/>
    </i>
    <i>
      <x v="4"/>
    </i>
    <i>
      <x v="5"/>
    </i>
    <i t="grand">
      <x/>
    </i>
  </colItems>
  <dataFields count="1">
    <dataField name="Cuenta de 20. Considero que mi programa académico me brindó las habilidades para desempeñarme con suficiencia en proyectos de investigación, asesorías y/o consultorías." fld="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7.xml><?xml version="1.0" encoding="utf-8"?>
<pivotTableDefinition xmlns="http://schemas.openxmlformats.org/spreadsheetml/2006/main" name="Tabla dinámica3"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H1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5"/>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7"/>
  </colFields>
  <colItems count="7">
    <i>
      <x/>
    </i>
    <i>
      <x v="1"/>
    </i>
    <i>
      <x v="2"/>
    </i>
    <i>
      <x v="3"/>
    </i>
    <i>
      <x v="4"/>
    </i>
    <i>
      <x v="5"/>
    </i>
    <i t="grand">
      <x/>
    </i>
  </colItems>
  <dataFields count="1">
    <dataField name="Cuenta de 3. Considero que la Universidad Distrital Francisco José de Caldas es una alternativa real para acceder al conocimiento por parte de la población bogotana de menores ingresos."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8.xml><?xml version="1.0" encoding="utf-8"?>
<pivotTableDefinition xmlns="http://schemas.openxmlformats.org/spreadsheetml/2006/main" name="Tabla dinámica10"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G4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4"/>
  </colFields>
  <colItems count="6">
    <i>
      <x/>
    </i>
    <i>
      <x v="1"/>
    </i>
    <i>
      <x v="2"/>
    </i>
    <i>
      <x v="3"/>
    </i>
    <i>
      <x v="4"/>
    </i>
    <i t="grand">
      <x/>
    </i>
  </colItems>
  <dataFields count="1">
    <dataField name="Cuenta de 8.3. El programa académico al cual pertenecí me brindó las herramientas necesarias para OFRECER SOLUCIONES A LOS PROBLEMAS DE LA SOCIEDAD." fld="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9.xml><?xml version="1.0" encoding="utf-8"?>
<pivotTableDefinition xmlns="http://schemas.openxmlformats.org/spreadsheetml/2006/main" name="Tabla dinámica9"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G36"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3"/>
  </colFields>
  <colItems count="6">
    <i>
      <x/>
    </i>
    <i>
      <x v="1"/>
    </i>
    <i>
      <x v="2"/>
    </i>
    <i>
      <x v="3"/>
    </i>
    <i>
      <x v="4"/>
    </i>
    <i t="grand">
      <x/>
    </i>
  </colItems>
  <dataFields count="1">
    <dataField name="Cuenta de 8.2. El programa académico al cual pertenecí me brindó las herramientas necesarias para FORTALECER MI ESPÍRITU CRÍTICO Y ÉTICO." fld="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a dinámica5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4:I19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0"/>
        <item x="3"/>
        <item x="1"/>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2"/>
  </colFields>
  <colItems count="8">
    <i>
      <x/>
    </i>
    <i>
      <x v="1"/>
    </i>
    <i>
      <x v="2"/>
    </i>
    <i>
      <x v="3"/>
    </i>
    <i>
      <x v="4"/>
    </i>
    <i>
      <x v="5"/>
    </i>
    <i>
      <x v="6"/>
    </i>
    <i t="grand">
      <x/>
    </i>
  </colItems>
  <dataFields count="1">
    <dataField name="Cuenta de 43. He participado en procesos para la evaluación periódica de la pertinencia y calidad del programa académico al cual pertenezco." fld="52" subtotal="count" baseField="0" baseItem="0"/>
  </dataFields>
  <formats count="1">
    <format dxfId="2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0.xml><?xml version="1.0" encoding="utf-8"?>
<pivotTableDefinition xmlns="http://schemas.openxmlformats.org/spreadsheetml/2006/main" name="Tabla dinámica13"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0:G52"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4"/>
        <item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7"/>
  </colFields>
  <colItems count="6">
    <i>
      <x/>
    </i>
    <i>
      <x v="1"/>
    </i>
    <i>
      <x v="2"/>
    </i>
    <i>
      <x v="3"/>
    </i>
    <i>
      <x v="4"/>
    </i>
    <i t="grand">
      <x/>
    </i>
  </colItems>
  <dataFields count="1">
    <dataField name="Cuenta de 9. En la época de culminación de mis estudios, mi programa académico me ofreció modalidades de trabajo de grado suficientemente variadas." fld="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1.xml><?xml version="1.0" encoding="utf-8"?>
<pivotTableDefinition xmlns="http://schemas.openxmlformats.org/spreadsheetml/2006/main" name="Tabla dinámica1"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G4"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2"/>
        <item x="3"/>
        <item x="0"/>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5"/>
  </colFields>
  <colItems count="6">
    <i>
      <x/>
    </i>
    <i>
      <x v="1"/>
    </i>
    <i>
      <x v="2"/>
    </i>
    <i>
      <x v="3"/>
    </i>
    <i>
      <x v="4"/>
    </i>
    <i t="grand">
      <x/>
    </i>
  </colItems>
  <dataFields count="1">
    <dataField name="Cuenta de 1. Conozco la misión de la Universidad Distrital Francisco José de Caldas."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2.xml><?xml version="1.0" encoding="utf-8"?>
<pivotTableDefinition xmlns="http://schemas.openxmlformats.org/spreadsheetml/2006/main" name="Tabla dinámica26" cacheId="1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8:H100" firstHeaderRow="1" firstDataRow="2" firstDataCol="1"/>
  <pivotFields count="48">
    <pivotField numFmtId="166"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2"/>
        <item x="3"/>
        <item x="1"/>
        <item x="5"/>
        <item x="0"/>
        <item t="default"/>
      </items>
    </pivotField>
    <pivotField showAll="0"/>
    <pivotField showAll="0"/>
    <pivotField showAll="0"/>
    <pivotField showAll="0"/>
    <pivotField showAll="0"/>
    <pivotField showAll="0"/>
    <pivotField showAll="0"/>
    <pivotField showAll="0"/>
  </pivotFields>
  <rowItems count="1">
    <i/>
  </rowItems>
  <colFields count="1">
    <field x="39"/>
  </colFields>
  <colItems count="7">
    <i>
      <x/>
    </i>
    <i>
      <x v="1"/>
    </i>
    <i>
      <x v="2"/>
    </i>
    <i>
      <x v="3"/>
    </i>
    <i>
      <x v="4"/>
    </i>
    <i>
      <x v="5"/>
    </i>
    <i t="grand">
      <x/>
    </i>
  </colItems>
  <dataFields count="1">
    <dataField name="Cuenta de 18. Considero que los representantes de los egresados que participan en los órganos de dirección de la Universidad Distrital Francisco José de Caldas han liderado propuestas para el mejoramiento del vinculo entre los egresados y la Universidad." fld="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3.xml><?xml version="1.0" encoding="utf-8"?>
<pivotTableDefinition xmlns="http://schemas.openxmlformats.org/spreadsheetml/2006/main" name="Tabla dinámica14"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9:H51"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3"/>
        <item x="0"/>
        <item x="2"/>
        <item x="1"/>
        <item x="4"/>
        <item t="default"/>
      </items>
    </pivotField>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3"/>
  </colFields>
  <colItems count="7">
    <i>
      <x/>
    </i>
    <i>
      <x v="1"/>
    </i>
    <i>
      <x v="2"/>
    </i>
    <i>
      <x v="3"/>
    </i>
    <i>
      <x v="4"/>
    </i>
    <i>
      <x v="5"/>
    </i>
    <i t="grand">
      <x/>
    </i>
  </colItems>
  <dataFields count="1">
    <dataField name="Cuenta de 9.1. Considera que los recursos económicos son suficientes para el desarrollo de: Investigación"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4.xml><?xml version="1.0" encoding="utf-8"?>
<pivotTableDefinition xmlns="http://schemas.openxmlformats.org/spreadsheetml/2006/main" name="Tabla dinámica18"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5:H67"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2"/>
        <item x="3"/>
        <item x="0"/>
        <item x="5"/>
        <item x="4"/>
        <item t="default"/>
      </items>
    </pivotField>
    <pivotField showAll="0"/>
    <pivotField showAll="0"/>
    <pivotField showAll="0"/>
    <pivotField showAll="0"/>
    <pivotField showAll="0"/>
    <pivotField showAll="0"/>
    <pivotField showAll="0"/>
  </pivotFields>
  <rowItems count="1">
    <i/>
  </rowItems>
  <colFields count="1">
    <field x="17"/>
  </colFields>
  <colItems count="7">
    <i>
      <x/>
    </i>
    <i>
      <x v="1"/>
    </i>
    <i>
      <x v="2"/>
    </i>
    <i>
      <x v="3"/>
    </i>
    <i>
      <x v="4"/>
    </i>
    <i>
      <x v="5"/>
    </i>
    <i t="grand">
      <x/>
    </i>
  </colItems>
  <dataFields count="1">
    <dataField name="Cuenta de 10.2. Menciona convenios y fuentes de financiación externa (local o extrajera), para el desarrollo de: Formación docente "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5.xml><?xml version="1.0" encoding="utf-8"?>
<pivotTableDefinition xmlns="http://schemas.openxmlformats.org/spreadsheetml/2006/main" name="Tabla dinámica25"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3:G95"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showAll="0"/>
    <pivotField showAll="0"/>
    <pivotField showAll="0"/>
    <pivotField showAll="0"/>
    <pivotField showAll="0"/>
    <pivotField axis="axisCol" dataField="1" showAll="0">
      <items count="6">
        <item x="3"/>
        <item x="1"/>
        <item x="0"/>
        <item x="4"/>
        <item x="2"/>
        <item t="default"/>
      </items>
    </pivotField>
  </pivotFields>
  <rowItems count="1">
    <i/>
  </rowItems>
  <colFields count="1">
    <field x="24"/>
  </colFields>
  <colItems count="6">
    <i>
      <x/>
    </i>
    <i>
      <x v="1"/>
    </i>
    <i>
      <x v="2"/>
    </i>
    <i>
      <x v="3"/>
    </i>
    <i>
      <x v="4"/>
    </i>
    <i t="grand">
      <x/>
    </i>
  </colItems>
  <dataFields count="1">
    <dataField name="Cuenta de 15. Menciona aspectos que se deben fortalecerse en la formación de los estudiantes." fld="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6.xml><?xml version="1.0" encoding="utf-8"?>
<pivotTableDefinition xmlns="http://schemas.openxmlformats.org/spreadsheetml/2006/main" name="Tabla dinámica22"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1:G83"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showAll="0"/>
    <pivotField showAll="0"/>
    <pivotField axis="axisCol" dataField="1" showAll="0">
      <items count="6">
        <item x="4"/>
        <item x="2"/>
        <item x="0"/>
        <item x="1"/>
        <item x="3"/>
        <item t="default"/>
      </items>
    </pivotField>
    <pivotField showAll="0"/>
    <pivotField showAll="0"/>
    <pivotField showAll="0"/>
  </pivotFields>
  <rowItems count="1">
    <i/>
  </rowItems>
  <colFields count="1">
    <field x="21"/>
  </colFields>
  <colItems count="6">
    <i>
      <x/>
    </i>
    <i>
      <x v="1"/>
    </i>
    <i>
      <x v="2"/>
    </i>
    <i>
      <x v="3"/>
    </i>
    <i>
      <x v="4"/>
    </i>
    <i t="grand">
      <x/>
    </i>
  </colItems>
  <dataFields count="1">
    <dataField name="Cuenta de 12.2. Menciona las acciones que brindan posibilidades a los estudiantes para: Desarrollar proyectos de extensión y proyección social a la comunidad" fld="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7.xml><?xml version="1.0" encoding="utf-8"?>
<pivotTableDefinition xmlns="http://schemas.openxmlformats.org/spreadsheetml/2006/main" name="Tabla dinámica10"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7:H39"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axis="axisCol" dataField="1" showAll="0">
      <items count="7">
        <item x="5"/>
        <item x="2"/>
        <item x="4"/>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0"/>
  </colFields>
  <colItems count="7">
    <i>
      <x/>
    </i>
    <i>
      <x v="1"/>
    </i>
    <i>
      <x v="2"/>
    </i>
    <i>
      <x v="3"/>
    </i>
    <i>
      <x v="4"/>
    </i>
    <i>
      <x v="5"/>
    </i>
    <i t="grand">
      <x/>
    </i>
  </colItems>
  <dataFields count="1">
    <dataField name="Cuenta de 8.1. Conoce las fuentes de financiación con las que se cuenta para el desarrollo de: Investigació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8.xml><?xml version="1.0" encoding="utf-8"?>
<pivotTableDefinition xmlns="http://schemas.openxmlformats.org/spreadsheetml/2006/main" name="Tabla dinámica3"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H11" firstHeaderRow="1" firstDataRow="2" firstDataCol="1"/>
  <pivotFields count="25">
    <pivotField showAll="0"/>
    <pivotField showAll="0">
      <items count="5">
        <item x="0"/>
        <item x="2"/>
        <item x="1"/>
        <item x="3"/>
        <item t="default"/>
      </items>
    </pivotField>
    <pivotField showAll="0"/>
    <pivotField axis="axisCol" dataField="1" showAll="0">
      <items count="7">
        <item x="1"/>
        <item x="4"/>
        <item x="0"/>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
  </colFields>
  <colItems count="7">
    <i>
      <x/>
    </i>
    <i>
      <x v="1"/>
    </i>
    <i>
      <x v="2"/>
    </i>
    <i>
      <x v="3"/>
    </i>
    <i>
      <x v="4"/>
    </i>
    <i>
      <x v="5"/>
    </i>
    <i t="grand">
      <x/>
    </i>
  </colItems>
  <dataFields count="1">
    <dataField name="Cuenta de 3. Conoce los planes trazados para los próximos años en el interior de la Facultad"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9.xml><?xml version="1.0" encoding="utf-8"?>
<pivotTableDefinition xmlns="http://schemas.openxmlformats.org/spreadsheetml/2006/main" name="Tabla dinámica21"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7:H79"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showAll="0"/>
    <pivotField axis="axisCol" dataField="1" showAll="0">
      <items count="7">
        <item x="5"/>
        <item x="3"/>
        <item x="0"/>
        <item x="2"/>
        <item x="1"/>
        <item x="4"/>
        <item t="default"/>
      </items>
    </pivotField>
    <pivotField showAll="0"/>
    <pivotField showAll="0"/>
    <pivotField showAll="0"/>
    <pivotField showAll="0"/>
  </pivotFields>
  <rowItems count="1">
    <i/>
  </rowItems>
  <colFields count="1">
    <field x="20"/>
  </colFields>
  <colItems count="7">
    <i>
      <x/>
    </i>
    <i>
      <x v="1"/>
    </i>
    <i>
      <x v="2"/>
    </i>
    <i>
      <x v="3"/>
    </i>
    <i>
      <x v="4"/>
    </i>
    <i>
      <x v="5"/>
    </i>
    <i t="grand">
      <x/>
    </i>
  </colItems>
  <dataFields count="1">
    <dataField name="Cuenta de 12.1. Menciona las acciones que brindan posibilidades a los estudiantes para: Desarrollar procesos de investigación"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a dinámica9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70:I37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s>
  <rowItems count="1">
    <i/>
  </rowItems>
  <colFields count="1">
    <field x="96"/>
  </colFields>
  <colItems count="8">
    <i>
      <x/>
    </i>
    <i>
      <x v="1"/>
    </i>
    <i>
      <x v="2"/>
    </i>
    <i>
      <x v="3"/>
    </i>
    <i>
      <x v="4"/>
    </i>
    <i>
      <x v="5"/>
    </i>
    <i>
      <x v="6"/>
    </i>
    <i t="grand">
      <x/>
    </i>
  </colItems>
  <dataFields count="1">
    <dataField name="Cuenta de 68. Considero que las orientaciones de los directivos de mi programa académico son adecuadas. " fld="96" subtotal="count" baseField="0" baseItem="0"/>
  </dataFields>
  <formats count="1">
    <format dxfId="21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0.xml><?xml version="1.0" encoding="utf-8"?>
<pivotTableDefinition xmlns="http://schemas.openxmlformats.org/spreadsheetml/2006/main" name="Tabla dinámica6"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I23" firstHeaderRow="1" firstDataRow="2" firstDataCol="1"/>
  <pivotFields count="25">
    <pivotField showAll="0"/>
    <pivotField showAll="0">
      <items count="5">
        <item x="0"/>
        <item x="2"/>
        <item x="1"/>
        <item x="3"/>
        <item t="default"/>
      </items>
    </pivotField>
    <pivotField showAll="0"/>
    <pivotField showAll="0"/>
    <pivotField showAll="0"/>
    <pivotField showAll="0"/>
    <pivotField axis="axisCol" dataField="1" showAll="0">
      <items count="8">
        <item x="3"/>
        <item x="0"/>
        <item x="4"/>
        <item x="2"/>
        <item x="5"/>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
  </colFields>
  <colItems count="8">
    <i>
      <x/>
    </i>
    <i>
      <x v="1"/>
    </i>
    <i>
      <x v="2"/>
    </i>
    <i>
      <x v="3"/>
    </i>
    <i>
      <x v="4"/>
    </i>
    <i>
      <x v="5"/>
    </i>
    <i>
      <x v="6"/>
    </i>
    <i t="grand">
      <x/>
    </i>
  </colItems>
  <dataFields count="1">
    <dataField name="Cuenta de 4.3. Conoce los planes trazados para los próximos años en el interior del proyecto curricular en materia de: Extensión y proyección social"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1.xml><?xml version="1.0" encoding="utf-8"?>
<pivotTableDefinition xmlns="http://schemas.openxmlformats.org/spreadsheetml/2006/main" name="Tabla dinámica15"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3:H55"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2"/>
        <item x="0"/>
        <item x="3"/>
        <item x="1"/>
        <item x="4"/>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14"/>
  </colFields>
  <colItems count="7">
    <i>
      <x/>
    </i>
    <i>
      <x v="1"/>
    </i>
    <i>
      <x v="2"/>
    </i>
    <i>
      <x v="3"/>
    </i>
    <i>
      <x v="4"/>
    </i>
    <i>
      <x v="5"/>
    </i>
    <i t="grand">
      <x/>
    </i>
  </colItems>
  <dataFields count="1">
    <dataField name="Cuenta de 9.2. Considera que los recursos económicos son suficientes para el desarrollo de: Docencia"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2.xml><?xml version="1.0" encoding="utf-8"?>
<pivotTableDefinition xmlns="http://schemas.openxmlformats.org/spreadsheetml/2006/main" name="Tabla dinámica19"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9:H71"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1"/>
        <item x="3"/>
        <item x="0"/>
        <item x="2"/>
        <item x="4"/>
        <item t="default"/>
      </items>
    </pivotField>
    <pivotField showAll="0"/>
    <pivotField showAll="0"/>
    <pivotField showAll="0"/>
    <pivotField showAll="0"/>
    <pivotField showAll="0"/>
    <pivotField showAll="0"/>
  </pivotFields>
  <rowItems count="1">
    <i/>
  </rowItems>
  <colFields count="1">
    <field x="18"/>
  </colFields>
  <colItems count="7">
    <i>
      <x/>
    </i>
    <i>
      <x v="1"/>
    </i>
    <i>
      <x v="2"/>
    </i>
    <i>
      <x v="3"/>
    </i>
    <i>
      <x v="4"/>
    </i>
    <i>
      <x v="5"/>
    </i>
    <i t="grand">
      <x/>
    </i>
  </colItems>
  <dataFields count="1">
    <dataField name="Cuenta de 10.3. Menciona convenios y fuentes de financiación externa (local o extrajera), para el desarrollo de: Extensión y proyección social "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3.xml><?xml version="1.0" encoding="utf-8"?>
<pivotTableDefinition xmlns="http://schemas.openxmlformats.org/spreadsheetml/2006/main" name="Tabla dinámica8"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G31"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axis="axisCol" dataField="1" showAll="0">
      <items count="6">
        <item x="1"/>
        <item x="0"/>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
  </colFields>
  <colItems count="6">
    <i>
      <x/>
    </i>
    <i>
      <x v="1"/>
    </i>
    <i>
      <x v="2"/>
    </i>
    <i>
      <x v="3"/>
    </i>
    <i>
      <x v="4"/>
    </i>
    <i t="grand">
      <x/>
    </i>
  </colItems>
  <dataFields count="1">
    <dataField name="Cuenta de 6. Conoce la prospectiva de presentación de proyectos de investigación en el proyecto curricular y a qué línea le apuntan"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4.xml><?xml version="1.0" encoding="utf-8"?>
<pivotTableDefinition xmlns="http://schemas.openxmlformats.org/spreadsheetml/2006/main" name="Tabla dinámica24"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9:H91"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showAll="0"/>
    <pivotField showAll="0"/>
    <pivotField showAll="0"/>
    <pivotField showAll="0"/>
    <pivotField axis="axisCol" dataField="1" showAll="0">
      <items count="7">
        <item x="5"/>
        <item x="1"/>
        <item x="0"/>
        <item x="3"/>
        <item x="2"/>
        <item x="4"/>
        <item t="default"/>
      </items>
    </pivotField>
    <pivotField showAll="0"/>
  </pivotFields>
  <rowItems count="1">
    <i/>
  </rowItems>
  <colFields count="1">
    <field x="23"/>
  </colFields>
  <colItems count="7">
    <i>
      <x/>
    </i>
    <i>
      <x v="1"/>
    </i>
    <i>
      <x v="2"/>
    </i>
    <i>
      <x v="3"/>
    </i>
    <i>
      <x v="4"/>
    </i>
    <i>
      <x v="5"/>
    </i>
    <i t="grand">
      <x/>
    </i>
  </colItems>
  <dataFields count="1">
    <dataField name="Cuenta de 14. Menciona los medios que se utilizan para garantizar que la ejecución presupuestal sea eficaz y eficiente." fld="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5.xml><?xml version="1.0" encoding="utf-8"?>
<pivotTableDefinition xmlns="http://schemas.openxmlformats.org/spreadsheetml/2006/main" name="Tabla dinámica11"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1:H43"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1"/>
  </colFields>
  <colItems count="7">
    <i>
      <x/>
    </i>
    <i>
      <x v="1"/>
    </i>
    <i>
      <x v="2"/>
    </i>
    <i>
      <x v="3"/>
    </i>
    <i>
      <x v="4"/>
    </i>
    <i>
      <x v="5"/>
    </i>
    <i t="grand">
      <x/>
    </i>
  </colItems>
  <dataFields count="1">
    <dataField name="Cuenta de 8.2. Conoce las fuentes de financiación con las que se cuenta para el desarrollo de: Docencia"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6.xml><?xml version="1.0" encoding="utf-8"?>
<pivotTableDefinition xmlns="http://schemas.openxmlformats.org/spreadsheetml/2006/main" name="Tabla dinámica9"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H35"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axis="axisCol" dataField="1" showAll="0">
      <items count="7">
        <item x="1"/>
        <item x="3"/>
        <item x="2"/>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9"/>
  </colFields>
  <colItems count="7">
    <i>
      <x/>
    </i>
    <i>
      <x v="1"/>
    </i>
    <i>
      <x v="2"/>
    </i>
    <i>
      <x v="3"/>
    </i>
    <i>
      <x v="4"/>
    </i>
    <i>
      <x v="5"/>
    </i>
    <i t="grand">
      <x/>
    </i>
  </colItems>
  <dataFields count="1">
    <dataField name="Cuenta de 7. Menciona las líneas a las que apuntan los proyectos de investigación en el proyecto curricula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7.xml><?xml version="1.0" encoding="utf-8"?>
<pivotTableDefinition xmlns="http://schemas.openxmlformats.org/spreadsheetml/2006/main" name="Tabla dinámica17"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1:H63"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2"/>
        <item x="1"/>
        <item x="0"/>
        <item x="5"/>
        <item x="3"/>
        <item t="default"/>
      </items>
    </pivotField>
    <pivotField showAll="0"/>
    <pivotField showAll="0"/>
    <pivotField showAll="0"/>
    <pivotField showAll="0"/>
    <pivotField showAll="0"/>
    <pivotField showAll="0"/>
    <pivotField showAll="0"/>
    <pivotField showAll="0"/>
  </pivotFields>
  <rowItems count="1">
    <i/>
  </rowItems>
  <colFields count="1">
    <field x="16"/>
  </colFields>
  <colItems count="7">
    <i>
      <x/>
    </i>
    <i>
      <x v="1"/>
    </i>
    <i>
      <x v="2"/>
    </i>
    <i>
      <x v="3"/>
    </i>
    <i>
      <x v="4"/>
    </i>
    <i>
      <x v="5"/>
    </i>
    <i t="grand">
      <x/>
    </i>
  </colItems>
  <dataFields count="1">
    <dataField name="Cuenta de 10.1. Menciona convenios y fuentes de financiación externa (local o extrajera), para el desarrollo de: Investigación" fld="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8.xml><?xml version="1.0" encoding="utf-8"?>
<pivotTableDefinition xmlns="http://schemas.openxmlformats.org/spreadsheetml/2006/main" name="Tabla dinámica5"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H19" firstHeaderRow="1" firstDataRow="2" firstDataCol="1"/>
  <pivotFields count="25">
    <pivotField showAll="0"/>
    <pivotField showAll="0">
      <items count="5">
        <item x="0"/>
        <item x="2"/>
        <item x="1"/>
        <item x="3"/>
        <item t="default"/>
      </items>
    </pivotField>
    <pivotField showAll="0"/>
    <pivotField showAll="0"/>
    <pivotField showAll="0"/>
    <pivotField axis="axisCol" dataField="1" showAll="0">
      <items count="7">
        <item x="0"/>
        <item x="4"/>
        <item x="3"/>
        <item x="2"/>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
  </colFields>
  <colItems count="7">
    <i>
      <x/>
    </i>
    <i>
      <x v="1"/>
    </i>
    <i>
      <x v="2"/>
    </i>
    <i>
      <x v="3"/>
    </i>
    <i>
      <x v="4"/>
    </i>
    <i>
      <x v="5"/>
    </i>
    <i t="grand">
      <x/>
    </i>
  </colItems>
  <dataFields count="1">
    <dataField name="Cuenta de 4.2. Conoce los planes trazados para los próximos años en el interior del proyecto curricular en materia de: Docencia "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9.xml><?xml version="1.0" encoding="utf-8"?>
<pivotTableDefinition xmlns="http://schemas.openxmlformats.org/spreadsheetml/2006/main" name="Tabla dinámica16"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7:I59"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6"/>
        <item x="2"/>
        <item x="0"/>
        <item x="3"/>
        <item x="4"/>
        <item x="1"/>
        <item x="5"/>
        <item t="default"/>
      </items>
    </pivotField>
    <pivotField showAll="0"/>
    <pivotField showAll="0"/>
    <pivotField showAll="0"/>
    <pivotField showAll="0"/>
    <pivotField showAll="0"/>
    <pivotField showAll="0"/>
    <pivotField showAll="0"/>
    <pivotField showAll="0"/>
    <pivotField showAll="0"/>
  </pivotFields>
  <rowItems count="1">
    <i/>
  </rowItems>
  <colFields count="1">
    <field x="15"/>
  </colFields>
  <colItems count="8">
    <i>
      <x/>
    </i>
    <i>
      <x v="1"/>
    </i>
    <i>
      <x v="2"/>
    </i>
    <i>
      <x v="3"/>
    </i>
    <i>
      <x v="4"/>
    </i>
    <i>
      <x v="5"/>
    </i>
    <i>
      <x v="6"/>
    </i>
    <i t="grand">
      <x/>
    </i>
  </colItems>
  <dataFields count="1">
    <dataField name="Cuenta de 9.3. Considera que los recursos económicos son suficientes para el desarrollo de: - Extensión y proyección social"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a dinámica5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02:I20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0"/>
        <item x="1"/>
        <item x="4"/>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4"/>
  </colFields>
  <colItems count="8">
    <i>
      <x/>
    </i>
    <i>
      <x v="1"/>
    </i>
    <i>
      <x v="2"/>
    </i>
    <i>
      <x v="3"/>
    </i>
    <i>
      <x v="4"/>
    </i>
    <i>
      <x v="5"/>
    </i>
    <i>
      <x v="6"/>
    </i>
    <i t="grand">
      <x/>
    </i>
  </colItems>
  <dataFields count="1">
    <dataField name="Cuenta de 45. Conozco proyectos dirigidos a la comunidad y liderados por mi programa académico." fld="54" subtotal="count" baseField="0" baseItem="0"/>
  </dataFields>
  <formats count="1">
    <format dxfId="2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0.xml><?xml version="1.0" encoding="utf-8"?>
<pivotTableDefinition xmlns="http://schemas.openxmlformats.org/spreadsheetml/2006/main" name="Tabla dinámica1"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F3" firstHeaderRow="1" firstDataRow="2" firstDataCol="1"/>
  <pivotFields count="25">
    <pivotField showAll="0"/>
    <pivotField axis="axisCol" dataField="1"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
  </colFields>
  <colItems count="5">
    <i>
      <x/>
    </i>
    <i>
      <x v="1"/>
    </i>
    <i>
      <x v="2"/>
    </i>
    <i>
      <x v="3"/>
    </i>
    <i t="grand">
      <x/>
    </i>
  </colItems>
  <dataFields count="1">
    <dataField name="Cuenta de 1. Cumplimiento de las funciones sustantivas de docencia investigación y, extensión y proyección social "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1.xml><?xml version="1.0" encoding="utf-8"?>
<pivotTableDefinition xmlns="http://schemas.openxmlformats.org/spreadsheetml/2006/main" name="Tabla dinámica7"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H27"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axis="axisCol" dataField="1" showAll="0">
      <items count="7">
        <item x="1"/>
        <item x="0"/>
        <item x="3"/>
        <item x="2"/>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
  </colFields>
  <colItems count="7">
    <i>
      <x/>
    </i>
    <i>
      <x v="1"/>
    </i>
    <i>
      <x v="2"/>
    </i>
    <i>
      <x v="3"/>
    </i>
    <i>
      <x v="4"/>
    </i>
    <i>
      <x v="5"/>
    </i>
    <i t="grand">
      <x/>
    </i>
  </colItems>
  <dataFields count="1">
    <dataField name="Cuenta de 5. Conoce las líneas y proyectos de investigación que se desarrollan actualmente"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2.xml><?xml version="1.0" encoding="utf-8"?>
<pivotTableDefinition xmlns="http://schemas.openxmlformats.org/spreadsheetml/2006/main" name="Tabla dinámica12"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5:H47"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7">
        <item x="5"/>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7">
    <i>
      <x/>
    </i>
    <i>
      <x v="1"/>
    </i>
    <i>
      <x v="2"/>
    </i>
    <i>
      <x v="3"/>
    </i>
    <i>
      <x v="4"/>
    </i>
    <i>
      <x v="5"/>
    </i>
    <i t="grand">
      <x/>
    </i>
  </colItems>
  <dataFields count="1">
    <dataField name="Cuenta de 8.3. Conoce las fuentes de financiación con las que se cuenta para el desarrollo de: Extensión y proyección social"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3.xml><?xml version="1.0" encoding="utf-8"?>
<pivotTableDefinition xmlns="http://schemas.openxmlformats.org/spreadsheetml/2006/main" name="Tabla dinámica20"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3:H75"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axis="axisCol" dataField="1" showAll="0">
      <items count="7">
        <item x="3"/>
        <item x="2"/>
        <item x="0"/>
        <item x="1"/>
        <item x="5"/>
        <item x="4"/>
        <item t="default"/>
      </items>
    </pivotField>
    <pivotField showAll="0"/>
    <pivotField showAll="0"/>
    <pivotField showAll="0"/>
    <pivotField showAll="0"/>
    <pivotField showAll="0"/>
  </pivotFields>
  <rowItems count="1">
    <i/>
  </rowItems>
  <colFields count="1">
    <field x="19"/>
  </colFields>
  <colItems count="7">
    <i>
      <x/>
    </i>
    <i>
      <x v="1"/>
    </i>
    <i>
      <x v="2"/>
    </i>
    <i>
      <x v="3"/>
    </i>
    <i>
      <x v="4"/>
    </i>
    <i>
      <x v="5"/>
    </i>
    <i t="grand">
      <x/>
    </i>
  </colItems>
  <dataFields count="1">
    <dataField name="Cuenta de 11. Tiene conocimiento del impacto que genera el modelo de formación por ciclos"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4.xml><?xml version="1.0" encoding="utf-8"?>
<pivotTableDefinition xmlns="http://schemas.openxmlformats.org/spreadsheetml/2006/main" name="Tabla dinámica23"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5:H87" firstHeaderRow="1" firstDataRow="2" firstDataCol="1"/>
  <pivotFields count="25">
    <pivotField showAll="0"/>
    <pivotField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3"/>
        <item x="5"/>
        <item x="1"/>
        <item x="2"/>
        <item x="0"/>
        <item x="4"/>
        <item t="default"/>
      </items>
    </pivotField>
    <pivotField showAll="0"/>
    <pivotField showAll="0"/>
    <pivotField showAll="0"/>
    <pivotField axis="axisCol" dataField="1" showAll="0">
      <items count="7">
        <item x="3"/>
        <item x="2"/>
        <item x="0"/>
        <item x="1"/>
        <item x="4"/>
        <item x="5"/>
        <item t="default"/>
      </items>
    </pivotField>
    <pivotField showAll="0"/>
    <pivotField showAll="0"/>
  </pivotFields>
  <rowItems count="1">
    <i/>
  </rowItems>
  <colFields count="1">
    <field x="22"/>
  </colFields>
  <colItems count="7">
    <i>
      <x/>
    </i>
    <i>
      <x v="1"/>
    </i>
    <i>
      <x v="2"/>
    </i>
    <i>
      <x v="3"/>
    </i>
    <i>
      <x v="4"/>
    </i>
    <i>
      <x v="5"/>
    </i>
    <i t="grand">
      <x/>
    </i>
  </colItems>
  <dataFields count="1">
    <dataField name="Cuenta de 13. Menciona los planes de ejecución presupuestal para el mejoramiento de la infraestructura y equipos de apoyo"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5.xml><?xml version="1.0" encoding="utf-8"?>
<pivotTableDefinition xmlns="http://schemas.openxmlformats.org/spreadsheetml/2006/main" name="Tabla dinámica2"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H7" firstHeaderRow="1" firstDataRow="2" firstDataCol="1"/>
  <pivotFields count="25">
    <pivotField showAll="0"/>
    <pivotField showAll="0">
      <items count="5">
        <item x="0"/>
        <item x="2"/>
        <item x="1"/>
        <item x="3"/>
        <item t="default"/>
      </items>
    </pivotField>
    <pivotField axis="axisCol" dataField="1" showAll="0">
      <items count="7">
        <item x="5"/>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7">
    <i>
      <x/>
    </i>
    <i>
      <x v="1"/>
    </i>
    <i>
      <x v="2"/>
    </i>
    <i>
      <x v="3"/>
    </i>
    <i>
      <x v="4"/>
    </i>
    <i>
      <x v="5"/>
    </i>
    <i t="grand">
      <x/>
    </i>
  </colItems>
  <dataFields count="1">
    <dataField name="Cuenta de 2. Menciona las políticas y programas educativos de la Universidad Distrital Francisco José de Caldas que deben conocer estamentos: Plan Estratégico de Desarrollo, Proyecto Universitario Institucional (PUI), Proyecto Educativo de Programa (PEP)"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6.xml><?xml version="1.0" encoding="utf-8"?>
<pivotTableDefinition xmlns="http://schemas.openxmlformats.org/spreadsheetml/2006/main" name="Tabla dinámica4" cacheId="1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I15" firstHeaderRow="1" firstDataRow="2" firstDataCol="1"/>
  <pivotFields count="25">
    <pivotField showAll="0"/>
    <pivotField showAll="0">
      <items count="5">
        <item x="0"/>
        <item x="2"/>
        <item x="1"/>
        <item x="3"/>
        <item t="default"/>
      </items>
    </pivotField>
    <pivotField showAll="0"/>
    <pivotField showAll="0"/>
    <pivotField axis="axisCol" dataField="1" showAll="0">
      <items count="8">
        <item x="3"/>
        <item x="0"/>
        <item x="4"/>
        <item x="5"/>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
  </colFields>
  <colItems count="8">
    <i>
      <x/>
    </i>
    <i>
      <x v="1"/>
    </i>
    <i>
      <x v="2"/>
    </i>
    <i>
      <x v="3"/>
    </i>
    <i>
      <x v="4"/>
    </i>
    <i>
      <x v="5"/>
    </i>
    <i>
      <x v="6"/>
    </i>
    <i t="grand">
      <x/>
    </i>
  </colItems>
  <dataFields count="1">
    <dataField name="Cuenta de 4.1. Conoce los planes trazados para los próximos años en el interior del proyecto curricular en materia de: Investigación"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a dinámica9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78:I38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3"/>
        <item x="2"/>
        <item x="1"/>
        <item x="4"/>
        <item x="6"/>
        <item t="default"/>
      </items>
    </pivotField>
    <pivotField showAll="0"/>
    <pivotField showAll="0"/>
    <pivotField showAll="0"/>
    <pivotField showAll="0"/>
  </pivotFields>
  <rowItems count="1">
    <i/>
  </rowItems>
  <colFields count="1">
    <field x="98"/>
  </colFields>
  <colItems count="8">
    <i>
      <x/>
    </i>
    <i>
      <x v="1"/>
    </i>
    <i>
      <x v="2"/>
    </i>
    <i>
      <x v="3"/>
    </i>
    <i>
      <x v="4"/>
    </i>
    <i>
      <x v="5"/>
    </i>
    <i>
      <x v="6"/>
    </i>
    <i t="grand">
      <x/>
    </i>
  </colItems>
  <dataFields count="1">
    <dataField name="Cuenta de 70.1. Considero que la planta física de mi programa académico es: ADECUADA." fld="98" subtotal="count" baseField="0" baseItem="0"/>
  </dataFields>
  <formats count="1">
    <format dxfId="2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a dinámica6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8:I26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0"/>
        <item x="1"/>
        <item x="2"/>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8"/>
  </colFields>
  <colItems count="8">
    <i>
      <x/>
    </i>
    <i>
      <x v="1"/>
    </i>
    <i>
      <x v="2"/>
    </i>
    <i>
      <x v="3"/>
    </i>
    <i>
      <x v="4"/>
    </i>
    <i>
      <x v="5"/>
    </i>
    <i>
      <x v="6"/>
    </i>
    <i t="grand">
      <x/>
    </i>
  </colItems>
  <dataFields count="1">
    <dataField name="Cuenta de 51.5. Considero que los laboratorios y talleres disponibles en mi programa académico son: VENTILADOS." fld="68" subtotal="count" baseField="0" baseItem="0"/>
  </dataFields>
  <formats count="1">
    <format dxfId="21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8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6:I34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4"/>
        <item x="2"/>
        <item x="1"/>
        <item x="0"/>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90"/>
  </colFields>
  <colItems count="8">
    <i>
      <x/>
    </i>
    <i>
      <x v="1"/>
    </i>
    <i>
      <x v="2"/>
    </i>
    <i>
      <x v="3"/>
    </i>
    <i>
      <x v="4"/>
    </i>
    <i>
      <x v="5"/>
    </i>
    <i>
      <x v="6"/>
    </i>
    <i t="grand">
      <x/>
    </i>
  </colItems>
  <dataFields count="1">
    <dataField name="Cuenta de 64. Considero que la representación estudiantil cumple su papel de comunicación entre los directivos y los estudiantes." fld="90" subtotal="count" baseField="0" baseItem="0"/>
  </dataFields>
  <formats count="1">
    <format dxfId="1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a dinámica5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0:I21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0"/>
        <item x="2"/>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6"/>
  </colFields>
  <colItems count="8">
    <i>
      <x/>
    </i>
    <i>
      <x v="1"/>
    </i>
    <i>
      <x v="2"/>
    </i>
    <i>
      <x v="3"/>
    </i>
    <i>
      <x v="4"/>
    </i>
    <i>
      <x v="5"/>
    </i>
    <i>
      <x v="6"/>
    </i>
    <i t="grand">
      <x/>
    </i>
  </colItems>
  <dataFields count="1">
    <dataField name="Cuenta de 47. Desde mi programa académico se ayuda a resolver problemas de la comunidad." fld="56" subtotal="count" baseField="0" baseItem="0"/>
  </dataFields>
  <formats count="1">
    <format dxfId="2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a dinámica1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4:I7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1"/>
        <item x="4"/>
        <item x="2"/>
        <item x="3"/>
        <item x="5"/>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2"/>
  </colFields>
  <colItems count="8">
    <i>
      <x/>
    </i>
    <i>
      <x v="1"/>
    </i>
    <i>
      <x v="2"/>
    </i>
    <i>
      <x v="3"/>
    </i>
    <i>
      <x v="4"/>
    </i>
    <i>
      <x v="5"/>
    </i>
    <i>
      <x v="6"/>
    </i>
    <i t="grand">
      <x/>
    </i>
  </colItems>
  <dataFields count="1">
    <dataField name="Cuenta de 17.1. El programa académico al que pertenezco me brinda las posibilidades necesarias para: DESARROLLAR PROCESOS DE INVESTIGACIÓN." fld="22" subtotal="count" baseField="0" baseItem="0"/>
  </dataFields>
  <formats count="1">
    <format dxfId="2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a dinámica8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0:I33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6"/>
  </colFields>
  <colItems count="8">
    <i>
      <x/>
    </i>
    <i>
      <x v="1"/>
    </i>
    <i>
      <x v="2"/>
    </i>
    <i>
      <x v="3"/>
    </i>
    <i>
      <x v="4"/>
    </i>
    <i>
      <x v="5"/>
    </i>
    <i>
      <x v="6"/>
    </i>
    <i t="grand">
      <x/>
    </i>
  </colItems>
  <dataFields count="1">
    <dataField name="Cuenta de 62.1. La organización, administración y gestión de mi programa académico permite cumplir los objetivos de: DESARROLLO REGULAR DE LOS ESPACIOS Y DE LOS SEMESTRES ACADÉMICOS." fld="86" subtotal="count" baseField="0" baseItem="0"/>
  </dataFields>
  <formats count="1">
    <format dxfId="2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a dinámica2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6:I10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0"/>
  </colFields>
  <colItems count="8">
    <i>
      <x/>
    </i>
    <i>
      <x v="1"/>
    </i>
    <i>
      <x v="2"/>
    </i>
    <i>
      <x v="3"/>
    </i>
    <i>
      <x v="4"/>
    </i>
    <i>
      <x v="5"/>
    </i>
    <i>
      <x v="6"/>
    </i>
    <i t="grand">
      <x/>
    </i>
  </colItems>
  <dataFields count="1">
    <dataField name="Cuenta de 21. Los proyectos de grado pueden realizarse con intervención de estudiantes de diferentes programas académicos." fld="30" subtotal="count" baseField="0" baseItem="0"/>
  </dataFields>
  <formats count="1">
    <format dxfId="2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a dinámica5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98:I20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0"/>
        <item x="3"/>
        <item x="1"/>
        <item x="5"/>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3"/>
  </colFields>
  <colItems count="8">
    <i>
      <x/>
    </i>
    <i>
      <x v="1"/>
    </i>
    <i>
      <x v="2"/>
    </i>
    <i>
      <x v="3"/>
    </i>
    <i>
      <x v="4"/>
    </i>
    <i>
      <x v="5"/>
    </i>
    <i>
      <x v="6"/>
    </i>
    <i t="grand">
      <x/>
    </i>
  </colItems>
  <dataFields count="1">
    <dataField name="Cuenta de 44. Puedo identificar mejoras realizadas  en mi programa académico durante el último año." fld="53" subtotal="count" baseField="0" baseItem="0"/>
  </dataFields>
  <formats count="1">
    <format dxfId="2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a dinámica8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22:I32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1"/>
        <item x="0"/>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4"/>
  </colFields>
  <colItems count="8">
    <i>
      <x/>
    </i>
    <i>
      <x v="1"/>
    </i>
    <i>
      <x v="2"/>
    </i>
    <i>
      <x v="3"/>
    </i>
    <i>
      <x v="4"/>
    </i>
    <i>
      <x v="5"/>
    </i>
    <i>
      <x v="6"/>
    </i>
    <i t="grand">
      <x/>
    </i>
  </colItems>
  <dataFields count="1">
    <dataField name="Cuenta de 60. Las alternativas de grado actuales me permitirán terminar mis estudios en el tiempo previsto. " fld="84" subtotal="count" baseField="0" baseItem="0"/>
  </dataFields>
  <formats count="1">
    <format dxfId="2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a dinámica4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4:I17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7"/>
  </colFields>
  <colItems count="8">
    <i>
      <x/>
    </i>
    <i>
      <x v="1"/>
    </i>
    <i>
      <x v="2"/>
    </i>
    <i>
      <x v="3"/>
    </i>
    <i>
      <x v="4"/>
    </i>
    <i>
      <x v="5"/>
    </i>
    <i>
      <x v="6"/>
    </i>
    <i t="grand">
      <x/>
    </i>
  </colItems>
  <dataFields count="1">
    <dataField name="Cuenta de 38. Las evaluaciones practicadas en los diferentes espacios académicos son adecuadas e imparciales." fld="47" subtotal="count" baseField="0" baseItem="0"/>
  </dataFields>
  <formats count="1">
    <format dxfId="2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a dinámica3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2:H14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2"/>
        <item m="1" x="6"/>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9"/>
  </colFields>
  <colItems count="7">
    <i>
      <x/>
    </i>
    <i>
      <x v="1"/>
    </i>
    <i>
      <x v="2"/>
    </i>
    <i>
      <x v="3"/>
    </i>
    <i>
      <x v="5"/>
    </i>
    <i>
      <x v="6"/>
    </i>
    <i t="grand">
      <x/>
    </i>
  </colItems>
  <dataFields count="1">
    <dataField name="Cuenta de 30. Los docentes de mi programa académico cumplen con el contenido propuesto para los espacios académicos en cada semestre." fld="39" subtotal="count" baseField="0" baseItem="0"/>
  </dataFields>
  <formats count="1">
    <format dxfId="2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a dinámica3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0:I15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3"/>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1"/>
  </colFields>
  <colItems count="8">
    <i>
      <x/>
    </i>
    <i>
      <x v="1"/>
    </i>
    <i>
      <x v="2"/>
    </i>
    <i>
      <x v="3"/>
    </i>
    <i>
      <x v="4"/>
    </i>
    <i>
      <x v="5"/>
    </i>
    <i>
      <x v="6"/>
    </i>
    <i t="grand">
      <x/>
    </i>
  </colItems>
  <dataFields count="1">
    <dataField name="Cuenta de 32. Conozco las diferencias entre los programas de formación en ingeniería por ciclos y los programas de ingeniería tradicional." fld="41" subtotal="count" baseField="0" baseItem="0"/>
  </dataFields>
  <formats count="1">
    <format dxfId="22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a dinámica9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2:I38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2"/>
        <item x="0"/>
        <item x="1"/>
        <item x="4"/>
        <item x="6"/>
        <item t="default"/>
      </items>
    </pivotField>
    <pivotField showAll="0"/>
    <pivotField showAll="0"/>
    <pivotField showAll="0"/>
  </pivotFields>
  <rowItems count="1">
    <i/>
  </rowItems>
  <colFields count="1">
    <field x="99"/>
  </colFields>
  <colItems count="8">
    <i>
      <x/>
    </i>
    <i>
      <x v="1"/>
    </i>
    <i>
      <x v="2"/>
    </i>
    <i>
      <x v="3"/>
    </i>
    <i>
      <x v="4"/>
    </i>
    <i>
      <x v="5"/>
    </i>
    <i>
      <x v="6"/>
    </i>
    <i t="grand">
      <x/>
    </i>
  </colItems>
  <dataFields count="1">
    <dataField name="Cuenta de 70.2. Considero que la planta física de mi programa académico es: SUFICIENTE." fld="99" subtotal="count" baseField="0" baseItem="0"/>
  </dataFields>
  <formats count="1">
    <format dxfId="2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9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66:I36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s>
  <rowItems count="1">
    <i/>
  </rowItems>
  <colFields count="1">
    <field x="95"/>
  </colFields>
  <colItems count="8">
    <i>
      <x/>
    </i>
    <i>
      <x v="1"/>
    </i>
    <i>
      <x v="2"/>
    </i>
    <i>
      <x v="3"/>
    </i>
    <i>
      <x v="4"/>
    </i>
    <i>
      <x v="5"/>
    </i>
    <i>
      <x v="6"/>
    </i>
    <i t="grand">
      <x/>
    </i>
  </colItems>
  <dataFields count="1">
    <dataField name="Cuenta de 67.2. Considero que los medios empleados para la difusión de información de mi programa académico son: OPORTUNOS." fld="95" subtotal="count" baseField="0" baseItem="0"/>
  </dataFields>
  <formats count="1">
    <format dxfId="19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a dinámica5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4:I21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0"/>
        <item x="1"/>
        <item x="2"/>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7"/>
  </colFields>
  <colItems count="8">
    <i>
      <x/>
    </i>
    <i>
      <x v="1"/>
    </i>
    <i>
      <x v="2"/>
    </i>
    <i>
      <x v="3"/>
    </i>
    <i>
      <x v="4"/>
    </i>
    <i>
      <x v="5"/>
    </i>
    <i>
      <x v="6"/>
    </i>
    <i t="grand">
      <x/>
    </i>
  </colItems>
  <dataFields count="1">
    <dataField name="Cuenta de 48.1. Considero que el material bibliográfico es: SUFICIENTE." fld="57" subtotal="count" baseField="0" baseItem="0"/>
  </dataFields>
  <formats count="1">
    <format dxfId="2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a dinámica1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6:I4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3"/>
        <item x="1"/>
        <item x="5"/>
        <item x="0"/>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5"/>
  </colFields>
  <colItems count="8">
    <i>
      <x/>
    </i>
    <i>
      <x v="1"/>
    </i>
    <i>
      <x v="2"/>
    </i>
    <i>
      <x v="3"/>
    </i>
    <i>
      <x v="4"/>
    </i>
    <i>
      <x v="5"/>
    </i>
    <i>
      <x v="6"/>
    </i>
    <i t="grand">
      <x/>
    </i>
  </colItems>
  <dataFields count="1">
    <dataField name="Cuenta de 12. Conozco el proceso de selección y vinculación de los docentes." fld="15" subtotal="count" baseField="0" baseItem="0"/>
  </dataFields>
  <formats count="1">
    <format dxfId="22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a dinámica4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8:I18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8"/>
  </colFields>
  <colItems count="8">
    <i>
      <x/>
    </i>
    <i>
      <x v="1"/>
    </i>
    <i>
      <x v="2"/>
    </i>
    <i>
      <x v="3"/>
    </i>
    <i>
      <x v="4"/>
    </i>
    <i>
      <x v="5"/>
    </i>
    <i>
      <x v="6"/>
    </i>
    <i t="grand">
      <x/>
    </i>
  </colItems>
  <dataFields count="1">
    <dataField name="Cuenta de 39. Las reglas de evaluación están claramente definidas en el estatuto estudiantil." fld="48" subtotal="count" baseField="0" baseItem="0"/>
  </dataFields>
  <formats count="1">
    <format dxfId="2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a dinámica8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4:I33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1"/>
        <item x="0"/>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7"/>
  </colFields>
  <colItems count="8">
    <i>
      <x/>
    </i>
    <i>
      <x v="1"/>
    </i>
    <i>
      <x v="2"/>
    </i>
    <i>
      <x v="3"/>
    </i>
    <i>
      <x v="4"/>
    </i>
    <i>
      <x v="5"/>
    </i>
    <i>
      <x v="6"/>
    </i>
    <i t="grand">
      <x/>
    </i>
  </colItems>
  <dataFields count="1">
    <dataField name="Cuenta de 62.2. La organización, administración y gestión de mi programa académico permite cumplir los objetivos de: PROMOCIÓN DE LA CULTURA DE LA INVESTIGACIÓN." fld="87" subtotal="count" baseField="0" baseItem="0"/>
  </dataFields>
  <formats count="1">
    <format dxfId="2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a dinámica4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6:I18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x="1"/>
        <item x="0"/>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0"/>
  </colFields>
  <colItems count="8">
    <i>
      <x/>
    </i>
    <i>
      <x v="1"/>
    </i>
    <i>
      <x v="2"/>
    </i>
    <i>
      <x v="3"/>
    </i>
    <i>
      <x v="4"/>
    </i>
    <i>
      <x v="5"/>
    </i>
    <i>
      <x v="6"/>
    </i>
    <i t="grand">
      <x/>
    </i>
  </colItems>
  <dataFields count="1">
    <dataField name="Cuenta de 41. Los objetivos de cada uno de los espacios académicos son coherentes con los trabajos de aula solicitados por los docentes." fld="50" subtotal="count" baseField="0" baseItem="0"/>
  </dataFields>
  <formats count="1">
    <format dxfId="2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a dinámica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4:I3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x="0"/>
        <item x="1"/>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8">
    <i>
      <x/>
    </i>
    <i>
      <x v="1"/>
    </i>
    <i>
      <x v="2"/>
    </i>
    <i>
      <x v="3"/>
    </i>
    <i>
      <x v="4"/>
    </i>
    <i>
      <x v="5"/>
    </i>
    <i>
      <x v="6"/>
    </i>
    <i t="grand">
      <x/>
    </i>
  </colItems>
  <dataFields count="1">
    <dataField name="Cuenta de 9. Me siento a gusto con el número de estudiantes que se admiten y se inscriben en los diferentes espacios académicos." fld="12" subtotal="count" baseField="0" baseItem="0"/>
  </dataFields>
  <formats count="1">
    <format dxfId="23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a dinámica7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82:I28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2"/>
        <item x="0"/>
        <item x="1"/>
        <item x="3"/>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4"/>
  </colFields>
  <colItems count="8">
    <i>
      <x/>
    </i>
    <i>
      <x v="1"/>
    </i>
    <i>
      <x v="2"/>
    </i>
    <i>
      <x v="3"/>
    </i>
    <i>
      <x v="4"/>
    </i>
    <i>
      <x v="5"/>
    </i>
    <i>
      <x v="6"/>
    </i>
    <i t="grand">
      <x/>
    </i>
  </colItems>
  <dataFields count="1">
    <dataField name="Cuenta de 52.4. Considero que los materiales de apoyo audiovisual son: SOPORTADOS POR PERSONAL DEBIDAMENTE CAPACITADO." fld="74" subtotal="count" baseField="0" baseItem="0"/>
  </dataFields>
  <formats count="1">
    <format dxfId="2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a dinámica8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0:I35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5"/>
        <item x="0"/>
        <item x="1"/>
        <item x="4"/>
        <item x="3"/>
        <item x="6"/>
        <item t="default"/>
      </items>
    </pivotField>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91"/>
  </colFields>
  <colItems count="8">
    <i>
      <x/>
    </i>
    <i>
      <x v="1"/>
    </i>
    <i>
      <x v="2"/>
    </i>
    <i>
      <x v="3"/>
    </i>
    <i>
      <x v="4"/>
    </i>
    <i>
      <x v="5"/>
    </i>
    <i>
      <x v="6"/>
    </i>
    <i t="grand">
      <x/>
    </i>
  </colItems>
  <dataFields count="1">
    <dataField name="Cuenta de 65. Los representantes estudiantiles han liderado propuestas para el mejoramiento de mi programa académico. " fld="91" subtotal="count" baseField="0" baseItem="0"/>
  </dataFields>
  <formats count="1">
    <format dxfId="2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a dinámica6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4:I23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4"/>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2"/>
  </colFields>
  <colItems count="8">
    <i>
      <x/>
    </i>
    <i>
      <x v="1"/>
    </i>
    <i>
      <x v="2"/>
    </i>
    <i>
      <x v="3"/>
    </i>
    <i>
      <x v="4"/>
    </i>
    <i>
      <x v="5"/>
    </i>
    <i>
      <x v="6"/>
    </i>
    <i t="grand">
      <x/>
    </i>
  </colItems>
  <dataFields count="1">
    <dataField name="Cuenta de 49.3. Considero que los computadores y software disponibles en mi programa académico son: ACTUALIZADO." fld="62" subtotal="count" baseField="0" baseItem="0"/>
  </dataFields>
  <formats count="1">
    <format dxfId="2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a dinámica8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38:I34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8"/>
  </colFields>
  <colItems count="8">
    <i>
      <x/>
    </i>
    <i>
      <x v="1"/>
    </i>
    <i>
      <x v="2"/>
    </i>
    <i>
      <x v="3"/>
    </i>
    <i>
      <x v="4"/>
    </i>
    <i>
      <x v="5"/>
    </i>
    <i>
      <x v="6"/>
    </i>
    <i t="grand">
      <x/>
    </i>
  </colItems>
  <dataFields count="1">
    <dataField name="Cuenta de 62.3. La organización, administración y gestión de mi programa académico permite cumplir los objetivos de: INTEGRACIÓN CON LA COMUNIDAD Y CON EL ENTORNO." fld="88" subtotal="count" baseField="0" baseItem="0"/>
  </dataFields>
  <formats count="1">
    <format dxfId="2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7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8:I28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3"/>
  </colFields>
  <colItems count="8">
    <i>
      <x/>
    </i>
    <i>
      <x v="1"/>
    </i>
    <i>
      <x v="2"/>
    </i>
    <i>
      <x v="3"/>
    </i>
    <i>
      <x v="4"/>
    </i>
    <i>
      <x v="5"/>
    </i>
    <i>
      <x v="6"/>
    </i>
    <i t="grand">
      <x/>
    </i>
  </colItems>
  <dataFields count="1">
    <dataField name="Cuenta de 52.3. Considero que los materiales de apoyo audiovisual son: ACTUALIZADOS." fld="73" subtotal="count" baseField="0" baseItem="0"/>
  </dataFields>
  <formats count="1">
    <format dxfId="1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a dinámica4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4:I15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2"/>
        <item x="4"/>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2"/>
  </colFields>
  <colItems count="8">
    <i>
      <x/>
    </i>
    <i>
      <x v="1"/>
    </i>
    <i>
      <x v="2"/>
    </i>
    <i>
      <x v="3"/>
    </i>
    <i>
      <x v="4"/>
    </i>
    <i>
      <x v="5"/>
    </i>
    <i>
      <x v="6"/>
    </i>
    <i t="grand">
      <x/>
    </i>
  </colItems>
  <dataFields count="1">
    <dataField name="Cuenta de 33. Tengo claro qué es y para qué sirve el componente propedéutico en un programa de ingeniería por ciclos." fld="42" subtotal="count" baseField="0" baseItem="0"/>
  </dataFields>
  <formats count="1">
    <format dxfId="2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a dinámica3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4:I13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1"/>
        <item x="0"/>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7"/>
  </colFields>
  <colItems count="8">
    <i>
      <x/>
    </i>
    <i>
      <x v="1"/>
    </i>
    <i>
      <x v="2"/>
    </i>
    <i>
      <x v="3"/>
    </i>
    <i>
      <x v="4"/>
    </i>
    <i>
      <x v="5"/>
    </i>
    <i>
      <x v="6"/>
    </i>
    <i t="grand">
      <x/>
    </i>
  </colItems>
  <dataFields count="1">
    <dataField name="Cuenta de 28. El plan de estudios de mi programa académico se desarrolla empleando estrategias didácticas diversas." fld="37" subtotal="count" baseField="0" baseItem="0"/>
  </dataFields>
  <formats count="1">
    <format dxfId="2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a dinámica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I20" firstHeaderRow="1" firstDataRow="2" firstDataCol="1"/>
  <pivotFields count="103">
    <pivotField numFmtId="166" showAll="0"/>
    <pivotField showAll="0"/>
    <pivotField showAll="0"/>
    <pivotField showAll="0"/>
    <pivotField showAll="0"/>
    <pivotField showAll="0"/>
    <pivotField showAll="0"/>
    <pivotField showAll="0"/>
    <pivotField axis="axisCol" dataField="1" showAll="0">
      <items count="8">
        <item x="1"/>
        <item x="2"/>
        <item x="0"/>
        <item x="5"/>
        <item x="4"/>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
  </colFields>
  <colItems count="8">
    <i>
      <x/>
    </i>
    <i>
      <x v="1"/>
    </i>
    <i>
      <x v="2"/>
    </i>
    <i>
      <x v="3"/>
    </i>
    <i>
      <x v="4"/>
    </i>
    <i>
      <x v="5"/>
    </i>
    <i>
      <x v="6"/>
    </i>
    <i t="grand">
      <x/>
    </i>
  </colItems>
  <dataFields count="1">
    <dataField name="Cuenta de 5. He participado en la discusión y actualización del Proyecto Educativo de Programa." fld="8" subtotal="count" baseField="0" baseItem="0"/>
  </dataFields>
  <formats count="1">
    <format dxfId="2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I24" firstHeaderRow="1" firstDataRow="2" firstDataCol="1"/>
  <pivotFields count="103">
    <pivotField numFmtId="166" showAll="0"/>
    <pivotField showAll="0"/>
    <pivotField showAll="0"/>
    <pivotField showAll="0"/>
    <pivotField showAll="0"/>
    <pivotField showAll="0"/>
    <pivotField showAll="0"/>
    <pivotField showAll="0"/>
    <pivotField showAll="0"/>
    <pivotField axis="axisCol" dataField="1" showAll="0">
      <items count="8">
        <item x="0"/>
        <item x="2"/>
        <item x="4"/>
        <item x="1"/>
        <item x="3"/>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9"/>
  </colFields>
  <colItems count="8">
    <i>
      <x/>
    </i>
    <i>
      <x v="1"/>
    </i>
    <i>
      <x v="2"/>
    </i>
    <i>
      <x v="3"/>
    </i>
    <i>
      <x v="4"/>
    </i>
    <i>
      <x v="5"/>
    </i>
    <i>
      <x v="6"/>
    </i>
    <i t="grand">
      <x/>
    </i>
  </colItems>
  <dataFields count="1">
    <dataField name="Cuenta de 6. Conozco las funciones y me entero de las decisiones del Consejo Curricular de mi programa académico." fld="9" subtotal="count" baseField="0" baseItem="0"/>
  </dataFields>
  <formats count="1">
    <format dxfId="2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a dinámica5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06:I20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0"/>
        <item x="1"/>
        <item x="3"/>
        <item x="5"/>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5"/>
  </colFields>
  <colItems count="8">
    <i>
      <x/>
    </i>
    <i>
      <x v="1"/>
    </i>
    <i>
      <x v="2"/>
    </i>
    <i>
      <x v="3"/>
    </i>
    <i>
      <x v="4"/>
    </i>
    <i>
      <x v="5"/>
    </i>
    <i>
      <x v="6"/>
    </i>
    <i t="grand">
      <x/>
    </i>
  </colItems>
  <dataFields count="1">
    <dataField name="Cuenta de 46. He participado en proyectos dirigidos a la comunidad y liderados por el programa académico." fld="55" subtotal="count" baseField="0" baseItem="0"/>
  </dataFields>
  <formats count="1">
    <format dxfId="2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a dinámica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I4" firstHeaderRow="1" firstDataRow="2" firstDataCol="1"/>
  <pivotFields count="103">
    <pivotField numFmtId="166" showAll="0"/>
    <pivotField showAll="0"/>
    <pivotField showAll="0"/>
    <pivotField showAll="0"/>
    <pivotField axis="axisCol" dataField="1" showAll="0">
      <items count="8">
        <item x="0"/>
        <item x="5"/>
        <item x="3"/>
        <item x="2"/>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
  </colFields>
  <colItems count="8">
    <i>
      <x/>
    </i>
    <i>
      <x v="1"/>
    </i>
    <i>
      <x v="2"/>
    </i>
    <i>
      <x v="3"/>
    </i>
    <i>
      <x v="4"/>
    </i>
    <i>
      <x v="5"/>
    </i>
    <i>
      <x v="6"/>
    </i>
    <i t="grand">
      <x/>
    </i>
  </colItems>
  <dataFields count="1">
    <dataField name="Cuenta de 1. Conozco la misión de la Universidad Distrital Francisco José de Caldas" fld="4" subtotal="count" baseField="0" baseItem="0"/>
  </dataFields>
  <formats count="1">
    <format dxfId="2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a dinámica3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4:I11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2"/>
  </colFields>
  <colItems count="8">
    <i>
      <x/>
    </i>
    <i>
      <x v="1"/>
    </i>
    <i>
      <x v="2"/>
    </i>
    <i>
      <x v="3"/>
    </i>
    <i>
      <x v="4"/>
    </i>
    <i>
      <x v="5"/>
    </i>
    <i>
      <x v="6"/>
    </i>
    <i t="grand">
      <x/>
    </i>
  </colItems>
  <dataFields count="1">
    <dataField name="Cuenta de 23. Puedo inscribir espacios académicos en otras Instituciones y homologarlas en mi programa académico." fld="32" subtotal="count" baseField="0" baseItem="0"/>
  </dataFields>
  <formats count="1">
    <format dxfId="2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a dinámica3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0:I13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1"/>
        <item x="2"/>
        <item x="0"/>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6"/>
  </colFields>
  <colItems count="8">
    <i>
      <x/>
    </i>
    <i>
      <x v="1"/>
    </i>
    <i>
      <x v="2"/>
    </i>
    <i>
      <x v="3"/>
    </i>
    <i>
      <x v="4"/>
    </i>
    <i>
      <x v="5"/>
    </i>
    <i>
      <x v="6"/>
    </i>
    <i t="grand">
      <x/>
    </i>
  </colItems>
  <dataFields count="1">
    <dataField name="Cuenta de 27. Las estrategias didácticas empleadas en mi programa académico me permiten adquirir los conocimientos característicos de la profesión que escogí." fld="36" subtotal="count" baseField="0" baseItem="0"/>
  </dataFields>
  <formats count="1">
    <format dxfId="2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a dinámica2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8:I8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3"/>
        <item x="2"/>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3"/>
  </colFields>
  <colItems count="8">
    <i>
      <x/>
    </i>
    <i>
      <x v="1"/>
    </i>
    <i>
      <x v="2"/>
    </i>
    <i>
      <x v="3"/>
    </i>
    <i>
      <x v="4"/>
    </i>
    <i>
      <x v="5"/>
    </i>
    <i>
      <x v="6"/>
    </i>
    <i t="grand">
      <x/>
    </i>
  </colItems>
  <dataFields count="1">
    <dataField name="Cuenta de 17.2. El programa académico al que pertenezco me brinda las posibilidades necesarias para: FORMAR UN PENSAMIENTO CRÍTICO Y ÉTICO." fld="23" subtotal="count" baseField="0" baseItem="0"/>
  </dataFields>
  <formats count="1">
    <format dxfId="2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a dinámica6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42:I24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0"/>
        <item x="3"/>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4"/>
  </colFields>
  <colItems count="8">
    <i>
      <x/>
    </i>
    <i>
      <x v="1"/>
    </i>
    <i>
      <x v="2"/>
    </i>
    <i>
      <x v="3"/>
    </i>
    <i>
      <x v="4"/>
    </i>
    <i>
      <x v="5"/>
    </i>
    <i>
      <x v="6"/>
    </i>
    <i t="grand">
      <x/>
    </i>
  </colItems>
  <dataFields count="1">
    <dataField name="Cuenta de 51.1. Considero que los laboratorios y talleres disponibles en mi programa académico son: SUFICIENTES." fld="64" subtotal="count" baseField="0" baseItem="0"/>
  </dataFields>
  <formats count="1">
    <format dxfId="2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9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86:I38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2"/>
        <item x="1"/>
        <item x="0"/>
        <item x="4"/>
        <item x="6"/>
        <item t="default"/>
      </items>
    </pivotField>
    <pivotField showAll="0"/>
    <pivotField showAll="0"/>
  </pivotFields>
  <rowItems count="1">
    <i/>
  </rowItems>
  <colFields count="1">
    <field x="100"/>
  </colFields>
  <colItems count="8">
    <i>
      <x/>
    </i>
    <i>
      <x v="1"/>
    </i>
    <i>
      <x v="2"/>
    </i>
    <i>
      <x v="3"/>
    </i>
    <i>
      <x v="4"/>
    </i>
    <i>
      <x v="5"/>
    </i>
    <i>
      <x v="6"/>
    </i>
    <i t="grand">
      <x/>
    </i>
  </colItems>
  <dataFields count="1">
    <dataField name="Cuenta de 70.3. Considero que la planta física de mi programa académico es: CONSERVADA." fld="100" subtotal="count" baseField="0" baseItem="0"/>
  </dataFields>
  <formats count="1">
    <format dxfId="1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a dinámica3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8:I12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4"/>
        <item x="5"/>
        <item x="0"/>
        <item x="1"/>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3"/>
  </colFields>
  <colItems count="8">
    <i>
      <x/>
    </i>
    <i>
      <x v="1"/>
    </i>
    <i>
      <x v="2"/>
    </i>
    <i>
      <x v="3"/>
    </i>
    <i>
      <x v="4"/>
    </i>
    <i>
      <x v="5"/>
    </i>
    <i>
      <x v="6"/>
    </i>
    <i t="grand">
      <x/>
    </i>
  </colItems>
  <dataFields count="1">
    <dataField name="Cuenta de 24. En mi programa académico existen espacios académicos en donde se inscriben estudiantes de diferentes programas. " fld="33" subtotal="count" baseField="0" baseItem="0"/>
  </dataFields>
  <formats count="1">
    <format dxfId="2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a dinámica4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66:I16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2"/>
        <item x="4"/>
        <item x="1"/>
        <item x="0"/>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5"/>
  </colFields>
  <colItems count="8">
    <i>
      <x/>
    </i>
    <i>
      <x v="1"/>
    </i>
    <i>
      <x v="2"/>
    </i>
    <i>
      <x v="3"/>
    </i>
    <i>
      <x v="4"/>
    </i>
    <i>
      <x v="5"/>
    </i>
    <i>
      <x v="6"/>
    </i>
    <i t="grand">
      <x/>
    </i>
  </colItems>
  <dataFields count="1">
    <dataField name="Cuenta de 36. Mi proyecto de vida me motiva o me motivó a continuar con mis estudios de ingeniería. " fld="45" subtotal="count" baseField="0" baseItem="0"/>
  </dataFields>
  <formats count="1">
    <format dxfId="2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a dinámica2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0:I11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2"/>
        <item x="4"/>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1"/>
  </colFields>
  <colItems count="8">
    <i>
      <x/>
    </i>
    <i>
      <x v="1"/>
    </i>
    <i>
      <x v="2"/>
    </i>
    <i>
      <x v="3"/>
    </i>
    <i>
      <x v="4"/>
    </i>
    <i>
      <x v="5"/>
    </i>
    <i>
      <x v="6"/>
    </i>
    <i t="grand">
      <x/>
    </i>
  </colItems>
  <dataFields count="1">
    <dataField name="Cuenta de 22. Puedo inscribir espacios académicos en otros programas académicos." fld="31" subtotal="count" baseField="0" baseItem="0"/>
  </dataFields>
  <formats count="1">
    <format dxfId="2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a dinámica6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2:I26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0"/>
        <item x="3"/>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9"/>
  </colFields>
  <colItems count="8">
    <i>
      <x/>
    </i>
    <i>
      <x v="1"/>
    </i>
    <i>
      <x v="2"/>
    </i>
    <i>
      <x v="3"/>
    </i>
    <i>
      <x v="4"/>
    </i>
    <i>
      <x v="5"/>
    </i>
    <i>
      <x v="6"/>
    </i>
    <i t="grand">
      <x/>
    </i>
  </colItems>
  <dataFields count="1">
    <dataField name="Cuenta de 51.6. Considero que los laboratorios y talleres disponibles en mi programa académico son: ILUMINADOS." fld="69" subtotal="count" baseField="0" baseItem="0"/>
  </dataFields>
  <formats count="1">
    <format dxfId="24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a dinámica5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2:I22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0"/>
        <item x="1"/>
        <item x="2"/>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9"/>
  </colFields>
  <colItems count="8">
    <i>
      <x/>
    </i>
    <i>
      <x v="1"/>
    </i>
    <i>
      <x v="2"/>
    </i>
    <i>
      <x v="3"/>
    </i>
    <i>
      <x v="4"/>
    </i>
    <i>
      <x v="5"/>
    </i>
    <i>
      <x v="6"/>
    </i>
    <i t="grand">
      <x/>
    </i>
  </colItems>
  <dataFields count="1">
    <dataField name="Cuenta de 48.3. Considero que el material bibliográfico es: ACTUALIZADO." fld="59" subtotal="count" baseField="0" baseItem="0"/>
  </dataFields>
  <formats count="1">
    <format dxfId="2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a dinámica9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8:I36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0"/>
        <item x="1"/>
        <item x="3"/>
        <item x="6"/>
        <item t="default"/>
      </items>
    </pivotField>
    <pivotField showAll="0"/>
    <pivotField showAll="0"/>
    <pivotField showAll="0"/>
    <pivotField showAll="0"/>
    <pivotField showAll="0"/>
    <pivotField showAll="0"/>
    <pivotField showAll="0"/>
    <pivotField showAll="0"/>
    <pivotField showAll="0"/>
  </pivotFields>
  <rowItems count="1">
    <i/>
  </rowItems>
  <colFields count="1">
    <field x="93"/>
  </colFields>
  <colItems count="8">
    <i>
      <x/>
    </i>
    <i>
      <x v="1"/>
    </i>
    <i>
      <x v="2"/>
    </i>
    <i>
      <x v="3"/>
    </i>
    <i>
      <x v="4"/>
    </i>
    <i>
      <x v="5"/>
    </i>
    <i>
      <x v="6"/>
    </i>
    <i t="grand">
      <x/>
    </i>
  </colItems>
  <dataFields count="1">
    <dataField name="Cuenta de 66.2. Considero que los sistemas de información empleados por mi programa académico son: OPORTUNOS." fld="93" subtotal="count" baseField="0" baseItem="0"/>
  </dataFields>
  <formats count="1">
    <format dxfId="25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Tabla dinámica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H8" firstHeaderRow="1" firstDataRow="2" firstDataCol="1"/>
  <pivotFields count="103">
    <pivotField numFmtId="166" showAll="0"/>
    <pivotField showAll="0"/>
    <pivotField showAll="0"/>
    <pivotField showAll="0"/>
    <pivotField showAll="0"/>
    <pivotField axis="axisCol" dataField="1" showAll="0">
      <items count="7">
        <item x="4"/>
        <item x="3"/>
        <item x="2"/>
        <item x="1"/>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
  </colFields>
  <colItems count="7">
    <i>
      <x/>
    </i>
    <i>
      <x v="1"/>
    </i>
    <i>
      <x v="2"/>
    </i>
    <i>
      <x v="3"/>
    </i>
    <i>
      <x v="4"/>
    </i>
    <i>
      <x v="5"/>
    </i>
    <i t="grand">
      <x/>
    </i>
  </colItems>
  <dataFields count="1">
    <dataField name="Cuenta de 2. Considero que la Universidad Distrital Francisco José de Caldas es una alternativa real para acceder al conocimiento por parte de la población bogotana de menores ingresos." fld="5" subtotal="count" baseField="0" baseItem="0"/>
  </dataFields>
  <formats count="1">
    <format dxfId="25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Tabla dinámica8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8:I32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3"/>
  </colFields>
  <colItems count="8">
    <i>
      <x/>
    </i>
    <i>
      <x v="1"/>
    </i>
    <i>
      <x v="2"/>
    </i>
    <i>
      <x v="3"/>
    </i>
    <i>
      <x v="4"/>
    </i>
    <i>
      <x v="5"/>
    </i>
    <i>
      <x v="6"/>
    </i>
    <i t="grand">
      <x/>
    </i>
  </colItems>
  <dataFields count="1">
    <dataField name="Cuenta de 59. Puedo terminar mi pregrado en el tiempo establecido por mi programa académico. " fld="83" subtotal="count" baseField="0" baseItem="0"/>
  </dataFields>
  <formats count="1">
    <format dxfId="2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Tabla dinámica3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26:I12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5"/>
  </colFields>
  <colItems count="8">
    <i>
      <x/>
    </i>
    <i>
      <x v="1"/>
    </i>
    <i>
      <x v="2"/>
    </i>
    <i>
      <x v="3"/>
    </i>
    <i>
      <x v="4"/>
    </i>
    <i>
      <x v="5"/>
    </i>
    <i>
      <x v="6"/>
    </i>
    <i t="grand">
      <x/>
    </i>
  </colItems>
  <dataFields count="1">
    <dataField name="Cuenta de 26. Mi programa académico incentiva las actividades y proyectos extra clase que los estudiantes realizan. " fld="35" subtotal="count" baseField="0" baseItem="0"/>
  </dataFields>
  <formats count="1">
    <format dxfId="2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Tabla dinámica2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0:I9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3"/>
        <item x="2"/>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6"/>
  </colFields>
  <colItems count="8">
    <i>
      <x/>
    </i>
    <i>
      <x v="1"/>
    </i>
    <i>
      <x v="2"/>
    </i>
    <i>
      <x v="3"/>
    </i>
    <i>
      <x v="4"/>
    </i>
    <i>
      <x v="5"/>
    </i>
    <i>
      <x v="6"/>
    </i>
    <i t="grand">
      <x/>
    </i>
  </colItems>
  <dataFields count="1">
    <dataField name="Cuenta de 17.5. El programa académico al que pertenezco me brinda las posibilidades necesarias para: DESARROLLAR TEXTOS QUE ARGUMENTEN OPINIONES Y/O CONCEPTOS." fld="26" subtotal="count" baseField="0" baseItem="0"/>
  </dataFields>
  <formats count="1">
    <format dxfId="2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7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4:I29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1"/>
        <item x="3"/>
        <item x="0"/>
        <item x="4"/>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7"/>
  </colFields>
  <colItems count="8">
    <i>
      <x/>
    </i>
    <i>
      <x v="1"/>
    </i>
    <i>
      <x v="2"/>
    </i>
    <i>
      <x v="3"/>
    </i>
    <i>
      <x v="4"/>
    </i>
    <i>
      <x v="5"/>
    </i>
    <i>
      <x v="6"/>
    </i>
    <i t="grand">
      <x/>
    </i>
  </colItems>
  <dataFields count="1">
    <dataField name="Cuenta de 55. Participo o he participado en grupos y redes académicas externas a la Universidad Distrital Francisco José de Caldas." fld="77" subtotal="count" baseField="0" baseItem="0"/>
  </dataFields>
  <formats count="1">
    <format dxfId="1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Tabla dinámica7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90:I29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4"/>
        <item x="2"/>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6"/>
  </colFields>
  <colItems count="8">
    <i>
      <x/>
    </i>
    <i>
      <x v="1"/>
    </i>
    <i>
      <x v="2"/>
    </i>
    <i>
      <x v="3"/>
    </i>
    <i>
      <x v="4"/>
    </i>
    <i>
      <x v="5"/>
    </i>
    <i>
      <x v="6"/>
    </i>
    <i t="grand">
      <x/>
    </i>
  </colItems>
  <dataFields count="1">
    <dataField name="Cuenta de 54. Mi programa académico dispone de los recursos que necesito para desarrollar mis trabajos de investigación. " fld="76" subtotal="count" baseField="0" baseItem="0"/>
  </dataFields>
  <formats count="1">
    <format dxfId="2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Tabla dinámica4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62:I16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4"/>
  </colFields>
  <colItems count="8">
    <i>
      <x/>
    </i>
    <i>
      <x v="1"/>
    </i>
    <i>
      <x v="2"/>
    </i>
    <i>
      <x v="3"/>
    </i>
    <i>
      <x v="4"/>
    </i>
    <i>
      <x v="5"/>
    </i>
    <i>
      <x v="6"/>
    </i>
    <i t="grand">
      <x/>
    </i>
  </colItems>
  <dataFields count="1">
    <dataField name="Cuenta de 35. Ser ingeniero mejora las condiciones laborales del tecnólogo. " fld="44" subtotal="count" baseField="0" baseItem="0"/>
  </dataFields>
  <formats count="1">
    <format dxfId="25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Tabla dinámica1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62:I6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x="1"/>
        <item x="5"/>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9"/>
  </colFields>
  <colItems count="8">
    <i>
      <x/>
    </i>
    <i>
      <x v="1"/>
    </i>
    <i>
      <x v="2"/>
    </i>
    <i>
      <x v="3"/>
    </i>
    <i>
      <x v="4"/>
    </i>
    <i>
      <x v="5"/>
    </i>
    <i>
      <x v="6"/>
    </i>
    <i t="grand">
      <x/>
    </i>
  </colItems>
  <dataFields count="1">
    <dataField name="Cuenta de 15.2. Considero que el tiempo dedicado por los docentes de mi programa académico es adecuado para: LA INVESTIGACIÓN." fld="19" subtotal="count" baseField="0" baseItem="0"/>
  </dataFields>
  <formats count="1">
    <format dxfId="25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Tabla dinámica5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26:I22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4"/>
        <item x="5"/>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0"/>
  </colFields>
  <colItems count="8">
    <i>
      <x/>
    </i>
    <i>
      <x v="1"/>
    </i>
    <i>
      <x v="2"/>
    </i>
    <i>
      <x v="3"/>
    </i>
    <i>
      <x v="4"/>
    </i>
    <i>
      <x v="5"/>
    </i>
    <i>
      <x v="6"/>
    </i>
    <i t="grand">
      <x/>
    </i>
  </colItems>
  <dataFields count="1">
    <dataField name="Cuenta de 49.1. Considero que los computadores y software disponibles en mi programa académico son: SUFICIENTE." fld="60" subtotal="count" baseField="0" baseItem="0"/>
  </dataFields>
  <formats count="1">
    <format dxfId="25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Tabla dinámica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I3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1"/>
  </colFields>
  <colItems count="8">
    <i>
      <x/>
    </i>
    <i>
      <x v="1"/>
    </i>
    <i>
      <x v="2"/>
    </i>
    <i>
      <x v="3"/>
    </i>
    <i>
      <x v="4"/>
    </i>
    <i>
      <x v="5"/>
    </i>
    <i>
      <x v="6"/>
    </i>
    <i t="grand">
      <x/>
    </i>
  </colItems>
  <dataFields count="1">
    <dataField name="Cuenta de 8. Considero que el proceso admisión es transparente y equitativo." fld="11" subtotal="count" baseField="0" baseItem="0"/>
  </dataFields>
  <formats count="1">
    <format dxfId="2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Tabla dinámica1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4:I5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4"/>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7"/>
  </colFields>
  <colItems count="8">
    <i>
      <x/>
    </i>
    <i>
      <x v="1"/>
    </i>
    <i>
      <x v="2"/>
    </i>
    <i>
      <x v="3"/>
    </i>
    <i>
      <x v="4"/>
    </i>
    <i>
      <x v="5"/>
    </i>
    <i>
      <x v="6"/>
    </i>
    <i t="grand">
      <x/>
    </i>
  </colItems>
  <dataFields count="1">
    <dataField name="Cuenta de 14. Considero que el número de docentes al servicio de mi programa académico es suficiente." fld="17" subtotal="count" baseField="0" baseItem="0"/>
  </dataFields>
  <formats count="1">
    <format dxfId="2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Tabla dinámica7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2:I30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3"/>
        <item x="1"/>
        <item x="2"/>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9"/>
  </colFields>
  <colItems count="8">
    <i>
      <x/>
    </i>
    <i>
      <x v="1"/>
    </i>
    <i>
      <x v="2"/>
    </i>
    <i>
      <x v="3"/>
    </i>
    <i>
      <x v="4"/>
    </i>
    <i>
      <x v="5"/>
    </i>
    <i>
      <x v="6"/>
    </i>
    <i t="grand">
      <x/>
    </i>
  </colItems>
  <dataFields count="1">
    <dataField name="Cuenta de 57.1. Considero que los servicios de bienestar son: SUFICIENTE." fld="79" subtotal="count" baseField="0" baseItem="0"/>
  </dataFields>
  <formats count="1">
    <format dxfId="2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Tabla dinámica8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14:I31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2"/>
  </colFields>
  <colItems count="8">
    <i>
      <x/>
    </i>
    <i>
      <x v="1"/>
    </i>
    <i>
      <x v="2"/>
    </i>
    <i>
      <x v="3"/>
    </i>
    <i>
      <x v="4"/>
    </i>
    <i>
      <x v="5"/>
    </i>
    <i>
      <x v="6"/>
    </i>
    <i t="grand">
      <x/>
    </i>
  </colItems>
  <dataFields count="1">
    <dataField name="Cuenta de 58. Mi experiencia en éste programa académico me motiva a continuar en mi programa académico.  " fld="82" subtotal="count" baseField="0" baseItem="0"/>
  </dataFields>
  <formats count="1">
    <format dxfId="2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Tabla dinámica8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26:I32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0"/>
        <item x="1"/>
        <item x="2"/>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5"/>
  </colFields>
  <colItems count="8">
    <i>
      <x/>
    </i>
    <i>
      <x v="1"/>
    </i>
    <i>
      <x v="2"/>
    </i>
    <i>
      <x v="3"/>
    </i>
    <i>
      <x v="4"/>
    </i>
    <i>
      <x v="5"/>
    </i>
    <i>
      <x v="6"/>
    </i>
    <i t="grand">
      <x/>
    </i>
  </colItems>
  <dataFields count="1">
    <dataField name="Cuenta de 61. Considero que la atención por parte del personal administrativo de mi programa académico es idónea. " fld="85" subtotal="count" baseField="0" baseItem="0"/>
  </dataFields>
  <formats count="1">
    <format dxfId="2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Tabla dinámica2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2:I8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3"/>
        <item x="2"/>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4"/>
  </colFields>
  <colItems count="8">
    <i>
      <x/>
    </i>
    <i>
      <x v="1"/>
    </i>
    <i>
      <x v="2"/>
    </i>
    <i>
      <x v="3"/>
    </i>
    <i>
      <x v="4"/>
    </i>
    <i>
      <x v="5"/>
    </i>
    <i>
      <x v="6"/>
    </i>
    <i t="grand">
      <x/>
    </i>
  </colItems>
  <dataFields count="1">
    <dataField name="Cuenta de 17.3. El programa académico al que pertenezco me brinda las posibilidades necesarias para: GENERAR CONOCIMIENTO AL SERVICIO DE LA SOCIEDAD." fld="24" subtotal="count" baseField="0" baseItem="0"/>
  </dataFields>
  <formats count="1">
    <format dxfId="2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9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74:I37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0"/>
        <item x="1"/>
        <item x="2"/>
        <item x="3"/>
        <item x="6"/>
        <item t="default"/>
      </items>
    </pivotField>
    <pivotField showAll="0"/>
    <pivotField showAll="0"/>
    <pivotField showAll="0"/>
    <pivotField showAll="0"/>
    <pivotField showAll="0"/>
  </pivotFields>
  <rowItems count="1">
    <i/>
  </rowItems>
  <colFields count="1">
    <field x="97"/>
  </colFields>
  <colItems count="8">
    <i>
      <x/>
    </i>
    <i>
      <x v="1"/>
    </i>
    <i>
      <x v="2"/>
    </i>
    <i>
      <x v="3"/>
    </i>
    <i>
      <x v="4"/>
    </i>
    <i>
      <x v="5"/>
    </i>
    <i>
      <x v="6"/>
    </i>
    <i t="grand">
      <x/>
    </i>
  </colItems>
  <dataFields count="1">
    <dataField name="Cuenta de 69. Considero que el liderazgo ejercido por los directivos de mi programa académico es idóneo." fld="97" subtotal="count" baseField="0" baseItem="0"/>
  </dataFields>
  <formats count="1">
    <format dxfId="19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Tabla dinámica6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70:I27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2"/>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1"/>
  </colFields>
  <colItems count="8">
    <i>
      <x/>
    </i>
    <i>
      <x v="1"/>
    </i>
    <i>
      <x v="2"/>
    </i>
    <i>
      <x v="3"/>
    </i>
    <i>
      <x v="4"/>
    </i>
    <i>
      <x v="5"/>
    </i>
    <i>
      <x v="6"/>
    </i>
    <i t="grand">
      <x/>
    </i>
  </colItems>
  <dataFields count="1">
    <dataField name="Cuenta de 52.1. Considero que los materiales de apoyo audiovisual son: SUFICIENTES." fld="71" subtotal="count" baseField="0" baseItem="0"/>
  </dataFields>
  <formats count="1">
    <format dxfId="2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Tabla dinámica3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46:I14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0"/>
  </colFields>
  <colItems count="8">
    <i>
      <x/>
    </i>
    <i>
      <x v="1"/>
    </i>
    <i>
      <x v="2"/>
    </i>
    <i>
      <x v="3"/>
    </i>
    <i>
      <x v="4"/>
    </i>
    <i>
      <x v="5"/>
    </i>
    <i>
      <x v="6"/>
    </i>
    <i t="grand">
      <x/>
    </i>
  </colItems>
  <dataFields count="1">
    <dataField name="Cuenta de 31. Me siento a gusto con las estrategias de enseñanza utilizadas en mi programa académico." fld="40" subtotal="count" baseField="0" baseItem="0"/>
  </dataFields>
  <formats count="1">
    <format dxfId="2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Tabla dinámica2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4:I9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3"/>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7"/>
  </colFields>
  <colItems count="8">
    <i>
      <x/>
    </i>
    <i>
      <x v="1"/>
    </i>
    <i>
      <x v="2"/>
    </i>
    <i>
      <x v="3"/>
    </i>
    <i>
      <x v="4"/>
    </i>
    <i>
      <x v="5"/>
    </i>
    <i>
      <x v="6"/>
    </i>
    <i t="grand">
      <x/>
    </i>
  </colItems>
  <dataFields count="1">
    <dataField name="Cuenta de 18. El plan de estudios me permite cursar espacios académicos electivos en diversas áreas. " fld="27" subtotal="count" baseField="0" baseItem="0"/>
  </dataFields>
  <formats count="1">
    <format dxfId="2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Tabla dinámica1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8:I6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3"/>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8"/>
  </colFields>
  <colItems count="8">
    <i>
      <x/>
    </i>
    <i>
      <x v="1"/>
    </i>
    <i>
      <x v="2"/>
    </i>
    <i>
      <x v="3"/>
    </i>
    <i>
      <x v="4"/>
    </i>
    <i>
      <x v="5"/>
    </i>
    <i>
      <x v="6"/>
    </i>
    <i t="grand">
      <x/>
    </i>
  </colItems>
  <dataFields count="1">
    <dataField name="Cuenta de 15.1. Considero que el tiempo dedicado por los docentes de mi programa académico es adecuado para: LA ENSEÑANZA." fld="18" subtotal="count" baseField="0" baseItem="0"/>
  </dataFields>
  <formats count="1">
    <format dxfId="26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Tabla dinámica6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8:H24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m="1" x="6"/>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3"/>
  </colFields>
  <colItems count="7">
    <i>
      <x/>
    </i>
    <i>
      <x v="1"/>
    </i>
    <i>
      <x v="2"/>
    </i>
    <i>
      <x v="4"/>
    </i>
    <i>
      <x v="5"/>
    </i>
    <i>
      <x v="6"/>
    </i>
    <i t="grand">
      <x/>
    </i>
  </colItems>
  <dataFields count="1">
    <dataField name="Cuenta de 50. Durante el desarrollo de las clases se hace un adecuado uso de las herramientas poseídas por la Universidad Distrital Francisco José de Caldas tales como: laboratorios, talleres y medios audiovisuales." fld="63" subtotal="count" baseField="0" baseItem="0"/>
  </dataFields>
  <formats count="1">
    <format dxfId="2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Tabla dinámica6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4:I25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2"/>
        <item x="0"/>
        <item x="1"/>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7"/>
  </colFields>
  <colItems count="8">
    <i>
      <x/>
    </i>
    <i>
      <x v="1"/>
    </i>
    <i>
      <x v="2"/>
    </i>
    <i>
      <x v="3"/>
    </i>
    <i>
      <x v="4"/>
    </i>
    <i>
      <x v="5"/>
    </i>
    <i>
      <x v="6"/>
    </i>
    <i t="grand">
      <x/>
    </i>
  </colItems>
  <dataFields count="1">
    <dataField name="Cuenta de 51.4. Considero que los laboratorios y talleres disponibles en mi programa académico son: APOYADOS POR PERSONAL DEBIDAMENTE CAPACITADO." fld="67" subtotal="count" baseField="0" baseItem="0"/>
  </dataFields>
  <formats count="1">
    <format dxfId="27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Tabla dinámica47"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82:I18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2"/>
        <item x="3"/>
        <item x="1"/>
        <item x="0"/>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9"/>
  </colFields>
  <colItems count="8">
    <i>
      <x/>
    </i>
    <i>
      <x v="1"/>
    </i>
    <i>
      <x v="2"/>
    </i>
    <i>
      <x v="3"/>
    </i>
    <i>
      <x v="4"/>
    </i>
    <i>
      <x v="5"/>
    </i>
    <i>
      <x v="6"/>
    </i>
    <i t="grand">
      <x/>
    </i>
  </colItems>
  <dataFields count="1">
    <dataField name="Cuenta de 40. Los temas de los trabajos desarrollados en los espacios académicos despiertan mi interés personal y profesional." fld="49" subtotal="count" baseField="0" baseItem="0"/>
  </dataFields>
  <formats count="1">
    <format dxfId="2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Tabla dinámica7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06:I30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80"/>
  </colFields>
  <colItems count="8">
    <i>
      <x/>
    </i>
    <i>
      <x v="1"/>
    </i>
    <i>
      <x v="2"/>
    </i>
    <i>
      <x v="3"/>
    </i>
    <i>
      <x v="4"/>
    </i>
    <i>
      <x v="5"/>
    </i>
    <i>
      <x v="6"/>
    </i>
    <i t="grand">
      <x/>
    </i>
  </colItems>
  <dataFields count="1">
    <dataField name="Cuenta de 57.2. Considero que los servicios de bienestar son: ADECUADO." fld="80" subtotal="count" baseField="0" baseItem="0"/>
  </dataFields>
  <formats count="1">
    <format dxfId="27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Tabla dinámica5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18:I22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5"/>
        <item x="2"/>
        <item x="0"/>
        <item x="1"/>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58"/>
  </colFields>
  <colItems count="8">
    <i>
      <x/>
    </i>
    <i>
      <x v="1"/>
    </i>
    <i>
      <x v="2"/>
    </i>
    <i>
      <x v="3"/>
    </i>
    <i>
      <x v="4"/>
    </i>
    <i>
      <x v="5"/>
    </i>
    <i>
      <x v="6"/>
    </i>
    <i t="grand">
      <x/>
    </i>
  </colItems>
  <dataFields count="1">
    <dataField name="Cuenta de 48.2. Considero que el material bibliográfico es: ADECUADO." fld="58" subtotal="count" baseField="0" baseItem="0"/>
  </dataFields>
  <formats count="1">
    <format dxfId="27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Tabla dinámica6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50:I25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3"/>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6"/>
  </colFields>
  <colItems count="8">
    <i>
      <x/>
    </i>
    <i>
      <x v="1"/>
    </i>
    <i>
      <x v="2"/>
    </i>
    <i>
      <x v="3"/>
    </i>
    <i>
      <x v="4"/>
    </i>
    <i>
      <x v="5"/>
    </i>
    <i>
      <x v="6"/>
    </i>
    <i t="grand">
      <x/>
    </i>
  </colItems>
  <dataFields count="1">
    <dataField name="Cuenta de 51.3. Considero que los laboratorios y talleres disponibles en mi programa académico son: ACTUALIZADOS." fld="66" subtotal="count" baseField="0" baseItem="0"/>
  </dataFields>
  <formats count="1">
    <format dxfId="2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1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70:I7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3"/>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1"/>
  </colFields>
  <colItems count="8">
    <i>
      <x/>
    </i>
    <i>
      <x v="1"/>
    </i>
    <i>
      <x v="2"/>
    </i>
    <i>
      <x v="3"/>
    </i>
    <i>
      <x v="4"/>
    </i>
    <i>
      <x v="5"/>
    </i>
    <i>
      <x v="6"/>
    </i>
    <i t="grand">
      <x/>
    </i>
  </colItems>
  <dataFields count="1">
    <dataField name="Cuenta de 16. El plan de estudios formulado en mi programa académico es coherente con las competencias que yo espero fortalecer." fld="21" subtotal="count" baseField="0" baseItem="0"/>
  </dataFields>
  <formats count="1">
    <format dxfId="19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Tabla dinámica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H12" firstHeaderRow="1" firstDataRow="2" firstDataCol="1"/>
  <pivotFields count="103">
    <pivotField numFmtId="166" showAll="0"/>
    <pivotField showAll="0"/>
    <pivotField showAll="0"/>
    <pivotField showAll="0"/>
    <pivotField showAll="0"/>
    <pivotField showAll="0"/>
    <pivotField axis="axisCol" dataField="1" showAll="0">
      <items count="8">
        <item x="4"/>
        <item x="3"/>
        <item x="0"/>
        <item x="2"/>
        <item m="1" x="6"/>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
  </colFields>
  <colItems count="7">
    <i>
      <x/>
    </i>
    <i>
      <x v="1"/>
    </i>
    <i>
      <x v="2"/>
    </i>
    <i>
      <x v="3"/>
    </i>
    <i>
      <x v="5"/>
    </i>
    <i>
      <x v="6"/>
    </i>
    <i t="grand">
      <x/>
    </i>
  </colItems>
  <dataFields count="1">
    <dataField name="Cuenta de 3. Considero que la Universidad Distrital Francisco José de Caldas desarrolla una educación de alta calidad con capacidad de responder a los retos del Distrito Capital y del país." fld="6" subtotal="count" baseField="0" baseItem="0"/>
  </dataFields>
  <formats count="1">
    <format dxfId="2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Tabla dinámica3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38:I140"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4"/>
        <item x="3"/>
        <item x="1"/>
        <item x="2"/>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38"/>
  </colFields>
  <colItems count="8">
    <i>
      <x/>
    </i>
    <i>
      <x v="1"/>
    </i>
    <i>
      <x v="2"/>
    </i>
    <i>
      <x v="3"/>
    </i>
    <i>
      <x v="4"/>
    </i>
    <i>
      <x v="5"/>
    </i>
    <i>
      <x v="6"/>
    </i>
    <i t="grand">
      <x/>
    </i>
  </colItems>
  <dataFields count="1">
    <dataField name="Cuenta de 29. Me siento a gusto con las estrategias de enseñanza utilizadas en mi programa académico." fld="38" subtotal="count" baseField="0" baseItem="0"/>
  </dataFields>
  <formats count="1">
    <format dxfId="2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Tabla dinámica68"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6:I26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3"/>
        <item x="1"/>
        <item x="2"/>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0"/>
  </colFields>
  <colItems count="8">
    <i>
      <x/>
    </i>
    <i>
      <x v="1"/>
    </i>
    <i>
      <x v="2"/>
    </i>
    <i>
      <x v="3"/>
    </i>
    <i>
      <x v="4"/>
    </i>
    <i>
      <x v="5"/>
    </i>
    <i>
      <x v="6"/>
    </i>
    <i t="grand">
      <x/>
    </i>
  </colItems>
  <dataFields count="1">
    <dataField name="Cuenta de 51.7. Considero que los laboratorios y talleres disponibles en mi programa académico son: DISEÑADOS SEGÚN NORMAS DE SEGURIDAD." fld="70" subtotal="count" baseField="0" baseItem="0"/>
  </dataFields>
  <formats count="1">
    <format dxfId="2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Tabla dinámica90"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4:I356"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0"/>
        <item x="3"/>
        <item x="1"/>
        <item x="2"/>
        <item x="4"/>
        <item x="6"/>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92"/>
  </colFields>
  <colItems count="8">
    <i>
      <x/>
    </i>
    <i>
      <x v="1"/>
    </i>
    <i>
      <x v="2"/>
    </i>
    <i>
      <x v="3"/>
    </i>
    <i>
      <x v="4"/>
    </i>
    <i>
      <x v="5"/>
    </i>
    <i>
      <x v="6"/>
    </i>
    <i t="grand">
      <x/>
    </i>
  </colItems>
  <dataFields count="1">
    <dataField name="Cuenta de 66.1. Considero que los sistemas de información empleados por mi programa académico son: VERACES." fld="92" subtotal="count" baseField="0" baseItem="0"/>
  </dataFields>
  <formats count="1">
    <format dxfId="27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Tabla dinámica22"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6:I88"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3"/>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5"/>
  </colFields>
  <colItems count="8">
    <i>
      <x/>
    </i>
    <i>
      <x v="1"/>
    </i>
    <i>
      <x v="2"/>
    </i>
    <i>
      <x v="3"/>
    </i>
    <i>
      <x v="4"/>
    </i>
    <i>
      <x v="5"/>
    </i>
    <i>
      <x v="6"/>
    </i>
    <i t="grand">
      <x/>
    </i>
  </colItems>
  <dataFields count="1">
    <dataField name="Cuenta de 17.4. El programa académico al que pertenezco me brinda las posibilidades necesarias para: SER PARTE ACTIVA Y PARTICIPATIVA EN LA CULTURA CIUDADANA." fld="25" subtotal="count" baseField="0" baseItem="0"/>
  </dataFields>
  <formats count="1">
    <format dxfId="2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Tabla dinámica4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70:I17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2"/>
        <item x="1"/>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46"/>
  </colFields>
  <colItems count="8">
    <i>
      <x/>
    </i>
    <i>
      <x v="1"/>
    </i>
    <i>
      <x v="2"/>
    </i>
    <i>
      <x v="3"/>
    </i>
    <i>
      <x v="4"/>
    </i>
    <i>
      <x v="5"/>
    </i>
    <i>
      <x v="6"/>
    </i>
    <i t="grand">
      <x/>
    </i>
  </colItems>
  <dataFields count="1">
    <dataField name="Cuenta de 37. Considero o consideré atractivo la posibilidad de cursar una ingeniería en otra área del conocimiento. " fld="46" subtotal="count" baseField="0" baseItem="0"/>
  </dataFields>
  <formats count="1">
    <format dxfId="2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Tabla dinámica59"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30:I232"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3"/>
        <item x="4"/>
        <item x="1"/>
        <item x="2"/>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61"/>
  </colFields>
  <colItems count="8">
    <i>
      <x/>
    </i>
    <i>
      <x v="1"/>
    </i>
    <i>
      <x v="2"/>
    </i>
    <i>
      <x v="3"/>
    </i>
    <i>
      <x v="4"/>
    </i>
    <i>
      <x v="5"/>
    </i>
    <i>
      <x v="6"/>
    </i>
    <i t="grand">
      <x/>
    </i>
  </colItems>
  <dataFields count="1">
    <dataField name="Cuenta de 49.2. Considero que los computadores y software disponibles en mi programa académico son: ADECUADO." fld="61" subtotal="count" baseField="0" baseItem="0"/>
  </dataFields>
  <formats count="1">
    <format dxfId="2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Tabla dinámica26"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2:I104" firstHeaderRow="1" firstDataRow="2" firstDataCol="1"/>
  <pivotFields count="103">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2"/>
        <item x="3"/>
        <item x="1"/>
        <item x="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9"/>
  </colFields>
  <colItems count="8">
    <i>
      <x/>
    </i>
    <i>
      <x v="1"/>
    </i>
    <i>
      <x v="2"/>
    </i>
    <i>
      <x v="3"/>
    </i>
    <i>
      <x v="4"/>
    </i>
    <i>
      <x v="5"/>
    </i>
    <i>
      <x v="6"/>
    </i>
    <i t="grand">
      <x/>
    </i>
  </colItems>
  <dataFields count="1">
    <dataField name="Cuenta de 20. En mi programa académico existe proyectos de investigación con participación de personas de distintas áreas del conocimiento." fld="29" subtotal="count" baseField="0" baseItem="0"/>
  </dataFields>
  <formats count="1">
    <format dxfId="2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Tabla dinámica8"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82:I8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3"/>
        <item x="1"/>
        <item x="0"/>
        <item x="5"/>
        <item x="4"/>
        <item x="2"/>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0"/>
  </colFields>
  <colItems count="8">
    <i>
      <x/>
    </i>
    <i>
      <x v="1"/>
    </i>
    <i>
      <x v="2"/>
    </i>
    <i>
      <x v="3"/>
    </i>
    <i>
      <x v="4"/>
    </i>
    <i>
      <x v="5"/>
    </i>
    <i>
      <x v="6"/>
    </i>
    <i t="grand">
      <x/>
    </i>
  </colItems>
  <dataFields count="1">
    <dataField name="Cuenta de 19.3. Considero que el tiempo que dedico a las siguientes actividades es suficiente: A LA PARTICIPACIÓN EN PROYECTOS DE EXTENSIÓN." fld="30" subtotal="count" baseField="0" baseItem="0"/>
  </dataFields>
  <formats count="1">
    <format dxfId="9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Tabla dinámica27" cacheId="17"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02:I104" firstHeaderRow="1" firstDataRow="2" firstDataCol="1"/>
  <pivotFields count="99">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7">
        <item x="5"/>
        <item x="1"/>
        <item x="3"/>
        <item x="0"/>
        <item x="2"/>
        <item x="4"/>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Items count="1">
    <i/>
  </rowItems>
  <colFields count="1">
    <field x="35"/>
  </colFields>
  <colItems count="8">
    <i>
      <x/>
    </i>
    <i>
      <x v="1"/>
    </i>
    <i>
      <x v="2"/>
    </i>
    <i>
      <x v="3"/>
    </i>
    <i>
      <x v="4"/>
    </i>
    <i>
      <x v="5"/>
    </i>
    <i>
      <x v="6"/>
    </i>
    <i t="grand">
      <x/>
    </i>
  </colItems>
  <dataFields count="1">
    <dataField name="Cuenta de 24. Considero que la Universidad Distrital Francisco José de Caldas y el programa académico al cual pertenezco incentivan la producción de material de enseñanza (libros de texto, objetos de aprendizaje, material didáctico)." fld="35" subtotal="count" baseField="0" baseItem="0"/>
  </dataFields>
  <formats count="1">
    <format dxfId="1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260.xml"/><Relationship Id="rId13" Type="http://schemas.openxmlformats.org/officeDocument/2006/relationships/pivotTable" Target="../pivotTables/pivotTable265.xml"/><Relationship Id="rId18" Type="http://schemas.openxmlformats.org/officeDocument/2006/relationships/pivotTable" Target="../pivotTables/pivotTable270.xml"/><Relationship Id="rId3" Type="http://schemas.openxmlformats.org/officeDocument/2006/relationships/pivotTable" Target="../pivotTables/pivotTable255.xml"/><Relationship Id="rId21" Type="http://schemas.openxmlformats.org/officeDocument/2006/relationships/pivotTable" Target="../pivotTables/pivotTable273.xml"/><Relationship Id="rId7" Type="http://schemas.openxmlformats.org/officeDocument/2006/relationships/pivotTable" Target="../pivotTables/pivotTable259.xml"/><Relationship Id="rId12" Type="http://schemas.openxmlformats.org/officeDocument/2006/relationships/pivotTable" Target="../pivotTables/pivotTable264.xml"/><Relationship Id="rId17" Type="http://schemas.openxmlformats.org/officeDocument/2006/relationships/pivotTable" Target="../pivotTables/pivotTable269.xml"/><Relationship Id="rId2" Type="http://schemas.openxmlformats.org/officeDocument/2006/relationships/pivotTable" Target="../pivotTables/pivotTable254.xml"/><Relationship Id="rId16" Type="http://schemas.openxmlformats.org/officeDocument/2006/relationships/pivotTable" Target="../pivotTables/pivotTable268.xml"/><Relationship Id="rId20" Type="http://schemas.openxmlformats.org/officeDocument/2006/relationships/pivotTable" Target="../pivotTables/pivotTable272.xml"/><Relationship Id="rId1" Type="http://schemas.openxmlformats.org/officeDocument/2006/relationships/pivotTable" Target="../pivotTables/pivotTable253.xml"/><Relationship Id="rId6" Type="http://schemas.openxmlformats.org/officeDocument/2006/relationships/pivotTable" Target="../pivotTables/pivotTable258.xml"/><Relationship Id="rId11" Type="http://schemas.openxmlformats.org/officeDocument/2006/relationships/pivotTable" Target="../pivotTables/pivotTable263.xml"/><Relationship Id="rId24" Type="http://schemas.openxmlformats.org/officeDocument/2006/relationships/pivotTable" Target="../pivotTables/pivotTable276.xml"/><Relationship Id="rId5" Type="http://schemas.openxmlformats.org/officeDocument/2006/relationships/pivotTable" Target="../pivotTables/pivotTable257.xml"/><Relationship Id="rId15" Type="http://schemas.openxmlformats.org/officeDocument/2006/relationships/pivotTable" Target="../pivotTables/pivotTable267.xml"/><Relationship Id="rId23" Type="http://schemas.openxmlformats.org/officeDocument/2006/relationships/pivotTable" Target="../pivotTables/pivotTable275.xml"/><Relationship Id="rId10" Type="http://schemas.openxmlformats.org/officeDocument/2006/relationships/pivotTable" Target="../pivotTables/pivotTable262.xml"/><Relationship Id="rId19" Type="http://schemas.openxmlformats.org/officeDocument/2006/relationships/pivotTable" Target="../pivotTables/pivotTable271.xml"/><Relationship Id="rId4" Type="http://schemas.openxmlformats.org/officeDocument/2006/relationships/pivotTable" Target="../pivotTables/pivotTable256.xml"/><Relationship Id="rId9" Type="http://schemas.openxmlformats.org/officeDocument/2006/relationships/pivotTable" Target="../pivotTables/pivotTable261.xml"/><Relationship Id="rId14" Type="http://schemas.openxmlformats.org/officeDocument/2006/relationships/pivotTable" Target="../pivotTables/pivotTable266.xml"/><Relationship Id="rId22" Type="http://schemas.openxmlformats.org/officeDocument/2006/relationships/pivotTable" Target="../pivotTables/pivotTable27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17" Type="http://schemas.openxmlformats.org/officeDocument/2006/relationships/hyperlink" Target="http://www1.udistrital.edu.co:8080/web/comite-de-autoevaluacion-y-acreditacion-facultad-tecnologica/documento-maestro-2015" TargetMode="External"/><Relationship Id="rId299" Type="http://schemas.openxmlformats.org/officeDocument/2006/relationships/hyperlink" Target="http://www1.udistrital.edu.co:8080/web/vicerrectoria-academica/funciones" TargetMode="External"/><Relationship Id="rId21" Type="http://schemas.openxmlformats.org/officeDocument/2006/relationships/hyperlink" Target="http://sgral.udistrital.edu.co/xdata/csu/acu_1996-004.pdf" TargetMode="External"/><Relationship Id="rId63" Type="http://schemas.openxmlformats.org/officeDocument/2006/relationships/hyperlink" Target="file:///C:\Users\cacreditaciontec1\AppData\Roaming\Microsoft\Excel\Factor%201\Informe%20Enero%2011%20de%202018.docx" TargetMode="External"/><Relationship Id="rId159" Type="http://schemas.openxmlformats.org/officeDocument/2006/relationships/hyperlink" Target="http://www1.udistrital.edu.co:8080/es/web/tecnologia-en-electricidad/actas" TargetMode="External"/><Relationship Id="rId324" Type="http://schemas.openxmlformats.org/officeDocument/2006/relationships/hyperlink" Target="file:///C:\Users\cacreditaciontec1\AppData\Roaming\Microsoft\Excel\Factor%201\Anexo%2045.%20Autoevaluacion%202013.pdf" TargetMode="External"/><Relationship Id="rId366" Type="http://schemas.openxmlformats.org/officeDocument/2006/relationships/hyperlink" Target="http://www1.udistrital.edu.co:8080/web/comite-de-autoevaluacion-y-acreditacion-facultad-tecnologica/documento-maestro-2015" TargetMode="External"/><Relationship Id="rId170" Type="http://schemas.openxmlformats.org/officeDocument/2006/relationships/hyperlink" Target="http://www1.udistrital.edu.co:8080/en/web/ingenieria-electrica-por-ciclos-propedeuticos/plan-de-estudios" TargetMode="External"/><Relationship Id="rId226" Type="http://schemas.openxmlformats.org/officeDocument/2006/relationships/hyperlink" Target="http://www1.udistrital.edu.co:8080/web/unidad-de-investigaciones-de-la-facultad-tecnologica" TargetMode="External"/><Relationship Id="rId433" Type="http://schemas.openxmlformats.org/officeDocument/2006/relationships/hyperlink" Target="http://www1.udistrital.edu.co:8080/es/web/tecnologia-en-electricidad/actas" TargetMode="External"/><Relationship Id="rId268" Type="http://schemas.openxmlformats.org/officeDocument/2006/relationships/hyperlink" Target="http://tecelectrica.udistrital.edu.co:8080/c/document_library/get_file?uuid=c003847b-cb13-4572-a861-2187cb044b2c&amp;groupId=42567" TargetMode="External"/><Relationship Id="rId475" Type="http://schemas.openxmlformats.org/officeDocument/2006/relationships/vmlDrawing" Target="../drawings/vmlDrawing2.vml"/><Relationship Id="rId32" Type="http://schemas.openxmlformats.org/officeDocument/2006/relationships/hyperlink" Target="http://www.udistrital.edu.co:8080/en/web/docencia/actas-comite-de-puntaje" TargetMode="External"/><Relationship Id="rId74" Type="http://schemas.openxmlformats.org/officeDocument/2006/relationships/hyperlink" Target="http://www1.udistrital.edu.co:8080/web/comite-de-autoevaluacion-y-acreditacion-facultad-tecnologica/documento-maestro-2015" TargetMode="External"/><Relationship Id="rId128" Type="http://schemas.openxmlformats.org/officeDocument/2006/relationships/hyperlink" Target="file:///C:\Users\cacreditaciontec1\AppData\Roaming\Microsoft\Excel\Factor%201\Anexo%2045.%20Autoevaluacion%202013.pdf" TargetMode="External"/><Relationship Id="rId335" Type="http://schemas.openxmlformats.org/officeDocument/2006/relationships/hyperlink" Target="http://bienestar.udistrital.edu.co:8080/documents/76275/047ca77f-71a1-4667-9b6f-e09878ac97d4" TargetMode="External"/><Relationship Id="rId377" Type="http://schemas.openxmlformats.org/officeDocument/2006/relationships/hyperlink" Target="http://www1.udistrital.edu.co:8080/es/web/tecnologia-en-electricidad/actas" TargetMode="External"/><Relationship Id="rId5" Type="http://schemas.openxmlformats.org/officeDocument/2006/relationships/hyperlink" Target="http://planeacion.udistrital.edu.co:8080/pui" TargetMode="External"/><Relationship Id="rId181" Type="http://schemas.openxmlformats.org/officeDocument/2006/relationships/hyperlink" Target="http://planeacion.udistrital.edu.co:8080/plan-estrategico-de-desarrollo" TargetMode="External"/><Relationship Id="rId237" Type="http://schemas.openxmlformats.org/officeDocument/2006/relationships/hyperlink" Target="file:///C:\Users\cacreditaciontec1\AppData\Roaming\Microsoft\Excel\Investigacion\Producci&#243;n%20grupos%20de%20investigaci&#243;n" TargetMode="External"/><Relationship Id="rId402" Type="http://schemas.openxmlformats.org/officeDocument/2006/relationships/hyperlink" Target="http://idexud.udistrital.edu.co/idexud/proyectos_vigentes.php" TargetMode="External"/><Relationship Id="rId279" Type="http://schemas.openxmlformats.org/officeDocument/2006/relationships/hyperlink" Target="http://www1.udistrital.edu.co:8080/es/web/tecnologia-en-electricidad/pep" TargetMode="External"/><Relationship Id="rId444" Type="http://schemas.openxmlformats.org/officeDocument/2006/relationships/hyperlink" Target="http://bienestar.udistrital.edu.co:8080/inicio" TargetMode="External"/><Relationship Id="rId43" Type="http://schemas.openxmlformats.org/officeDocument/2006/relationships/hyperlink" Target="http://www2.icfesinteractivo.gov.co/result_ecaes/sniee_ind_resul_ecaes.htm" TargetMode="External"/><Relationship Id="rId139" Type="http://schemas.openxmlformats.org/officeDocument/2006/relationships/hyperlink" Target="http://www1.udistrital.edu.co:8080/web/comite-de-autoevaluacion-y-acreditacion-facultad-tecnologica/documento-maestro-2015" TargetMode="External"/><Relationship Id="rId290" Type="http://schemas.openxmlformats.org/officeDocument/2006/relationships/hyperlink" Target="http://www1.udistrital.edu.co:8080/web/comite-de-autoevaluacion-y-acreditacion-facultad-tecnologica/documento-maestro-2015" TargetMode="External"/><Relationship Id="rId304" Type="http://schemas.openxmlformats.org/officeDocument/2006/relationships/hyperlink" Target="http://planeacion.udistrital.edu.co:8080/plan-estrategico-de-desarrollo" TargetMode="External"/><Relationship Id="rId346" Type="http://schemas.openxmlformats.org/officeDocument/2006/relationships/hyperlink" Target="http://www1.udistrital.edu.co:8080/web/comite-de-autoevaluacion-y-acreditacion-facultad-tecnologica/empresarios" TargetMode="External"/><Relationship Id="rId388" Type="http://schemas.openxmlformats.org/officeDocument/2006/relationships/hyperlink" Target="file:///C:\Users\cacreditaciontec1\AppData\Roaming\Microsoft\Excel\Factor%201\Anexo%2045.%20Autoevaluacion%202013.pdf" TargetMode="External"/><Relationship Id="rId85" Type="http://schemas.openxmlformats.org/officeDocument/2006/relationships/hyperlink" Target="http://sgral.udistrital.edu.co/xdata/csu/acu_2002-011.pdf" TargetMode="External"/><Relationship Id="rId150" Type="http://schemas.openxmlformats.org/officeDocument/2006/relationships/hyperlink" Target="http://www1.udistrital.edu.co:8080/es/web/tecnologia-en-electricidad/actas" TargetMode="External"/><Relationship Id="rId192" Type="http://schemas.openxmlformats.org/officeDocument/2006/relationships/hyperlink" Target="file:///C:\Users\cacreditaciontec1\AppData\Roaming\Microsoft\Excel\Factor%201\Anexo%2044.%20Autoevaluaci&#243;n%202009.pdf" TargetMode="External"/><Relationship Id="rId206" Type="http://schemas.openxmlformats.org/officeDocument/2006/relationships/hyperlink" Target="file:///C:\Users\cacreditaciontec1\AppData\Roaming\Microsoft\Excel\Factor%201\Anexo%2044.%20Autoevaluaci&#243;n%202009.pdf" TargetMode="External"/><Relationship Id="rId413" Type="http://schemas.openxmlformats.org/officeDocument/2006/relationships/hyperlink" Target="http://www1.udistrital.edu.co:8080/documents/138540/429744/Acuerdo_01_2003.pdf" TargetMode="External"/><Relationship Id="rId248" Type="http://schemas.openxmlformats.org/officeDocument/2006/relationships/hyperlink" Target="http://www1.udistrital.edu.co:8080/es/web/tecnologia-en-electricidad/pep" TargetMode="External"/><Relationship Id="rId455" Type="http://schemas.openxmlformats.org/officeDocument/2006/relationships/hyperlink" Target="http://www1.udistrital.edu.co:8080/web/laboratorio-de-electricidad-facultad-tecnologica/estadisticas" TargetMode="External"/><Relationship Id="rId12" Type="http://schemas.openxmlformats.org/officeDocument/2006/relationships/hyperlink" Target="https://www.icetex.gov.co/portal/Portals/0/Creditos%20educativos/ies_convenio.pdf" TargetMode="External"/><Relationship Id="rId108" Type="http://schemas.openxmlformats.org/officeDocument/2006/relationships/hyperlink" Target="file:///C:\Users\cacreditaciontec1\AppData\Roaming\Microsoft\Excel\Plan%20de%20Mejoramiento%202013%20El&#233;ctrica.docx" TargetMode="External"/><Relationship Id="rId315" Type="http://schemas.openxmlformats.org/officeDocument/2006/relationships/hyperlink" Target="file:///D:\Volumes\TOSHIBA%20EXT\Autoevaluacio&#769;n%20PC%20Electricidad\DOCUMENTO%20MAESTRO%20FINAL\Anexos%20unificados%202%20febrero\Anexo%2044.%20Autoevaluacio&#769;n%202009.pdf" TargetMode="External"/><Relationship Id="rId357" Type="http://schemas.openxmlformats.org/officeDocument/2006/relationships/hyperlink" Target="http://www1.udistrital.edu.co:8080/web/laboratorio-de-electricidad-facultad-tecnologica/gestion-de-laboratorios" TargetMode="External"/><Relationship Id="rId54" Type="http://schemas.openxmlformats.org/officeDocument/2006/relationships/hyperlink" Target="http://cidc.udistrital.edu.co/web/" TargetMode="External"/><Relationship Id="rId96" Type="http://schemas.openxmlformats.org/officeDocument/2006/relationships/hyperlink" Target="file:///D:\Volumes\TOSHIBA%20EXT\Autoevaluacio&#769;n%20PC%20Electricidad\Recurso%20Fi&#769;sicos\1.%20Cuadros%20Maestros%20Espacios%20Fi&#769;sicos%20(1).xlsx" TargetMode="External"/><Relationship Id="rId161" Type="http://schemas.openxmlformats.org/officeDocument/2006/relationships/hyperlink" Target="http://tecelectrica.udistrital.edu.co:8080/plan-de-estudios1" TargetMode="External"/><Relationship Id="rId217" Type="http://schemas.openxmlformats.org/officeDocument/2006/relationships/hyperlink" Target="http://www1.udistrital.edu.co:8080/web/comite-de-autoevaluacion-y-acreditacion-facultad-tecnologica/documento-maestro-2015" TargetMode="External"/><Relationship Id="rId399" Type="http://schemas.openxmlformats.org/officeDocument/2006/relationships/hyperlink" Target="http://www1.udistrital.edu.co:8080/web/laboratorio-de-electricidad-facultad-tecnologica/laboratorio1" TargetMode="External"/><Relationship Id="rId259" Type="http://schemas.openxmlformats.org/officeDocument/2006/relationships/hyperlink" Target="http://www1.udistrital.edu.co:8080/web/comite-de-autoevaluacion-y-acreditacion-facultad-tecnologica/documento-maestro-2015" TargetMode="External"/><Relationship Id="rId424" Type="http://schemas.openxmlformats.org/officeDocument/2006/relationships/hyperlink" Target="http://www1.udistrital.edu.co:8080/web/comite-de-autoevaluacion-y-acreditacion-facultad-tecnologica/documento-autoeval-2013," TargetMode="External"/><Relationship Id="rId466" Type="http://schemas.openxmlformats.org/officeDocument/2006/relationships/hyperlink" Target="https://www.udistrital.edu.co/ii-congreso-internacional-en-tecnologia-e-ingenieria-electrica-citie-2017" TargetMode="External"/><Relationship Id="rId23" Type="http://schemas.openxmlformats.org/officeDocument/2006/relationships/hyperlink" Target="http://www.udistrital.edu.co:8080/documents/62257/568521f4-3b29-4e71-892d-2eebd6cfbf7f" TargetMode="External"/><Relationship Id="rId119" Type="http://schemas.openxmlformats.org/officeDocument/2006/relationships/hyperlink" Target="http://www1.udistrital.edu.co:8080/web/comite-de-autoevaluacion-y-acreditacion-facultad-tecnologica/documento-maestro-2015" TargetMode="External"/><Relationship Id="rId270" Type="http://schemas.openxmlformats.org/officeDocument/2006/relationships/hyperlink" Target="http://www1.udistrital.edu.co:8080/es/web/tecnologia-en-electricidad/pep" TargetMode="External"/><Relationship Id="rId326" Type="http://schemas.openxmlformats.org/officeDocument/2006/relationships/hyperlink" Target="http://www1.udistrital.edu.co:8080/web/comite-de-autoevaluacion-y-acreditacion-facultad-tecnologica/documento-maestro-2015" TargetMode="External"/><Relationship Id="rId65" Type="http://schemas.openxmlformats.org/officeDocument/2006/relationships/hyperlink" Target="http://www1.udistrital.edu.co:8080/web/secretaria-academica-de-la-facultad-tecnologica/actas1" TargetMode="External"/><Relationship Id="rId130" Type="http://schemas.openxmlformats.org/officeDocument/2006/relationships/hyperlink" Target="http://tecelectrica.udistrital.edu.co:8080/actas" TargetMode="External"/><Relationship Id="rId368" Type="http://schemas.openxmlformats.org/officeDocument/2006/relationships/hyperlink" Target="http://www1.udistrital.edu.co:8080/es/web/tecnologia-en-electricidad/pep" TargetMode="External"/><Relationship Id="rId172" Type="http://schemas.openxmlformats.org/officeDocument/2006/relationships/hyperlink" Target="http://www1.udistrital.edu.co:8080/web/comite-de-autoevaluacion-y-acreditacion-facultad-tecnologica/documento-maestro-2015" TargetMode="External"/><Relationship Id="rId228" Type="http://schemas.openxmlformats.org/officeDocument/2006/relationships/hyperlink" Target="http://www1.udistrital.edu.co:8080/web/comite-de-autoevaluacion-y-acreditacion-facultad-tecnologica/documento-maestro-2015" TargetMode="External"/><Relationship Id="rId435" Type="http://schemas.openxmlformats.org/officeDocument/2006/relationships/hyperlink" Target="http://tecelectrica.udistrital.edu.co:8080/plan-de-estudios1" TargetMode="External"/><Relationship Id="rId281" Type="http://schemas.openxmlformats.org/officeDocument/2006/relationships/hyperlink" Target="http://www1.udistrital.edu.co:8080/web/comite-de-autoevaluacion-y-acreditacion-facultad-tecnologica/documento-maestro-2015" TargetMode="External"/><Relationship Id="rId337" Type="http://schemas.openxmlformats.org/officeDocument/2006/relationships/hyperlink" Target="http://bienestar.udistrital.edu.co:8080/documents/76275/047ca77f-71a1-4667-9b6f-e09878ac97d4" TargetMode="External"/><Relationship Id="rId34" Type="http://schemas.openxmlformats.org/officeDocument/2006/relationships/hyperlink" Target="http://www.udistrital.edu.co:8080/documents/62257/568521f4-3b29-4e71-892d-2eebd6cfbf7f" TargetMode="External"/><Relationship Id="rId76" Type="http://schemas.openxmlformats.org/officeDocument/2006/relationships/hyperlink" Target="https://www.udistrital.edu.co/instructivo-admisiones" TargetMode="External"/><Relationship Id="rId141" Type="http://schemas.openxmlformats.org/officeDocument/2006/relationships/hyperlink" Target="http://www1.udistrital.edu.co:8080/en/web/ingenieria-electrica-por-ciclos-propedeuticos/plan-de-estudios" TargetMode="External"/><Relationship Id="rId379" Type="http://schemas.openxmlformats.org/officeDocument/2006/relationships/hyperlink" Target="http://www1.udistrital.edu.co:8080/es/web/tecnologia-en-electricidad/actas" TargetMode="External"/><Relationship Id="rId7" Type="http://schemas.openxmlformats.org/officeDocument/2006/relationships/hyperlink" Target="http://comunidad.udistrital.edu.co/cic/files/Libro-APORTES-UD-2014.pdf" TargetMode="External"/><Relationship Id="rId183" Type="http://schemas.openxmlformats.org/officeDocument/2006/relationships/hyperlink" Target="file:///C:\Users\cacreditaciontec1\AppData\Roaming\Microsoft\Excel\Factor%201\Anexo%2044.%20Autoevaluaci&#243;n%202009.pdf" TargetMode="External"/><Relationship Id="rId239" Type="http://schemas.openxmlformats.org/officeDocument/2006/relationships/hyperlink" Target="http://www1.udistrital.edu.co:8080/web/comite-de-autoevaluacion-y-acreditacion-facultad-tecnologica/documento-maestro-2015" TargetMode="External"/><Relationship Id="rId390" Type="http://schemas.openxmlformats.org/officeDocument/2006/relationships/hyperlink" Target="http://www1.udistrital.edu.co:8080/web/comite-de-autoevaluacion-y-acreditacion-facultad-tecnologica/documento-maestro-2015" TargetMode="External"/><Relationship Id="rId404" Type="http://schemas.openxmlformats.org/officeDocument/2006/relationships/hyperlink" Target="http://extensiontecnologica.udistrital.edu.co:8080/documents/138555/1323623/Portafolio" TargetMode="External"/><Relationship Id="rId446" Type="http://schemas.openxmlformats.org/officeDocument/2006/relationships/hyperlink" Target="http://www1.udistrital.edu.co:8080/documents/11171/b251dbd8-4924-4497-b73e-0eb9f9163683" TargetMode="External"/><Relationship Id="rId250" Type="http://schemas.openxmlformats.org/officeDocument/2006/relationships/hyperlink" Target="http://planeacion.udistrital.edu.co:8080/plan-estrategico-de-desarrollo" TargetMode="External"/><Relationship Id="rId292" Type="http://schemas.openxmlformats.org/officeDocument/2006/relationships/hyperlink" Target="http://www1.udistrital.edu.co:8080/web/comite-de-autoevaluacion-y-acreditacion-facultad-tecnologica/documento-maestro-2015" TargetMode="External"/><Relationship Id="rId306" Type="http://schemas.openxmlformats.org/officeDocument/2006/relationships/hyperlink" Target="file:///D:\Volumes\TOSHIBA%20EXT\Autoevaluacio&#769;n%20PC%20Electricidad\Plan%20de%20Mejoramiento%202013%20Ele&#769;ctrica.docx" TargetMode="External"/><Relationship Id="rId45" Type="http://schemas.openxmlformats.org/officeDocument/2006/relationships/hyperlink" Target="http://autoevaluacion.udistrital.edu.co/version3/index.php?page=UBHtwQjbRAAdWQijTOXhpftplpJmeKEpIPyeehxpSweumfTfcpCnxUK_llhtWVyfJQmoDhbpNvKjBuOdUCebQlCurMzoilVfjsIjFRUsiIspRQI&amp;accion=1" TargetMode="External"/><Relationship Id="rId87" Type="http://schemas.openxmlformats.org/officeDocument/2006/relationships/hyperlink" Target="https://www.udistrital.edu.co/en-busca-calidad-universitaria-se-realizara-jornada-induccion-nuevos-contratistas-profesores" TargetMode="External"/><Relationship Id="rId110" Type="http://schemas.openxmlformats.org/officeDocument/2006/relationships/hyperlink" Target="http://www1.udistrital.edu.co:8080/web/comite-de-autoevaluacion-y-acreditacion-facultad-tecnologica/documento-maestro-2015" TargetMode="External"/><Relationship Id="rId348" Type="http://schemas.openxmlformats.org/officeDocument/2006/relationships/hyperlink" Target="http://www1.udistrital.edu.co:8080/web/comite-de-autoevaluacion-y-acreditacion-facultad-tecnologica/planes-de-accion," TargetMode="External"/><Relationship Id="rId152" Type="http://schemas.openxmlformats.org/officeDocument/2006/relationships/hyperlink" Target="http://tecelectrica.udistrital.edu.co:8080/plan-de-estudios1" TargetMode="External"/><Relationship Id="rId194" Type="http://schemas.openxmlformats.org/officeDocument/2006/relationships/hyperlink" Target="http://www1.udistrital.edu.co:8080/web/comite-de-autoevaluacion-y-acreditacion-facultad-tecnologica/documento-maestro-2015" TargetMode="External"/><Relationship Id="rId208" Type="http://schemas.openxmlformats.org/officeDocument/2006/relationships/hyperlink" Target="http://www1.udistrital.edu.co:8080/web/comite-de-autoevaluacion-y-acreditacion-facultad-tecnologica/documento-maestro-2015" TargetMode="External"/><Relationship Id="rId415" Type="http://schemas.openxmlformats.org/officeDocument/2006/relationships/hyperlink" Target="http://sgral.udistrital.edu.co/xdata/csu/res_2011-012.pdf" TargetMode="External"/><Relationship Id="rId457" Type="http://schemas.openxmlformats.org/officeDocument/2006/relationships/hyperlink" Target="http://www1.udistrital.edu.co:8080/en/c/document_library/get_file?uuid=7fce4e68-d89d-4f8a-b984-d331d4fe337e&amp;groupId=42573" TargetMode="External"/><Relationship Id="rId261" Type="http://schemas.openxmlformats.org/officeDocument/2006/relationships/hyperlink" Target="http://ceri.udistrital.edu.co/plataforma/documentos/indicadores/informes-de-gestion" TargetMode="External"/><Relationship Id="rId14" Type="http://schemas.openxmlformats.org/officeDocument/2006/relationships/hyperlink" Target="http://sgral.udistrital.edu.co/xdata/ca/acu_2011-018.pdf" TargetMode="External"/><Relationship Id="rId56" Type="http://schemas.openxmlformats.org/officeDocument/2006/relationships/hyperlink" Target="http://acreditacion.udistrital.edu.co/documentos/plan_desarrollo.pdf" TargetMode="External"/><Relationship Id="rId317" Type="http://schemas.openxmlformats.org/officeDocument/2006/relationships/hyperlink" Target="file:///D:\Volumes\TOSHIBA%20EXT\Autoevaluacio&#769;n%20PC%20Electricidad\DOCUMENTO%20MAESTRO%20FINAL\Anexos%20unificados%202%20febrero\Anexo%2044.%20Autoevaluacio&#769;n%202009.pdf" TargetMode="External"/><Relationship Id="rId359" Type="http://schemas.openxmlformats.org/officeDocument/2006/relationships/hyperlink" Target="file:///D:\Users\ACREDITACI&#211;N%202019\Library\Containers\com.microsoft.Excel\Data\Library\Library\Containers\com.microsoft.Excel\Data\Library\Application%20Support\Microsoft\Extension" TargetMode="External"/><Relationship Id="rId98" Type="http://schemas.openxmlformats.org/officeDocument/2006/relationships/hyperlink" Target="http://chronos.udistrital.edu.co:8095/Icaro/planeacion/AdminiSeguimientoPlanAccion/Admin.x?accion=9&amp;idsperiodos=12;&amp;idDependencia=10&amp;value=15" TargetMode="External"/><Relationship Id="rId121" Type="http://schemas.openxmlformats.org/officeDocument/2006/relationships/hyperlink" Target="http://www1.udistrital.edu.co:8080/web/comite-de-autoevaluacion-y-acreditacion-facultad-tecnologica/documento-maestro-2015" TargetMode="External"/><Relationship Id="rId163" Type="http://schemas.openxmlformats.org/officeDocument/2006/relationships/hyperlink" Target="http://www1.udistrital.edu.co:8080/es/web/tecnologia-en-electricidad/actas" TargetMode="External"/><Relationship Id="rId219" Type="http://schemas.openxmlformats.org/officeDocument/2006/relationships/hyperlink" Target="http://planeacion.udistrital.edu.co:8080/plan-estrategico-de-desarrollo" TargetMode="External"/><Relationship Id="rId370" Type="http://schemas.openxmlformats.org/officeDocument/2006/relationships/hyperlink" Target="http://www1.udistrital.edu.co:8080/es/web/tecnologia-en-electricidad/actas" TargetMode="External"/><Relationship Id="rId426" Type="http://schemas.openxmlformats.org/officeDocument/2006/relationships/hyperlink" Target="http://www1.udistrital.edu.co:8080/web/comite-de-autoevaluacion-y-acreditacion-facultad-tecnologica/documento-autoeval-2013," TargetMode="External"/><Relationship Id="rId230" Type="http://schemas.openxmlformats.org/officeDocument/2006/relationships/hyperlink" Target="http://tecelectrica.udistrital.edu.co:8080/plan-de-estudios1" TargetMode="External"/><Relationship Id="rId468" Type="http://schemas.openxmlformats.org/officeDocument/2006/relationships/hyperlink" Target="http://www1.udistrital.edu.co:8080/es/web/tecnologia-en-electricidad/actas" TargetMode="External"/><Relationship Id="rId25" Type="http://schemas.openxmlformats.org/officeDocument/2006/relationships/hyperlink" Target="http://www.udistrital.edu.co:8080/documents/62257/568521f4-3b29-4e71-892d-2eebd6cfbf7f" TargetMode="External"/><Relationship Id="rId67" Type="http://schemas.openxmlformats.org/officeDocument/2006/relationships/hyperlink" Target="http://www1.udistrital.edu.co:8080/es/web/tecnologia-en-electricidad/actas" TargetMode="External"/><Relationship Id="rId272" Type="http://schemas.openxmlformats.org/officeDocument/2006/relationships/hyperlink" Target="http://www1.udistrital.edu.co:8080/es/web/tecnologia-en-electricidad/pep" TargetMode="External"/><Relationship Id="rId328" Type="http://schemas.openxmlformats.org/officeDocument/2006/relationships/hyperlink" Target="http://www1.udistrital.edu.co:8080/web/comite-de-autoevaluacion-y-acreditacion-facultad-tecnologica/documento-maestro-2015" TargetMode="External"/><Relationship Id="rId132" Type="http://schemas.openxmlformats.org/officeDocument/2006/relationships/hyperlink" Target="file:///C:\Users\cacreditaciontec1\AppData\Roaming\Microsoft\Excel\Factor%201\Anexo%2044.%20Autoevaluaci&#243;n%202009.pdf" TargetMode="External"/><Relationship Id="rId174" Type="http://schemas.openxmlformats.org/officeDocument/2006/relationships/hyperlink" Target="http://www1.udistrital.edu.co:8080/en/web/ingenieria-electrica-por-ciclos-propedeuticos/plan-de-estudios" TargetMode="External"/><Relationship Id="rId381" Type="http://schemas.openxmlformats.org/officeDocument/2006/relationships/hyperlink" Target="http://www1.udistrital.edu.co:8080/es/web/tecnologia-en-electricidad/actas" TargetMode="External"/><Relationship Id="rId241" Type="http://schemas.openxmlformats.org/officeDocument/2006/relationships/hyperlink" Target="http://www1.udistrital.edu.co:8080/es/web/tecnologia-en-electricidad/pep" TargetMode="External"/><Relationship Id="rId437" Type="http://schemas.openxmlformats.org/officeDocument/2006/relationships/hyperlink" Target="http://tecelectrica.udistrital.edu.co:8080/plan-de-estudios1" TargetMode="External"/><Relationship Id="rId36" Type="http://schemas.openxmlformats.org/officeDocument/2006/relationships/hyperlink" Target="http://www.udistrital.edu.co:8080/en/web/docencia/normatividad" TargetMode="External"/><Relationship Id="rId283" Type="http://schemas.openxmlformats.org/officeDocument/2006/relationships/hyperlink" Target="file:///C:\Users\cacreditaciontec1\AppData\Roaming\Microsoft\Excel\Factor%201\Anexo%2044.%20Autoevaluaci&#243;n%202009.pdf" TargetMode="External"/><Relationship Id="rId339" Type="http://schemas.openxmlformats.org/officeDocument/2006/relationships/hyperlink" Target="http://bienestar.udistrital.edu.co:8080/convenios-ud" TargetMode="External"/><Relationship Id="rId78" Type="http://schemas.openxmlformats.org/officeDocument/2006/relationships/hyperlink" Target="file:///C:\Users\cacreditaciontec1\AppData\Roaming\Microsoft\Excel\Factor%201\Acuerdo%2001%20de%2022-01-2015%20Admisio&#769;n%20nivel%20Ingenieri&#769;a.pdf" TargetMode="External"/><Relationship Id="rId101" Type="http://schemas.openxmlformats.org/officeDocument/2006/relationships/hyperlink" Target="http://www1.udistrital.edu.co:8080/web/comite-de-autoevaluacion-y-acreditacion-facultad-tecnologica/documento-maestro-2015" TargetMode="External"/><Relationship Id="rId143" Type="http://schemas.openxmlformats.org/officeDocument/2006/relationships/hyperlink" Target="http://www1.udistrital.edu.co:8080/web/comite-de-autoevaluacion-y-acreditacion-facultad-tecnologica/documento-maestro-2015" TargetMode="External"/><Relationship Id="rId185" Type="http://schemas.openxmlformats.org/officeDocument/2006/relationships/hyperlink" Target="http://www1.udistrital.edu.co:8080/web/comite-de-autoevaluacion-y-acreditacion-facultad-tecnologica/documento-maestro-2015" TargetMode="External"/><Relationship Id="rId350" Type="http://schemas.openxmlformats.org/officeDocument/2006/relationships/hyperlink" Target="http://www1.udistrital.edu.co:8080/es/web/tecnologia-en-electricidad/pep" TargetMode="External"/><Relationship Id="rId406" Type="http://schemas.openxmlformats.org/officeDocument/2006/relationships/hyperlink" Target="http://extensiontecnologica.udistrital.edu.co:8080/documents/138555/1323623/Portafolio" TargetMode="External"/><Relationship Id="rId9" Type="http://schemas.openxmlformats.org/officeDocument/2006/relationships/hyperlink" Target="http://bienestar.udistrital.edu.co:8080/apoyo-alimentario" TargetMode="External"/><Relationship Id="rId210" Type="http://schemas.openxmlformats.org/officeDocument/2006/relationships/hyperlink" Target="file:///C:\Users\cacreditaciontec1\AppData\Roaming\Microsoft\Excel\Factor%201\Anexo%2045.%20Autoevaluacion%202013.pdf" TargetMode="External"/><Relationship Id="rId392" Type="http://schemas.openxmlformats.org/officeDocument/2006/relationships/hyperlink" Target="http://www1.udistrital.edu.co:8080/web/comite-de-autoevaluacion-y-acreditacion-facultad-tecnologica/documento-maestro-2015" TargetMode="External"/><Relationship Id="rId448" Type="http://schemas.openxmlformats.org/officeDocument/2006/relationships/hyperlink" Target="http://idexud.udistrital.edu.co/idexud/actascomite/upload/as03_cce_25062015.pdf." TargetMode="External"/><Relationship Id="rId252" Type="http://schemas.openxmlformats.org/officeDocument/2006/relationships/hyperlink" Target="http://www1.udistrital.edu.co:8080/es/web/tecnologia-en-electricidad/actas" TargetMode="External"/><Relationship Id="rId294" Type="http://schemas.openxmlformats.org/officeDocument/2006/relationships/hyperlink" Target="http://planeacion.udistrital.edu.co:8080/sigud/organizacion" TargetMode="External"/><Relationship Id="rId308" Type="http://schemas.openxmlformats.org/officeDocument/2006/relationships/hyperlink" Target="file:///D:\Volumes\TOSHIBA%20EXT\Autoevaluacio&#769;n%20PC%20Electricidad\Plan%20de%20Mejoramiento%202013%20Ele&#769;ctrica.docx" TargetMode="External"/><Relationship Id="rId47" Type="http://schemas.openxmlformats.org/officeDocument/2006/relationships/hyperlink" Target="http://www.udistrital.edu.co:8080/web/unidad-de-extension-de-la-facultad-tecnologica/proyectos" TargetMode="External"/><Relationship Id="rId89" Type="http://schemas.openxmlformats.org/officeDocument/2006/relationships/hyperlink" Target="file:///C:\Users\cacreditaciontec1\AppData\Roaming\Microsoft\Excel\Docentes\Electricidad" TargetMode="External"/><Relationship Id="rId112" Type="http://schemas.openxmlformats.org/officeDocument/2006/relationships/hyperlink" Target="http://sgral.udistrital.edu.co/xdata/ca/res_2015-205.pdf" TargetMode="External"/><Relationship Id="rId154" Type="http://schemas.openxmlformats.org/officeDocument/2006/relationships/hyperlink" Target="http://tecelectrica.udistrital.edu.co:8080/plan-de-estudios1" TargetMode="External"/><Relationship Id="rId361" Type="http://schemas.openxmlformats.org/officeDocument/2006/relationships/hyperlink" Target="http://www1.udistrital.edu.co:8080/web/comite-de-autoevaluacion-y-acreditacion-facultad-tecnologica/documento-maestro-2015" TargetMode="External"/><Relationship Id="rId196" Type="http://schemas.openxmlformats.org/officeDocument/2006/relationships/hyperlink" Target="http://www1.udistrital.edu.co:8080/en/web/ingenieria-electrica-por-ciclos-propedeuticos/plan-de-estudios" TargetMode="External"/><Relationship Id="rId417" Type="http://schemas.openxmlformats.org/officeDocument/2006/relationships/hyperlink" Target="http://planeacion.udistrital.edu.co:8080/plan-estrategico-de-desarrollo" TargetMode="External"/><Relationship Id="rId459" Type="http://schemas.openxmlformats.org/officeDocument/2006/relationships/hyperlink" Target="http://www1.udistrital.edu.co:8080/web/laboratorio-de-electricidad-facultad-tecnologica/estadisticas" TargetMode="External"/><Relationship Id="rId16" Type="http://schemas.openxmlformats.org/officeDocument/2006/relationships/hyperlink" Target="http://acreditacion.udistrital.edu.co/documentacion/documentacion_01.html" TargetMode="External"/><Relationship Id="rId221" Type="http://schemas.openxmlformats.org/officeDocument/2006/relationships/hyperlink" Target="http://www1.udistrital.edu.co:8080/web/comite-de-autoevaluacion-y-acreditacion-facultad-tecnologica/documento-maestro-2015" TargetMode="External"/><Relationship Id="rId263" Type="http://schemas.openxmlformats.org/officeDocument/2006/relationships/hyperlink" Target="http://ceri.udistrital.edu.co/plataforma/documentos/indicadores/informes-de-gestion" TargetMode="External"/><Relationship Id="rId319" Type="http://schemas.openxmlformats.org/officeDocument/2006/relationships/hyperlink" Target="file:///D:\Volumes\TOSHIBA%20EXT\Autoevaluacio&#769;n%20PC%20Electricidad\DOCUMENTO%20MAESTRO%20FINAL\Anexos%20unificados%202%20febrero\Anexo%2044.%20Autoevaluacio&#769;n%202009.pdf" TargetMode="External"/><Relationship Id="rId470" Type="http://schemas.openxmlformats.org/officeDocument/2006/relationships/hyperlink" Target="https://sgral.udistrital.edu.co/xdata/csu/acu_1996-004.pdf" TargetMode="External"/><Relationship Id="rId58" Type="http://schemas.openxmlformats.org/officeDocument/2006/relationships/hyperlink" Target="https://portalws.udistrital.edu.co/oas/" TargetMode="External"/><Relationship Id="rId123" Type="http://schemas.openxmlformats.org/officeDocument/2006/relationships/hyperlink" Target="http://www1.udistrital.edu.co:8080/web/comite-de-autoevaluacion-y-acreditacion-facultad-tecnologica/documento-maestro-2015" TargetMode="External"/><Relationship Id="rId330" Type="http://schemas.openxmlformats.org/officeDocument/2006/relationships/hyperlink" Target="http://www1.udistrital.edu.co:8080/c/document_library/get_file?uuid=dbcc104f-6606-4f87-9281-f85b69114aac&amp;groupId=42573" TargetMode="External"/><Relationship Id="rId165" Type="http://schemas.openxmlformats.org/officeDocument/2006/relationships/hyperlink" Target="http://tecelectrica.udistrital.edu.co:8080/plan-de-estudios1" TargetMode="External"/><Relationship Id="rId372" Type="http://schemas.openxmlformats.org/officeDocument/2006/relationships/hyperlink" Target="https://www.udistrital.edu.co/normatividad/estatuto-estudiantil" TargetMode="External"/><Relationship Id="rId428" Type="http://schemas.openxmlformats.org/officeDocument/2006/relationships/hyperlink" Target="http://www1.udistrital.edu.co:8080/web/comite-de-autoevaluacion-y-acreditacion-facultad-tecnologica/documento-autoeval-2013," TargetMode="External"/><Relationship Id="rId232" Type="http://schemas.openxmlformats.org/officeDocument/2006/relationships/hyperlink" Target="http://planeacion.udistrital.edu.co:8080/plan-estrategico-de-desarrollo" TargetMode="External"/><Relationship Id="rId274" Type="http://schemas.openxmlformats.org/officeDocument/2006/relationships/hyperlink" Target="file:///C:\Users\cacreditaciontec1\AppData\Roaming\Microsoft\Excel\Factor%201\Anexo%2044.%20Autoevaluaci&#243;n%202009.pdf" TargetMode="External"/><Relationship Id="rId27" Type="http://schemas.openxmlformats.org/officeDocument/2006/relationships/hyperlink" Target="http://sgral.udistrital.edu.co/xdata/csu/acu_1996-004.pdf" TargetMode="External"/><Relationship Id="rId69" Type="http://schemas.openxmlformats.org/officeDocument/2006/relationships/hyperlink" Target="http://planeacion.udistrital.edu.co:8080/documents/280760/e85c9fe0-ba57-456e-b7cc-31fffdb12665" TargetMode="External"/><Relationship Id="rId134" Type="http://schemas.openxmlformats.org/officeDocument/2006/relationships/hyperlink" Target="http://www1.udistrital.edu.co:8080/web/comite-de-autoevaluacion-y-acreditacion-facultad-tecnologica/documento-maestro-2015" TargetMode="External"/><Relationship Id="rId80" Type="http://schemas.openxmlformats.org/officeDocument/2006/relationships/hyperlink" Target="http://www1.udistrital.edu.co:8080/web/comite-de-autoevaluacion-y-acreditacion-facultad-tecnologica/documento-maestro-2015" TargetMode="External"/><Relationship Id="rId176" Type="http://schemas.openxmlformats.org/officeDocument/2006/relationships/hyperlink" Target="http://www1.udistrital.edu.co:8080/web/comite-de-autoevaluacion-y-acreditacion-facultad-tecnologica/documento-maestro-2015" TargetMode="External"/><Relationship Id="rId341" Type="http://schemas.openxmlformats.org/officeDocument/2006/relationships/hyperlink" Target="file:///D:\Users\ACREDITACI&#211;N%202019\Library\Containers\com.microsoft.Excel\Data\Library\Library\Containers\com.microsoft.Excel\Data\Library\Application%20Support\Microsoft\Bienestar\estadisticas%20de%20la%20permanencia%20y%20....2009-2017.pdf" TargetMode="External"/><Relationship Id="rId383" Type="http://schemas.openxmlformats.org/officeDocument/2006/relationships/hyperlink" Target="http://tecelectrica.udistrital.edu.co:8080/docentes1" TargetMode="External"/><Relationship Id="rId439" Type="http://schemas.openxmlformats.org/officeDocument/2006/relationships/hyperlink" Target="http://tecelectrica.udistrital.edu.co:8080/pep" TargetMode="External"/><Relationship Id="rId201" Type="http://schemas.openxmlformats.org/officeDocument/2006/relationships/hyperlink" Target="http://www1.udistrital.edu.co:8080/web/comite-de-autoevaluacion-y-acreditacion-facultad-tecnologica/documento-maestro-2015" TargetMode="External"/><Relationship Id="rId243" Type="http://schemas.openxmlformats.org/officeDocument/2006/relationships/hyperlink" Target="http://www1.udistrital.edu.co:8080/es/web/tecnologia-en-electricidad/pep" TargetMode="External"/><Relationship Id="rId285" Type="http://schemas.openxmlformats.org/officeDocument/2006/relationships/hyperlink" Target="http://www1.udistrital.edu.co:8080/es/web/tecnologia-en-electricidad/pep" TargetMode="External"/><Relationship Id="rId450" Type="http://schemas.openxmlformats.org/officeDocument/2006/relationships/hyperlink" Target="http://www1.udistrital.edu.co:8080/c/document_library/get_file?uuid=840c1f51-4bb2-42f1-a536-16e30cd7f288&amp;groupId=42573" TargetMode="External"/><Relationship Id="rId38" Type="http://schemas.openxmlformats.org/officeDocument/2006/relationships/hyperlink" Target="http://www.udistrital.edu.co:8080/en/web/docencia/resultados" TargetMode="External"/><Relationship Id="rId103" Type="http://schemas.openxmlformats.org/officeDocument/2006/relationships/hyperlink" Target="file:///C:\Users\cacreditaciontec1\AppData\Roaming\Microsoft\Excel\Factor%201\Anexo%2045.%20Autoevaluacion%202013.pdf" TargetMode="External"/><Relationship Id="rId310" Type="http://schemas.openxmlformats.org/officeDocument/2006/relationships/hyperlink" Target="file:///D:\Volumes\TOSHIBA%20EXT\Autoevaluacio&#769;n%20PC%20Electricidad\Docentes\3.%20Profesores%20Electrica.xlsx" TargetMode="External"/><Relationship Id="rId91" Type="http://schemas.openxmlformats.org/officeDocument/2006/relationships/hyperlink" Target="http://www1.udistrital.edu.co:8080/en/web/docencia/actas-comite-de-puntaje" TargetMode="External"/><Relationship Id="rId145" Type="http://schemas.openxmlformats.org/officeDocument/2006/relationships/hyperlink" Target="http://www1.udistrital.edu.co:8080/web/comite-de-autoevaluacion-y-acreditacion-facultad-tecnologica/documento-maestro-2015" TargetMode="External"/><Relationship Id="rId187" Type="http://schemas.openxmlformats.org/officeDocument/2006/relationships/hyperlink" Target="http://www1.udistrital.edu.co:8080/es/web/tecnologia-en-electricidad/actas" TargetMode="External"/><Relationship Id="rId352" Type="http://schemas.openxmlformats.org/officeDocument/2006/relationships/hyperlink" Target="http://www1.udistrital.edu.co:8080/web/comite-de-autoevaluacion-y-acreditacion-facultad-tecnologica/empresarios" TargetMode="External"/><Relationship Id="rId394" Type="http://schemas.openxmlformats.org/officeDocument/2006/relationships/hyperlink" Target="http://tecelectrica.udistrital.edu.co:8080/plan-de-estudios1" TargetMode="External"/><Relationship Id="rId408" Type="http://schemas.openxmlformats.org/officeDocument/2006/relationships/hyperlink" Target="http://www1.udistrital.edu.co:8080/web/comite-de-autoevaluacion-y-acreditacion-facultad-tecnologica/actas" TargetMode="External"/><Relationship Id="rId212" Type="http://schemas.openxmlformats.org/officeDocument/2006/relationships/hyperlink" Target="file:///C:\Users\cacreditaciontec1\AppData\Roaming\Microsoft\Excel\Factor%201\Anexo%2045.%20Autoevaluacion%202013.pdf" TargetMode="External"/><Relationship Id="rId254" Type="http://schemas.openxmlformats.org/officeDocument/2006/relationships/hyperlink" Target="http://www1.udistrital.edu.co:8080/es/web/tecnologia-en-electricidad/actas" TargetMode="External"/><Relationship Id="rId49" Type="http://schemas.openxmlformats.org/officeDocument/2006/relationships/hyperlink" Target="https://www.udistrital.edu.co/" TargetMode="External"/><Relationship Id="rId114" Type="http://schemas.openxmlformats.org/officeDocument/2006/relationships/hyperlink" Target="file:///C:\Users\cacreditaciontec1\AppData\Roaming\Microsoft\Excel\Factor%201\Anexo%2044.%20Autoevaluaci&#243;n%202009.pdf" TargetMode="External"/><Relationship Id="rId296" Type="http://schemas.openxmlformats.org/officeDocument/2006/relationships/hyperlink" Target="http://chronos.udistrital.edu.co:8095/Icaro/planeacion/AdminiSeguimientoPlanAccion/Admin.x?accion=9&amp;idsperiodos=12;&amp;idDependencia=10&amp;value=15" TargetMode="External"/><Relationship Id="rId461" Type="http://schemas.openxmlformats.org/officeDocument/2006/relationships/hyperlink" Target="http://www1.udistrital.edu.co:8080/web/laboratorio-de-electricidad-facultad-tecnologica/estadisticas" TargetMode="External"/><Relationship Id="rId60" Type="http://schemas.openxmlformats.org/officeDocument/2006/relationships/hyperlink" Target="http://acreditacion.udistrital.edu.co/documentos/plan_desarrollo.pdf" TargetMode="External"/><Relationship Id="rId156" Type="http://schemas.openxmlformats.org/officeDocument/2006/relationships/hyperlink" Target="http://www1.udistrital.edu.co:8080/web/comite-de-autoevaluacion-y-acreditacion-facultad-tecnologica/documento-maestro-2015" TargetMode="External"/><Relationship Id="rId198" Type="http://schemas.openxmlformats.org/officeDocument/2006/relationships/hyperlink" Target="http://www1.udistrital.edu.co:8080/web/comite-de-autoevaluacion-y-acreditacion-facultad-tecnologica/documento-maestro-2015" TargetMode="External"/><Relationship Id="rId321" Type="http://schemas.openxmlformats.org/officeDocument/2006/relationships/hyperlink" Target="file:///D:\Volumes\TOSHIBA%20EXT\Autoevaluacio&#769;n%20PC%20Electricidad\DOCUMENTO%20MAESTRO%20FINAL\Anexos%20unificados%202%20febrero\Anexo%2044.%20Autoevaluacio&#769;n%202009.pdf" TargetMode="External"/><Relationship Id="rId363" Type="http://schemas.openxmlformats.org/officeDocument/2006/relationships/hyperlink" Target="http://www1.udistrital.edu.co:8080/es/web/tecnologia-en-electricidad/actas" TargetMode="External"/><Relationship Id="rId419" Type="http://schemas.openxmlformats.org/officeDocument/2006/relationships/hyperlink" Target="http://www1.udistrital.edu.co:8080/web/comite-de-autoevaluacion-y-acreditacion-facultad-tecnologica/documento-autoeval-2013," TargetMode="External"/><Relationship Id="rId223" Type="http://schemas.openxmlformats.org/officeDocument/2006/relationships/hyperlink" Target="file:///C:\Users\cacreditaciontec1\AppData\Roaming\Microsoft\Excel\Factor%201\Anexo%2044.%20Autoevaluaci&#243;n%202009.pdf" TargetMode="External"/><Relationship Id="rId430" Type="http://schemas.openxmlformats.org/officeDocument/2006/relationships/hyperlink" Target="http://www1.udistrital.edu.co:8080/web/comite-de-autoevaluacion-y-acreditacion-facultad-tecnologica/documento-autoeval-2013," TargetMode="External"/><Relationship Id="rId18" Type="http://schemas.openxmlformats.org/officeDocument/2006/relationships/hyperlink" Target="http://www.icfes.gov.co/resultados/saber-pro-resultados-individuales/resultadosagregados-saber-pro" TargetMode="External"/><Relationship Id="rId265" Type="http://schemas.openxmlformats.org/officeDocument/2006/relationships/hyperlink" Target="http://www1.udistrital.edu.co:8080/es/web/tecnologia-en-electricidad/pep" TargetMode="External"/><Relationship Id="rId472" Type="http://schemas.openxmlformats.org/officeDocument/2006/relationships/hyperlink" Target="http://planeacion.udistrital.edu.co:8080/sigud/procesos" TargetMode="External"/><Relationship Id="rId125" Type="http://schemas.openxmlformats.org/officeDocument/2006/relationships/hyperlink" Target="http://www1.udistrital.edu.co:8080/web/comite-de-autoevaluacion-y-acreditacion-facultad-tecnologica/documento-maestro-2015" TargetMode="External"/><Relationship Id="rId167" Type="http://schemas.openxmlformats.org/officeDocument/2006/relationships/hyperlink" Target="http://www1.udistrital.edu.co:8080/es/web/tecnologia-en-electricidad/actas" TargetMode="External"/><Relationship Id="rId332" Type="http://schemas.openxmlformats.org/officeDocument/2006/relationships/hyperlink" Target="http://sgral.udistrital.edu.co/xdata/ca/res_2015-206.pdf" TargetMode="External"/><Relationship Id="rId374" Type="http://schemas.openxmlformats.org/officeDocument/2006/relationships/hyperlink" Target="https://www.udistrital.edu.co/normatividad/estatuto-estudiantil" TargetMode="External"/><Relationship Id="rId71" Type="http://schemas.openxmlformats.org/officeDocument/2006/relationships/hyperlink" Target="http://www1.udistrital.edu.co:8080/c/document_library/get_file?uuid=911154e3-78a2-4fa4-a096-5e673ffdeddb&amp;groupId=606315" TargetMode="External"/><Relationship Id="rId234" Type="http://schemas.openxmlformats.org/officeDocument/2006/relationships/hyperlink" Target="http://www1.udistrital.edu.co:8080/web/comite-de-autoevaluacion-y-acreditacion-facultad-tecnologica/documento-maestro-2015" TargetMode="External"/><Relationship Id="rId2" Type="http://schemas.openxmlformats.org/officeDocument/2006/relationships/hyperlink" Target="http://comunidad.udistrital.edu.co/cic/files/Libro-APORTES-UD-2014.pdf" TargetMode="External"/><Relationship Id="rId29" Type="http://schemas.openxmlformats.org/officeDocument/2006/relationships/hyperlink" Target="http://sgral.udistrital.edu.co/sgral/index.php?option=com_content&amp;task=view&amp;id=90&amp;Itemid=90" TargetMode="External"/><Relationship Id="rId276" Type="http://schemas.openxmlformats.org/officeDocument/2006/relationships/hyperlink" Target="http://www1.udistrital.edu.co:8080/es/web/tecnologia-en-electricidad/pep" TargetMode="External"/><Relationship Id="rId441" Type="http://schemas.openxmlformats.org/officeDocument/2006/relationships/hyperlink" Target="http://www1.udistrital.edu.co:8080/documents/11171/b251dbd8-4924-4497-b73e-0eb9f9163683" TargetMode="External"/><Relationship Id="rId40" Type="http://schemas.openxmlformats.org/officeDocument/2006/relationships/hyperlink" Target="http://www.udistrital.edu.co:8080/en/web/docencia/resultados" TargetMode="External"/><Relationship Id="rId136" Type="http://schemas.openxmlformats.org/officeDocument/2006/relationships/hyperlink" Target="http://sgral.udistrital.edu.co/xdata/ca/acu_2006-009.pdf" TargetMode="External"/><Relationship Id="rId178" Type="http://schemas.openxmlformats.org/officeDocument/2006/relationships/hyperlink" Target="http://www1.udistrital.edu.co:8080/es/web/tecnologia-en-electricidad/pep" TargetMode="External"/><Relationship Id="rId301" Type="http://schemas.openxmlformats.org/officeDocument/2006/relationships/hyperlink" Target="http://www1.udistrital.edu.co:8080/web/vicerrectoria-academica/funciones" TargetMode="External"/><Relationship Id="rId343" Type="http://schemas.openxmlformats.org/officeDocument/2006/relationships/hyperlink" Target="http://www1.udistrital.edu.co:8080/web/comite-de-autoevaluacion-y-acreditacion-facultad-tecnologica/empresarios" TargetMode="External"/><Relationship Id="rId82" Type="http://schemas.openxmlformats.org/officeDocument/2006/relationships/hyperlink" Target="file:///C:\Users\cacreditaciontec1\AppData\Roaming\Microsoft\Excel\Factor%201\Anexo%2045.%20Autoevaluacion%202013.pdf" TargetMode="External"/><Relationship Id="rId203" Type="http://schemas.openxmlformats.org/officeDocument/2006/relationships/hyperlink" Target="file:///C:\Users\cacreditaciontec1\AppData\Roaming\Microsoft\Excel\Factor%201\Anexo%2044.%20Autoevaluaci&#243;n%202009.pdf" TargetMode="External"/><Relationship Id="rId385" Type="http://schemas.openxmlformats.org/officeDocument/2006/relationships/hyperlink" Target="http://tecelectrica.udistrital.edu.co:8080/docentes1" TargetMode="External"/><Relationship Id="rId245" Type="http://schemas.openxmlformats.org/officeDocument/2006/relationships/hyperlink" Target="http://www1.udistrital.edu.co:8080/es/web/tecnologia-en-electricidad/pep" TargetMode="External"/><Relationship Id="rId287" Type="http://schemas.openxmlformats.org/officeDocument/2006/relationships/hyperlink" Target="http://www1.udistrital.edu.co:8080/web/comite-de-autoevaluacion-y-acreditacion-facultad-tecnologica/documento-maestro-2015" TargetMode="External"/><Relationship Id="rId410" Type="http://schemas.openxmlformats.org/officeDocument/2006/relationships/hyperlink" Target="http://bienestar.udistrital.edu.co:8080/inicio/-/asset_publisher/YSp3/content/procesos-de-renovacion-icetex-2016?redirect=http%3A%2F%2Fbienestar.udistrital.edu.co%3A8080%2Finicio%3Fp_p_id%3D101_INSTANCE_YSp3%26p_p_lifecycle%3D0%26p_p_state%3Dnormal%26p_p_mode%3Dview%26p_p_col_id%3Dcolumn-1%26p_p_col_pos%3D1%26p_p_col_count%3D2" TargetMode="External"/><Relationship Id="rId452" Type="http://schemas.openxmlformats.org/officeDocument/2006/relationships/hyperlink" Target="http://www1.udistrital.edu.co:8080/web/laboratorio-de-electricidad-facultad-tecnologica/estadisticas" TargetMode="External"/><Relationship Id="rId30" Type="http://schemas.openxmlformats.org/officeDocument/2006/relationships/hyperlink" Target="http://sgral.udistrital.edu.co/sgral/index.php?option=com_content&amp;task=view&amp;id=90&amp;Itemid=90" TargetMode="External"/><Relationship Id="rId105" Type="http://schemas.openxmlformats.org/officeDocument/2006/relationships/hyperlink" Target="http://www1.udistrital.edu.co:8080/web/oficina-asesora-de-control-interno/informes1" TargetMode="External"/><Relationship Id="rId126" Type="http://schemas.openxmlformats.org/officeDocument/2006/relationships/hyperlink" Target="http://www1.udistrital.edu.co:8080/web/comite-de-autoevaluacion-y-acreditacion-facultad-tecnologica/documento-maestro-2015" TargetMode="External"/><Relationship Id="rId147" Type="http://schemas.openxmlformats.org/officeDocument/2006/relationships/hyperlink" Target="http://www1.udistrital.edu.co:8080/web/comite-de-autoevaluacion-y-acreditacion-facultad-tecnologica/documento-maestro-2015" TargetMode="External"/><Relationship Id="rId168" Type="http://schemas.openxmlformats.org/officeDocument/2006/relationships/hyperlink" Target="http://www1.udistrital.edu.co:8080/web/comite-de-autoevaluacion-y-acreditacion-facultad-tecnologica/documento-maestro-2015" TargetMode="External"/><Relationship Id="rId312" Type="http://schemas.openxmlformats.org/officeDocument/2006/relationships/hyperlink" Target="http://www1.udistrital.edu.co:8080/en/web/ingenieria-electrica-por-ciclos-propedeuticos/docentes" TargetMode="External"/><Relationship Id="rId333" Type="http://schemas.openxmlformats.org/officeDocument/2006/relationships/hyperlink" Target="http://cidc.udistrital.edu.co/web/index.php/documentacion/informes-de-gestion" TargetMode="External"/><Relationship Id="rId354" Type="http://schemas.openxmlformats.org/officeDocument/2006/relationships/hyperlink" Target="file:///D:\Users\ACREDITACI&#211;N%202019\Library\Containers\com.microsoft.Excel\Data\Library\Library\Containers\com.microsoft.Excel\Data\Library\Application%20Support\Microsoft\Recurso%20Fi&#769;sicos\Informes%20Gestio&#769;n%20PC" TargetMode="External"/><Relationship Id="rId51" Type="http://schemas.openxmlformats.org/officeDocument/2006/relationships/hyperlink" Target="http://ceri.udistrital.edu.co/cooperacion/proyectos/alternativa" TargetMode="External"/><Relationship Id="rId72" Type="http://schemas.openxmlformats.org/officeDocument/2006/relationships/hyperlink" Target="file:///D:\Volumes\TOSHIBA%20EXT\Autoevaluacio&#769;n%20PC%20Electricidad\DOCUMENTO%20MAESTRO%20FINAL\Anexos%20unificados%202%20febrero\Anexo%2044.%20Autoevaluacio&#769;n%202009.pdf" TargetMode="External"/><Relationship Id="rId93" Type="http://schemas.openxmlformats.org/officeDocument/2006/relationships/hyperlink" Target="http://planeacion.udistrital.edu.co:8080/documents/280760/2d37fee6-f22f-441e-a216-6c27e3b261cd" TargetMode="External"/><Relationship Id="rId189" Type="http://schemas.openxmlformats.org/officeDocument/2006/relationships/hyperlink" Target="file:///C:\Users\cacreditaciontec1\AppData\Roaming\Microsoft\Excel\Factor%201\Anexo%2045.%20Autoevaluacion%202013.pdf" TargetMode="External"/><Relationship Id="rId375" Type="http://schemas.openxmlformats.org/officeDocument/2006/relationships/hyperlink" Target="http://bienestar.udistrital.edu.co:8080/convenios-ud" TargetMode="External"/><Relationship Id="rId396" Type="http://schemas.openxmlformats.org/officeDocument/2006/relationships/hyperlink" Target="http://www1.udistrital.edu.co:8080/en/web/docencia/actas-comite-de-puntaje" TargetMode="External"/><Relationship Id="rId3" Type="http://schemas.openxmlformats.org/officeDocument/2006/relationships/hyperlink" Target="http://acreditacion.udistrital.edu.co/resoluciones/estatuto_general_actualizado.pdf" TargetMode="External"/><Relationship Id="rId214" Type="http://schemas.openxmlformats.org/officeDocument/2006/relationships/hyperlink" Target="http://www1.udistrital.edu.co:8080/web/comite-de-autoevaluacion-y-acreditacion-facultad-tecnologica/documento-maestro-2015" TargetMode="External"/><Relationship Id="rId235" Type="http://schemas.openxmlformats.org/officeDocument/2006/relationships/hyperlink" Target="http://planeacion.udistrital.edu.co:8080/plan-estrategico-de-desarrollo" TargetMode="External"/><Relationship Id="rId256" Type="http://schemas.openxmlformats.org/officeDocument/2006/relationships/hyperlink" Target="http://www1.udistrital.edu.co:8080/es/web/tecnologia-en-electricidad/actas" TargetMode="External"/><Relationship Id="rId277" Type="http://schemas.openxmlformats.org/officeDocument/2006/relationships/hyperlink" Target="file:///C:\Users\cacreditaciontec1\AppData\Roaming\Microsoft\Excel\Factor%201\Anexo%2044.%20Autoevaluaci&#243;n%202009.pdf" TargetMode="External"/><Relationship Id="rId298" Type="http://schemas.openxmlformats.org/officeDocument/2006/relationships/hyperlink" Target="http://www1.udistrital.edu.co:8080/es/web/tecnologia-en-electricidad/pep" TargetMode="External"/><Relationship Id="rId400" Type="http://schemas.openxmlformats.org/officeDocument/2006/relationships/hyperlink" Target="http://www1.udistrital.edu.co:8080/web/laboratorio-de-electricidad-facultad-tecnologica/laboratorio1" TargetMode="External"/><Relationship Id="rId421" Type="http://schemas.openxmlformats.org/officeDocument/2006/relationships/hyperlink" Target="http://editorial.udistrital.edu.co/detalle.php?id=996&amp;f=6" TargetMode="External"/><Relationship Id="rId442" Type="http://schemas.openxmlformats.org/officeDocument/2006/relationships/hyperlink" Target="http://www1.udistrital.edu.co:8080/documents/11171/b251dbd8-4924-4497-b73e-0eb9f9163683" TargetMode="External"/><Relationship Id="rId463" Type="http://schemas.openxmlformats.org/officeDocument/2006/relationships/hyperlink" Target="http://ceri.udistrital.edu.co/" TargetMode="External"/><Relationship Id="rId116" Type="http://schemas.openxmlformats.org/officeDocument/2006/relationships/hyperlink" Target="http://www1.udistrital.edu.co:8080/es/web/tecnologia-en-electricidad/pep" TargetMode="External"/><Relationship Id="rId137" Type="http://schemas.openxmlformats.org/officeDocument/2006/relationships/hyperlink" Target="http://www1.udistrital.edu.co:8080/web/comite-de-autoevaluacion-y-acreditacion-facultad-tecnologica/documento-maestro-2015" TargetMode="External"/><Relationship Id="rId158" Type="http://schemas.openxmlformats.org/officeDocument/2006/relationships/hyperlink" Target="http://www1.udistrital.edu.co:8080/en/web/ingenieria-electrica-por-ciclos-propedeuticos/plan-de-estudios" TargetMode="External"/><Relationship Id="rId302" Type="http://schemas.openxmlformats.org/officeDocument/2006/relationships/hyperlink" Target="https://sgral.udistrital.edu.co/xdata/csu/acu_1996-004.pdf" TargetMode="External"/><Relationship Id="rId323" Type="http://schemas.openxmlformats.org/officeDocument/2006/relationships/hyperlink" Target="file:///D:\Volumes\TOSHIBA%20EXT\Autoevaluacio&#769;n%20PC%20Electricidad\DOCUMENTO%20MAESTRO%20FINAL\Anexos%20unificados%202%20febrero\Anexo%2044.%20Autoevaluacio&#769;n%202009.pdf" TargetMode="External"/><Relationship Id="rId344" Type="http://schemas.openxmlformats.org/officeDocument/2006/relationships/hyperlink" Target="http://virtualidad.udistrital.edu.co/" TargetMode="External"/><Relationship Id="rId20" Type="http://schemas.openxmlformats.org/officeDocument/2006/relationships/hyperlink" Target="http://sgral.udistrital.edu.co/xdata/ca/acu_2011-018.pdf" TargetMode="External"/><Relationship Id="rId41" Type="http://schemas.openxmlformats.org/officeDocument/2006/relationships/hyperlink" Target="http://www.udistrital.edu.co:8080/en/web/docencia/normatividad" TargetMode="External"/><Relationship Id="rId62" Type="http://schemas.openxmlformats.org/officeDocument/2006/relationships/hyperlink" Target="http://autoevaluacion.udistrital.edu.co/version3/varios/plan_mejoramiento_institucional.pdf" TargetMode="External"/><Relationship Id="rId83" Type="http://schemas.openxmlformats.org/officeDocument/2006/relationships/hyperlink" Target="https://www1.udistrital.edu.co/oldpwi/autenticatedPortal/ConcursoDocente/bin/ListadoPerfil_Inscritos.php?p=11" TargetMode="External"/><Relationship Id="rId179" Type="http://schemas.openxmlformats.org/officeDocument/2006/relationships/hyperlink" Target="file:///C:\Users\cacreditaciontec1\AppData\Roaming\Microsoft\Excel\Factor%201\Anexo%2044.%20Autoevaluacio&#769;n%202009.pdf" TargetMode="External"/><Relationship Id="rId365" Type="http://schemas.openxmlformats.org/officeDocument/2006/relationships/hyperlink" Target="http://sgral.udistrital.edu.co/sgral/index.php?option=com_content&amp;task=view&amp;id=21&amp;Itemid=55" TargetMode="External"/><Relationship Id="rId386" Type="http://schemas.openxmlformats.org/officeDocument/2006/relationships/hyperlink" Target="http://tecelectrica.udistrital.edu.co:8080/docentes1" TargetMode="External"/><Relationship Id="rId190" Type="http://schemas.openxmlformats.org/officeDocument/2006/relationships/hyperlink" Target="http://www1.udistrital.edu.co:8080/web/comite-de-autoevaluacion-y-acreditacion-facultad-tecnologica/documento-maestro-2015" TargetMode="External"/><Relationship Id="rId204" Type="http://schemas.openxmlformats.org/officeDocument/2006/relationships/hyperlink" Target="http://tecelectrica.udistrital.edu.co:8080/plan-de-estudios1" TargetMode="External"/><Relationship Id="rId225" Type="http://schemas.openxmlformats.org/officeDocument/2006/relationships/hyperlink" Target="http://www1.udistrital.edu.co:8080/web/comite-de-autoevaluacion-y-acreditacion-facultad-tecnologica/documento-maestro-2015" TargetMode="External"/><Relationship Id="rId246" Type="http://schemas.openxmlformats.org/officeDocument/2006/relationships/hyperlink" Target="http://www1.udistrital.edu.co:8080/es/web/tecnologia-en-electricidad/pep" TargetMode="External"/><Relationship Id="rId267" Type="http://schemas.openxmlformats.org/officeDocument/2006/relationships/hyperlink" Target="http://www1.udistrital.edu.co:8080/web/comite-de-autoevaluacion-y-acreditacion-facultad-tecnologica/documento-maestro-2015" TargetMode="External"/><Relationship Id="rId288" Type="http://schemas.openxmlformats.org/officeDocument/2006/relationships/hyperlink" Target="http://www1.udistrital.edu.co:8080/web/comite-de-autoevaluacion-y-acreditacion-facultad-tecnologica/documento-maestro-2015" TargetMode="External"/><Relationship Id="rId411" Type="http://schemas.openxmlformats.org/officeDocument/2006/relationships/hyperlink" Target="http://planeacion.udistrital.edu.co:8080/proyecto-sede-ensueno" TargetMode="External"/><Relationship Id="rId432" Type="http://schemas.openxmlformats.org/officeDocument/2006/relationships/hyperlink" Target="http://sgral.udistrital.edu.co/xdata/ca/acu_2006-009.pdf" TargetMode="External"/><Relationship Id="rId453" Type="http://schemas.openxmlformats.org/officeDocument/2006/relationships/hyperlink" Target="http://www1.udistrital.edu.co:8080/web/laboratorio-de-electricidad-facultad-tecnologica/estadisticas" TargetMode="External"/><Relationship Id="rId474" Type="http://schemas.openxmlformats.org/officeDocument/2006/relationships/printerSettings" Target="../printerSettings/printerSettings6.bin"/><Relationship Id="rId106" Type="http://schemas.openxmlformats.org/officeDocument/2006/relationships/hyperlink" Target="http://www1.udistrital.edu.co:8080/web/secretaria-academica-de-la-facultad-tecnologica/actas1/-/document_library_display/C5Zt/view/9646197" TargetMode="External"/><Relationship Id="rId127" Type="http://schemas.openxmlformats.org/officeDocument/2006/relationships/hyperlink" Target="file:///C:\Users\cacreditaciontec1\AppData\Roaming\Microsoft\Excel\Factor%201\Anexo%2044.%20Autoevaluaci&#243;n%202009.pdf" TargetMode="External"/><Relationship Id="rId313" Type="http://schemas.openxmlformats.org/officeDocument/2006/relationships/hyperlink" Target="file:///D:\Volumes\TOSHIBA%20EXT\Autoevaluacio&#769;n%20PC%20Electricidad\Estudiantes\INFORMACION%20DE%20CORTES%20ESTUDIANTES%202016-1%20-%202018-1.xlsx" TargetMode="External"/><Relationship Id="rId10" Type="http://schemas.openxmlformats.org/officeDocument/2006/relationships/hyperlink" Target="http://bienestar.udistrital.edu.co:8080/movilidad-academica" TargetMode="External"/><Relationship Id="rId31" Type="http://schemas.openxmlformats.org/officeDocument/2006/relationships/hyperlink" Target="http://sgral.udistrital.edu.co/xdata/csu/acu_2007-009.pdf" TargetMode="External"/><Relationship Id="rId52" Type="http://schemas.openxmlformats.org/officeDocument/2006/relationships/hyperlink" Target="http://ceri.udistrital.edu.co/convenios/directorio" TargetMode="External"/><Relationship Id="rId73" Type="http://schemas.openxmlformats.org/officeDocument/2006/relationships/hyperlink" Target="file:///C:\Users\cacreditaciontec1\AppData\Roaming\Microsoft\Excel\Factor%201\Anexo%2045.%20Autoevaluacion%202013.pdf" TargetMode="External"/><Relationship Id="rId94" Type="http://schemas.openxmlformats.org/officeDocument/2006/relationships/hyperlink" Target="http://planeacion.udistrital.edu.co:8080/plan-maestro-de-desarrollo-fisico" TargetMode="External"/><Relationship Id="rId148" Type="http://schemas.openxmlformats.org/officeDocument/2006/relationships/hyperlink" Target="http://www1.udistrital.edu.co:8080/es/web/tecnologia-en-electricidad/actas" TargetMode="External"/><Relationship Id="rId169" Type="http://schemas.openxmlformats.org/officeDocument/2006/relationships/hyperlink" Target="http://tecelectrica.udistrital.edu.co:8080/plan-de-estudios1" TargetMode="External"/><Relationship Id="rId334" Type="http://schemas.openxmlformats.org/officeDocument/2006/relationships/hyperlink" Target="http://sgral.udistrital.edu.co/xdata/rec/res_2013-328.pdf" TargetMode="External"/><Relationship Id="rId355" Type="http://schemas.openxmlformats.org/officeDocument/2006/relationships/hyperlink" Target="file:///D:\Users\ACREDITACI&#211;N%202019\Library\Containers\com.microsoft.Excel\Data\Library\Library\Containers\com.microsoft.Excel\Data\Library\Application%20Support\Microsoft\Recurso%20Fi&#769;sicos\Informes%20Gestio&#769;n%20PC" TargetMode="External"/><Relationship Id="rId376" Type="http://schemas.openxmlformats.org/officeDocument/2006/relationships/hyperlink" Target="http://www1.udistrital.edu.co:8080/es/web/tecnologia-en-electricidad/actas" TargetMode="External"/><Relationship Id="rId397" Type="http://schemas.openxmlformats.org/officeDocument/2006/relationships/hyperlink" Target="http://www1.udistrital.edu.co:8080/en/web/docencia/actas-comite-de-puntaje" TargetMode="External"/><Relationship Id="rId4" Type="http://schemas.openxmlformats.org/officeDocument/2006/relationships/hyperlink" Target="http://acreditacion.udistrital.edu.co/resoluciones/modificacion_2007_estatuto.pdf" TargetMode="External"/><Relationship Id="rId180" Type="http://schemas.openxmlformats.org/officeDocument/2006/relationships/hyperlink" Target="file:///C:\Users\cacreditaciontec1\AppData\Roaming\Microsoft\Excel\Factor%201\Anexo%2045.%20Autoevaluacion%202013.pdf" TargetMode="External"/><Relationship Id="rId215" Type="http://schemas.openxmlformats.org/officeDocument/2006/relationships/hyperlink" Target="file:///C:\Users\cacreditaciontec1\AppData\Roaming\Microsoft\Excel\Factor%201\Anexo%2044.%20Autoevaluaci&#243;n%202009.pdf" TargetMode="External"/><Relationship Id="rId236" Type="http://schemas.openxmlformats.org/officeDocument/2006/relationships/hyperlink" Target="http://www1.udistrital.edu.co:8080/es/web/tecnologia-en-electricidad/pep" TargetMode="External"/><Relationship Id="rId257" Type="http://schemas.openxmlformats.org/officeDocument/2006/relationships/hyperlink" Target="http://www1.udistrital.edu.co:8080/web/comite-de-autoevaluacion-y-acreditacion-facultad-tecnologica/documento-maestro-2015" TargetMode="External"/><Relationship Id="rId278" Type="http://schemas.openxmlformats.org/officeDocument/2006/relationships/hyperlink" Target="file:///D:\Volumes\TOSHIBA%20EXT\Autoevaluacio&#769;n%20PC%20Electricidad\DOCUMENTO%20MAESTRO%20FINAL\Anexos%20unificados%202%20febrero\Anexo%2045.%20Autoevaluacion%202013.pdf" TargetMode="External"/><Relationship Id="rId401" Type="http://schemas.openxmlformats.org/officeDocument/2006/relationships/hyperlink" Target="http://idexud.udistrital.edu.co/idexud/boletines/boletin-11-2018.html" TargetMode="External"/><Relationship Id="rId422" Type="http://schemas.openxmlformats.org/officeDocument/2006/relationships/hyperlink" Target="http://sgral.udistrital.edu.co/xdata/csu/acu_2012-004.pdf" TargetMode="External"/><Relationship Id="rId443" Type="http://schemas.openxmlformats.org/officeDocument/2006/relationships/hyperlink" Target="http://www1.udistrital.edu.co:8080/documents/11171/b251dbd8-4924-4497-b73e-0eb9f9163683" TargetMode="External"/><Relationship Id="rId464" Type="http://schemas.openxmlformats.org/officeDocument/2006/relationships/hyperlink" Target="http://cidc.udistrital.edu.co/web/" TargetMode="External"/><Relationship Id="rId303" Type="http://schemas.openxmlformats.org/officeDocument/2006/relationships/hyperlink" Target="file:///D:\Volumes\TOSHIBA%20EXT\Autoevaluacio&#769;n%20PC%20Electricidad\Docentes\3.%20Profesores%20Electrica.xlsx" TargetMode="External"/><Relationship Id="rId42" Type="http://schemas.openxmlformats.org/officeDocument/2006/relationships/hyperlink" Target="http://www.udistrital.edu.co:8080/en/web/docencia/resultados" TargetMode="External"/><Relationship Id="rId84" Type="http://schemas.openxmlformats.org/officeDocument/2006/relationships/hyperlink" Target="https://www1.udistrital.edu.co/oldpwi/autenticatedPortal/ConcursoDocente/bin/ListadoPerfil_Inscritos.php?p=12" TargetMode="External"/><Relationship Id="rId138" Type="http://schemas.openxmlformats.org/officeDocument/2006/relationships/hyperlink" Target="http://www1.udistrital.edu.co:8080/web/comite-de-autoevaluacion-y-acreditacion-facultad-tecnologica/documento-maestro-2015" TargetMode="External"/><Relationship Id="rId345" Type="http://schemas.openxmlformats.org/officeDocument/2006/relationships/hyperlink" Target="http://egresados.udistrital.edu.co/" TargetMode="External"/><Relationship Id="rId387" Type="http://schemas.openxmlformats.org/officeDocument/2006/relationships/hyperlink" Target="http://tecelectrica.udistrital.edu.co:8080/pep" TargetMode="External"/><Relationship Id="rId191" Type="http://schemas.openxmlformats.org/officeDocument/2006/relationships/hyperlink" Target="http://www1.udistrital.edu.co:8080/es/web/tecnologia-en-electricidad/actas" TargetMode="External"/><Relationship Id="rId205" Type="http://schemas.openxmlformats.org/officeDocument/2006/relationships/hyperlink" Target="http://www1.udistrital.edu.co:8080/en/web/ingenieria-electrica-por-ciclos-propedeuticos/plan-de-estudios" TargetMode="External"/><Relationship Id="rId247" Type="http://schemas.openxmlformats.org/officeDocument/2006/relationships/hyperlink" Target="http://www1.udistrital.edu.co:8080/es/web/tecnologia-en-electricidad/pep" TargetMode="External"/><Relationship Id="rId412" Type="http://schemas.openxmlformats.org/officeDocument/2006/relationships/hyperlink" Target="https://www.udistrital.edu.co/admisiones-pregrado" TargetMode="External"/><Relationship Id="rId107" Type="http://schemas.openxmlformats.org/officeDocument/2006/relationships/hyperlink" Target="file:///C:\Users\cacreditaciontec1\AppData\Roaming\Microsoft\Excel\Recurso%20F&#237;sicos\Informes%20Gesti&#243;n%20PC" TargetMode="External"/><Relationship Id="rId289" Type="http://schemas.openxmlformats.org/officeDocument/2006/relationships/hyperlink" Target="http://www1.udistrital.edu.co:8080/web/comite-de-autoevaluacion-y-acreditacion-facultad-tecnologica/documento-maestro-2015" TargetMode="External"/><Relationship Id="rId454" Type="http://schemas.openxmlformats.org/officeDocument/2006/relationships/hyperlink" Target="http://www1.udistrital.edu.co:8080/web/laboratorio-de-electricidad-facultad-tecnologica/estadisticas" TargetMode="External"/><Relationship Id="rId11" Type="http://schemas.openxmlformats.org/officeDocument/2006/relationships/hyperlink" Target="http://bienestar.udistrital.edu.co:8080/reliquidacion" TargetMode="External"/><Relationship Id="rId53" Type="http://schemas.openxmlformats.org/officeDocument/2006/relationships/hyperlink" Target="http://planmaestroinv.udistrital.edu.co/index.php/planesmaestrosfacul" TargetMode="External"/><Relationship Id="rId149" Type="http://schemas.openxmlformats.org/officeDocument/2006/relationships/hyperlink" Target="http://www1.udistrital.edu.co:8080/web/comite-de-autoevaluacion-y-acreditacion-facultad-tecnologica/documento-maestro-2015" TargetMode="External"/><Relationship Id="rId314" Type="http://schemas.openxmlformats.org/officeDocument/2006/relationships/hyperlink" Target="file:///D:\Volumes\TOSHIBA%20EXT\Autoevaluacio&#769;n%20PC%20Electricidad\Estudiantes\INFORMACION%20DE%20CORTES%20ESTUDIANTES%202016-1%20-%202018-1.xlsx" TargetMode="External"/><Relationship Id="rId356" Type="http://schemas.openxmlformats.org/officeDocument/2006/relationships/hyperlink" Target="https://www.udistrital.edu.co/procesos-contractuales" TargetMode="External"/><Relationship Id="rId398" Type="http://schemas.openxmlformats.org/officeDocument/2006/relationships/hyperlink" Target="http://tecelectrica.udistrital.edu.co:8080/plan-de-estudios1" TargetMode="External"/><Relationship Id="rId95" Type="http://schemas.openxmlformats.org/officeDocument/2006/relationships/hyperlink" Target="http://planeacion.udistrital.edu.co:8080/plan-maestro-de-desarrollo-fisico" TargetMode="External"/><Relationship Id="rId160" Type="http://schemas.openxmlformats.org/officeDocument/2006/relationships/hyperlink" Target="http://www1.udistrital.edu.co:8080/web/comite-de-autoevaluacion-y-acreditacion-facultad-tecnologica/documento-maestro-2015" TargetMode="External"/><Relationship Id="rId216" Type="http://schemas.openxmlformats.org/officeDocument/2006/relationships/hyperlink" Target="http://www1.udistrital.edu.co:8080/web/comite-de-autoevaluacion-y-acreditacion-facultad-tecnologica/documento-maestro-2015" TargetMode="External"/><Relationship Id="rId423" Type="http://schemas.openxmlformats.org/officeDocument/2006/relationships/hyperlink" Target="http://www1.udistrital.edu.co:8080/en/web/docencia/normatividad1" TargetMode="External"/><Relationship Id="rId258" Type="http://schemas.openxmlformats.org/officeDocument/2006/relationships/hyperlink" Target="http://www1.udistrital.edu.co:8080/web/comite-de-autoevaluacion-y-acreditacion-facultad-tecnologica/documento-maestro-2015" TargetMode="External"/><Relationship Id="rId465" Type="http://schemas.openxmlformats.org/officeDocument/2006/relationships/hyperlink" Target="https://www.udistrital.edu.co/ii-congreso-internacional-en-tecnologia-e-ingenieria-electrica-citie-2017" TargetMode="External"/><Relationship Id="rId22" Type="http://schemas.openxmlformats.org/officeDocument/2006/relationships/hyperlink" Target="http://sgral.udistrital.edu.co/xdata/csu/acu_1993-027.pdf" TargetMode="External"/><Relationship Id="rId64" Type="http://schemas.openxmlformats.org/officeDocument/2006/relationships/hyperlink" Target="http://www1.udistrital.edu.co:8080/es/web/tecnologia-en-electricidad/actas" TargetMode="External"/><Relationship Id="rId118" Type="http://schemas.openxmlformats.org/officeDocument/2006/relationships/hyperlink" Target="http://www1.udistrital.edu.co:8080/es/web/tecnologia-en-electricidad/pep" TargetMode="External"/><Relationship Id="rId325" Type="http://schemas.openxmlformats.org/officeDocument/2006/relationships/hyperlink" Target="https://www.udistrital.edu.co/admisiones-pregrado" TargetMode="External"/><Relationship Id="rId367" Type="http://schemas.openxmlformats.org/officeDocument/2006/relationships/hyperlink" Target="http://www1.udistrital.edu.co:8080/web/comite-de-autoevaluacion-y-acreditacion-facultad-tecnologica/documento-maestro-2015" TargetMode="External"/><Relationship Id="rId171" Type="http://schemas.openxmlformats.org/officeDocument/2006/relationships/hyperlink" Target="http://www1.udistrital.edu.co:8080/es/web/tecnologia-en-electricidad/actas" TargetMode="External"/><Relationship Id="rId227" Type="http://schemas.openxmlformats.org/officeDocument/2006/relationships/hyperlink" Target="http://www1.udistrital.edu.co:8080/es/web/tecnologia-en-electricidad/pep" TargetMode="External"/><Relationship Id="rId269" Type="http://schemas.openxmlformats.org/officeDocument/2006/relationships/hyperlink" Target="http://sgral.udistrital.edu.co/xdata/csu/acu_1993-027.pdf" TargetMode="External"/><Relationship Id="rId434" Type="http://schemas.openxmlformats.org/officeDocument/2006/relationships/hyperlink" Target="http://tecelectrica.udistrital.edu.co:8080/plan-de-estudios1" TargetMode="External"/><Relationship Id="rId476" Type="http://schemas.openxmlformats.org/officeDocument/2006/relationships/comments" Target="../comments2.xml"/><Relationship Id="rId33" Type="http://schemas.openxmlformats.org/officeDocument/2006/relationships/hyperlink" Target="http://www.udistrital.edu.co:8080/documents/62257/568521f4-3b29-4e71-892d-2eebd6cfbf7f" TargetMode="External"/><Relationship Id="rId129" Type="http://schemas.openxmlformats.org/officeDocument/2006/relationships/hyperlink" Target="http://www1.udistrital.edu.co:8080/web/comite-de-autoevaluacion-y-acreditacion-facultad-tecnologica/documento-maestro-2015" TargetMode="External"/><Relationship Id="rId280" Type="http://schemas.openxmlformats.org/officeDocument/2006/relationships/hyperlink" Target="http://comunidad.udistrital.edu.co/cic/files/Libro-APORTES-UD-2014.pdf" TargetMode="External"/><Relationship Id="rId336" Type="http://schemas.openxmlformats.org/officeDocument/2006/relationships/hyperlink" Target="http://www1.udistrital.edu.co:8080/web/comite-de-autoevaluacion-y-acreditacion-facultad-tecnologica/documento-maestro-2015" TargetMode="External"/><Relationship Id="rId75" Type="http://schemas.openxmlformats.org/officeDocument/2006/relationships/hyperlink" Target="file:///C:\Users\cacreditaciontec1\AppData\Roaming\Microsoft\Users\aacreditaciontec2\AppData\Roaming\Microsoft\Excel\Estudiantes\INFORMACION%20DE%20CORTES%20ESTUDIANTES%202016-1%20-%202018-1.xlsx" TargetMode="External"/><Relationship Id="rId140" Type="http://schemas.openxmlformats.org/officeDocument/2006/relationships/hyperlink" Target="http://tecelectrica.udistrital.edu.co:8080/plan-de-estudios1" TargetMode="External"/><Relationship Id="rId182" Type="http://schemas.openxmlformats.org/officeDocument/2006/relationships/hyperlink" Target="file:///C:\Users\cacreditaciontec1\AppData\Roaming\Microsoft\Excel\Plan%20de%20Mejoramiento%202013%20El&#233;ctrica.docx" TargetMode="External"/><Relationship Id="rId378" Type="http://schemas.openxmlformats.org/officeDocument/2006/relationships/hyperlink" Target="http://www1.udistrital.edu.co:8080/es/web/tecnologia-en-electricidad/actas" TargetMode="External"/><Relationship Id="rId403" Type="http://schemas.openxmlformats.org/officeDocument/2006/relationships/hyperlink" Target="http://idexud.udistrital.edu.co/idexud/proyectos_vigentes.php" TargetMode="External"/><Relationship Id="rId6" Type="http://schemas.openxmlformats.org/officeDocument/2006/relationships/hyperlink" Target="http://autoevaluacion.udistrital.edu.co/version3/index.php?page=NPideoLcjGZbtKK&amp;accion=1" TargetMode="External"/><Relationship Id="rId238" Type="http://schemas.openxmlformats.org/officeDocument/2006/relationships/hyperlink" Target="http://www1.udistrital.edu.co:8080/web/comite-de-autoevaluacion-y-acreditacion-facultad-tecnologica/documento-maestro-2015" TargetMode="External"/><Relationship Id="rId445" Type="http://schemas.openxmlformats.org/officeDocument/2006/relationships/hyperlink" Target="http://www1.udistrital.edu.co:8080/documents/11171/b251dbd8-4924-4497-b73e-0eb9f9163683" TargetMode="External"/><Relationship Id="rId291" Type="http://schemas.openxmlformats.org/officeDocument/2006/relationships/hyperlink" Target="http://www1.udistrital.edu.co:8080/web/comite-de-autoevaluacion-y-acreditacion-facultad-tecnologica/documento-maestro-2015" TargetMode="External"/><Relationship Id="rId305" Type="http://schemas.openxmlformats.org/officeDocument/2006/relationships/hyperlink" Target="http://www1.udistrital.edu.co:8080/es/web/tecnologia-en-electricidad/pep" TargetMode="External"/><Relationship Id="rId347" Type="http://schemas.openxmlformats.org/officeDocument/2006/relationships/hyperlink" Target="http://www1.udistrital.edu.co:8080/web/comite-de-autoevaluacion-y-acreditacion-facultad-tecnologica/resultados-apreciacion" TargetMode="External"/><Relationship Id="rId44" Type="http://schemas.openxmlformats.org/officeDocument/2006/relationships/hyperlink" Target="http://autoevaluacion.udistrital.edu.co/version3/index.php?page=zsKtMsypBQwuaiQoRqQfYrcjCucnbTajfOeeReHfiKXdBbupPgOsAiiqtJi&amp;accion=1" TargetMode="External"/><Relationship Id="rId86" Type="http://schemas.openxmlformats.org/officeDocument/2006/relationships/hyperlink" Target="file:///C:\Users\cacreditaciontec1\AppData\Roaming\Microsoft\Excel\Docentes\3.%20Profesores%20Electrica.xlsx" TargetMode="External"/><Relationship Id="rId151" Type="http://schemas.openxmlformats.org/officeDocument/2006/relationships/hyperlink" Target="http://www1.udistrital.edu.co:8080/web/comite-de-autoevaluacion-y-acreditacion-facultad-tecnologica/documento-maestro-2015" TargetMode="External"/><Relationship Id="rId389" Type="http://schemas.openxmlformats.org/officeDocument/2006/relationships/hyperlink" Target="http://tecelectrica.udistrital.edu.co:8080/pep" TargetMode="External"/><Relationship Id="rId193" Type="http://schemas.openxmlformats.org/officeDocument/2006/relationships/hyperlink" Target="http://www1.udistrital.edu.co:8080/web/comite-de-autoevaluacion-y-acreditacion-facultad-tecnologica/documento-maestro-2015" TargetMode="External"/><Relationship Id="rId207" Type="http://schemas.openxmlformats.org/officeDocument/2006/relationships/hyperlink" Target="file:///C:\Users\cacreditaciontec1\AppData\Roaming\Microsoft\Excel\Factor%201\Anexo%2045.%20Autoevaluacion%202013.pdf" TargetMode="External"/><Relationship Id="rId249" Type="http://schemas.openxmlformats.org/officeDocument/2006/relationships/hyperlink" Target="http://planeacion.udistrital.edu.co:8080/plan-estrategico-de-desarrollo" TargetMode="External"/><Relationship Id="rId414" Type="http://schemas.openxmlformats.org/officeDocument/2006/relationships/hyperlink" Target="http://sgral.udistrital.edu.co/xdata/ca/acu_2018-04.pdf" TargetMode="External"/><Relationship Id="rId456" Type="http://schemas.openxmlformats.org/officeDocument/2006/relationships/hyperlink" Target="http://www1.udistrital.edu.co:8080/web/laboratorio-de-electricidad-facultad-tecnologica/estadisticas" TargetMode="External"/><Relationship Id="rId13" Type="http://schemas.openxmlformats.org/officeDocument/2006/relationships/hyperlink" Target="http://wsp.presidencia.gov.co/Normativa/Leyes/Documents/2013/LEY%201618%20DEL%2027%20DE%20FEBRERO%20DE%202013.pdf" TargetMode="External"/><Relationship Id="rId109" Type="http://schemas.openxmlformats.org/officeDocument/2006/relationships/hyperlink" Target="http://www1.udistrital.edu.co:8080/web/comite-de-autoevaluacion-y-acreditacion-facultad-tecnologica/documento-maestro-2015" TargetMode="External"/><Relationship Id="rId260" Type="http://schemas.openxmlformats.org/officeDocument/2006/relationships/hyperlink" Target="http://ceri.udistrital.edu.co/directorios/convenios" TargetMode="External"/><Relationship Id="rId316" Type="http://schemas.openxmlformats.org/officeDocument/2006/relationships/hyperlink" Target="file:///C:\Users\cacreditaciontec1\AppData\Roaming\Microsoft\Excel\Factor%201\Anexo%2045.%20Autoevaluacion%202013.pdf" TargetMode="External"/><Relationship Id="rId55" Type="http://schemas.openxmlformats.org/officeDocument/2006/relationships/hyperlink" Target="http://cidc.udistrital.edu.co/web/" TargetMode="External"/><Relationship Id="rId97" Type="http://schemas.openxmlformats.org/officeDocument/2006/relationships/hyperlink" Target="http://www1.udistrital.edu.co:8080/es/web/tecnologia-en-electricidad/pep" TargetMode="External"/><Relationship Id="rId120" Type="http://schemas.openxmlformats.org/officeDocument/2006/relationships/hyperlink" Target="file:///C:\Users\cacreditaciontec1\AppData\Roaming\Microsoft\Excel\Factor%201\Anexo%2044.%20Autoevaluaci&#243;n%202009.pdf" TargetMode="External"/><Relationship Id="rId358" Type="http://schemas.openxmlformats.org/officeDocument/2006/relationships/hyperlink" Target="https://www.udistrital.edu.co/conozca-el-informe-gestion-institucional-vigencia-2017" TargetMode="External"/><Relationship Id="rId162" Type="http://schemas.openxmlformats.org/officeDocument/2006/relationships/hyperlink" Target="http://www1.udistrital.edu.co:8080/en/web/ingenieria-electrica-por-ciclos-propedeuticos/plan-de-estudios" TargetMode="External"/><Relationship Id="rId218" Type="http://schemas.openxmlformats.org/officeDocument/2006/relationships/hyperlink" Target="http://planeacion.udistrital.edu.co:8080/plan-estrategico-de-desarrollo" TargetMode="External"/><Relationship Id="rId425" Type="http://schemas.openxmlformats.org/officeDocument/2006/relationships/hyperlink" Target="http://www1.udistrital.edu.co:8080/web/comite-de-autoevaluacion-y-acreditacion-facultad-tecnologica/documento-autoeval-2013," TargetMode="External"/><Relationship Id="rId467" Type="http://schemas.openxmlformats.org/officeDocument/2006/relationships/hyperlink" Target="http://www1.udistrital.edu.co:8080/es/web/tecnologia-en-electricidad/actas" TargetMode="External"/><Relationship Id="rId271" Type="http://schemas.openxmlformats.org/officeDocument/2006/relationships/hyperlink" Target="http://www1.udistrital.edu.co:8080/web/comite-de-autoevaluacion-y-acreditacion-facultad-tecnologica/documento-maestro-2015" TargetMode="External"/><Relationship Id="rId24" Type="http://schemas.openxmlformats.org/officeDocument/2006/relationships/hyperlink" Target="http://www.udistrital.edu.co:8080/documents/62257/568521f4-3b29-4e71-892d-2eebd6cfbf7f" TargetMode="External"/><Relationship Id="rId66" Type="http://schemas.openxmlformats.org/officeDocument/2006/relationships/hyperlink" Target="http://www1.udistrital.edu.co:8080/es/web/tecnologia-en-electricidad/pep" TargetMode="External"/><Relationship Id="rId131" Type="http://schemas.openxmlformats.org/officeDocument/2006/relationships/hyperlink" Target="http://www1.udistrital.edu.co:8080/web/comite-de-autoevaluacion-y-acreditacion-facultad-tecnologica/documento-maestro-2015" TargetMode="External"/><Relationship Id="rId327" Type="http://schemas.openxmlformats.org/officeDocument/2006/relationships/hyperlink" Target="https://www.udistrital.edu.co/reintegro" TargetMode="External"/><Relationship Id="rId369" Type="http://schemas.openxmlformats.org/officeDocument/2006/relationships/hyperlink" Target="http://www1.udistrital.edu.co:8080/web/comite-de-autoevaluacion-y-acreditacion-facultad-tecnologica/documento-maestro-2015" TargetMode="External"/><Relationship Id="rId173" Type="http://schemas.openxmlformats.org/officeDocument/2006/relationships/hyperlink" Target="http://tecelectrica.udistrital.edu.co:8080/plan-de-estudios1" TargetMode="External"/><Relationship Id="rId229" Type="http://schemas.openxmlformats.org/officeDocument/2006/relationships/hyperlink" Target="http://sgral.udistrital.edu.co/xdata/ca/acu_2015-038.pdf" TargetMode="External"/><Relationship Id="rId380" Type="http://schemas.openxmlformats.org/officeDocument/2006/relationships/hyperlink" Target="http://www1.udistrital.edu.co:8080/web/secretaria-academica-de-la-facultad-tecnologica/actas1/-/document_library_display/C5Zt/view/9646197" TargetMode="External"/><Relationship Id="rId436" Type="http://schemas.openxmlformats.org/officeDocument/2006/relationships/hyperlink" Target="http://tecelectrica.udistrital.edu.co:8080/pep" TargetMode="External"/><Relationship Id="rId240" Type="http://schemas.openxmlformats.org/officeDocument/2006/relationships/hyperlink" Target="http://www1.udistrital.edu.co:8080/web/comite-de-autoevaluacion-y-acreditacion-facultad-tecnologica/documento-maestro-2015" TargetMode="External"/><Relationship Id="rId35" Type="http://schemas.openxmlformats.org/officeDocument/2006/relationships/hyperlink" Target="http://www.udistrital.edu.co:8080/en/web/docencia/normatividad" TargetMode="External"/><Relationship Id="rId77" Type="http://schemas.openxmlformats.org/officeDocument/2006/relationships/hyperlink" Target="file:///C:\Users\cacreditaciontec1\AppData\Roaming\Microsoft\Excel\Factor%201\Acuerdo%2001%20de%2022-04-2003%20Admisi&#243;n%20ciclo%20Tecnologico.pdf" TargetMode="External"/><Relationship Id="rId100" Type="http://schemas.openxmlformats.org/officeDocument/2006/relationships/hyperlink" Target="http://www1.udistrital.edu.co:8080/web/secretaria-academica-de-la-facultad-tecnologica/actas1/-/document_library_display/C5Zt/view/9646197" TargetMode="External"/><Relationship Id="rId282" Type="http://schemas.openxmlformats.org/officeDocument/2006/relationships/hyperlink" Target="http://www1.udistrital.edu.co:8080/web/comite-de-autoevaluacion-y-acreditacion-facultad-tecnologica/documento-maestro-2015" TargetMode="External"/><Relationship Id="rId338" Type="http://schemas.openxmlformats.org/officeDocument/2006/relationships/hyperlink" Target="http://www1.udistrital.edu.co:8080/web/comite-de-autoevaluacion-y-acreditacion-facultad-tecnologica/documento-maestro-2015" TargetMode="External"/><Relationship Id="rId8" Type="http://schemas.openxmlformats.org/officeDocument/2006/relationships/hyperlink" Target="http://autoevaluacion.udistrital.edu.co/version3/index.php?page=NPideoLcjGZbtKK&amp;accion=1" TargetMode="External"/><Relationship Id="rId142" Type="http://schemas.openxmlformats.org/officeDocument/2006/relationships/hyperlink" Target="http://www1.udistrital.edu.co:8080/web/comite-de-autoevaluacion-y-acreditacion-facultad-tecnologica/documento-maestro-2015" TargetMode="External"/><Relationship Id="rId184" Type="http://schemas.openxmlformats.org/officeDocument/2006/relationships/hyperlink" Target="file:///C:\Users\cacreditaciontec1\AppData\Roaming\Microsoft\Excel\Factor%201\Anexo%2045.%20Autoevaluacion%202013.pdf" TargetMode="External"/><Relationship Id="rId391" Type="http://schemas.openxmlformats.org/officeDocument/2006/relationships/hyperlink" Target="http://tecelectrica.udistrital.edu.co:8080/docentes1" TargetMode="External"/><Relationship Id="rId405" Type="http://schemas.openxmlformats.org/officeDocument/2006/relationships/hyperlink" Target="http://extensiontecnologica.udistrital.edu.co:8080/documents/138555/1323623/Portafolio" TargetMode="External"/><Relationship Id="rId447" Type="http://schemas.openxmlformats.org/officeDocument/2006/relationships/hyperlink" Target="http://bienestar.udistrital.edu.co:8080/convenios-ud" TargetMode="External"/><Relationship Id="rId251" Type="http://schemas.openxmlformats.org/officeDocument/2006/relationships/hyperlink" Target="http://www1.udistrital.edu.co:8080/web/comite-de-autoevaluacion-y-acreditacion-facultad-tecnologica/documento-maestro-2015" TargetMode="External"/><Relationship Id="rId46" Type="http://schemas.openxmlformats.org/officeDocument/2006/relationships/hyperlink" Target="http://www.udistrital.edu.co:8080/web/unidad-de-extension-de-la-facultad-tecnologica/normatividad" TargetMode="External"/><Relationship Id="rId293" Type="http://schemas.openxmlformats.org/officeDocument/2006/relationships/hyperlink" Target="http://www1.udistrital.edu.co:8080/web/comite-de-autoevaluacion-y-acreditacion-facultad-tecnologica/pep-electricidad" TargetMode="External"/><Relationship Id="rId307" Type="http://schemas.openxmlformats.org/officeDocument/2006/relationships/hyperlink" Target="file:///D:\Volumes\TOSHIBA%20EXT\Autoevaluacio&#769;n%20PC%20Electricidad\Plan%20de%20Mejoramiento%202013%20Ele&#769;ctrica.docx" TargetMode="External"/><Relationship Id="rId349" Type="http://schemas.openxmlformats.org/officeDocument/2006/relationships/hyperlink" Target="http://www1.udistrital.edu.co:8080/es/web/tecnologia-en-electricidad/pep" TargetMode="External"/><Relationship Id="rId88" Type="http://schemas.openxmlformats.org/officeDocument/2006/relationships/hyperlink" Target="http://www1.udistrital.edu.co:8080/en/web/docencia/actas-comite-de-puntaje" TargetMode="External"/><Relationship Id="rId111" Type="http://schemas.openxmlformats.org/officeDocument/2006/relationships/hyperlink" Target="http://www1.udistrital.edu.co:8080/web/comite-de-autoevaluacion-y-acreditacion-facultad-tecnologica/documento-maestro-2015" TargetMode="External"/><Relationship Id="rId153" Type="http://schemas.openxmlformats.org/officeDocument/2006/relationships/hyperlink" Target="http://www1.udistrital.edu.co:8080/en/web/ingenieria-electrica-por-ciclos-propedeuticos/plan-de-estudios" TargetMode="External"/><Relationship Id="rId195" Type="http://schemas.openxmlformats.org/officeDocument/2006/relationships/hyperlink" Target="http://tecelectrica.udistrital.edu.co:8080/plan-de-estudios1" TargetMode="External"/><Relationship Id="rId209" Type="http://schemas.openxmlformats.org/officeDocument/2006/relationships/hyperlink" Target="file:///C:\Users\cacreditaciontec1\AppData\Roaming\Microsoft\Excel\Factor%201\Anexo%2044.%20Autoevaluaci&#243;n%202009.pdf" TargetMode="External"/><Relationship Id="rId360" Type="http://schemas.openxmlformats.org/officeDocument/2006/relationships/hyperlink" Target="http://www1.udistrital.edu.co:8080/web/comite-de-autoevaluacion-y-acreditacion-facultad-tecnologica/documento-maestro-2015" TargetMode="External"/><Relationship Id="rId416" Type="http://schemas.openxmlformats.org/officeDocument/2006/relationships/hyperlink" Target="http://tecelectrica.udistrital.edu.co:8080/actas" TargetMode="External"/><Relationship Id="rId220" Type="http://schemas.openxmlformats.org/officeDocument/2006/relationships/hyperlink" Target="http://planeacion.udistrital.edu.co:8080/pui" TargetMode="External"/><Relationship Id="rId458" Type="http://schemas.openxmlformats.org/officeDocument/2006/relationships/hyperlink" Target="http://www1.udistrital.edu.co:8080/web/laboratorio-de-electricidad-facultad-tecnologica/laboratorio1" TargetMode="External"/><Relationship Id="rId15" Type="http://schemas.openxmlformats.org/officeDocument/2006/relationships/hyperlink" Target="http://wsp.presidencia.gov.co/Normativa/Leyes/Documents/2013/LEY%201618%20DEL%2027%20DE%20FEBRERO%20DE%202013.pdf" TargetMode="External"/><Relationship Id="rId57" Type="http://schemas.openxmlformats.org/officeDocument/2006/relationships/hyperlink" Target="http://bienestar.udistrital.edu.co:8080/quienes-somos" TargetMode="External"/><Relationship Id="rId262" Type="http://schemas.openxmlformats.org/officeDocument/2006/relationships/hyperlink" Target="http://ceri.udistrital.edu.co/convenios/directorio" TargetMode="External"/><Relationship Id="rId318" Type="http://schemas.openxmlformats.org/officeDocument/2006/relationships/hyperlink" Target="file:///C:\Users\cacreditaciontec1\AppData\Roaming\Microsoft\Excel\Factor%201\Anexo%2045.%20Autoevaluacion%202013.pdf" TargetMode="External"/><Relationship Id="rId99" Type="http://schemas.openxmlformats.org/officeDocument/2006/relationships/hyperlink" Target="http://www1.udistrital.edu.co:8080/web/secretaria-academica-de-la-facultad-tecnologica/actas1/-/document_library_display/C5Zt/view/9646197" TargetMode="External"/><Relationship Id="rId122" Type="http://schemas.openxmlformats.org/officeDocument/2006/relationships/hyperlink" Target="http://www1.udistrital.edu.co:8080/es/web/tecnologia-en-electricidad/pep" TargetMode="External"/><Relationship Id="rId164" Type="http://schemas.openxmlformats.org/officeDocument/2006/relationships/hyperlink" Target="http://www1.udistrital.edu.co:8080/web/comite-de-autoevaluacion-y-acreditacion-facultad-tecnologica/documento-maestro-2015" TargetMode="External"/><Relationship Id="rId371" Type="http://schemas.openxmlformats.org/officeDocument/2006/relationships/hyperlink" Target="http://bienestar.udistrital.edu.co:8080/convenios-ud" TargetMode="External"/><Relationship Id="rId427" Type="http://schemas.openxmlformats.org/officeDocument/2006/relationships/hyperlink" Target="http://www1.udistrital.edu.co:8080/web/comite-de-autoevaluacion-y-acreditacion-facultad-tecnologica/documento-autoeval-2013," TargetMode="External"/><Relationship Id="rId469" Type="http://schemas.openxmlformats.org/officeDocument/2006/relationships/hyperlink" Target="http://www1.udistrital.edu.co:8080/es/web/tecnologia-en-electricidad/pep" TargetMode="External"/><Relationship Id="rId26" Type="http://schemas.openxmlformats.org/officeDocument/2006/relationships/hyperlink" Target="http://acreditacion.udistrital.edu.co/resoluciones/estatuto_general_actualizado.pdf" TargetMode="External"/><Relationship Id="rId231" Type="http://schemas.openxmlformats.org/officeDocument/2006/relationships/hyperlink" Target="http://www1.udistrital.edu.co:8080/en/web/ingenieria-electrica-por-ciclos-propedeuticos/plan-de-estudios" TargetMode="External"/><Relationship Id="rId273" Type="http://schemas.openxmlformats.org/officeDocument/2006/relationships/hyperlink" Target="http://www1.udistrital.edu.co:8080/es/web/tecnologia-en-electricidad/pep" TargetMode="External"/><Relationship Id="rId329" Type="http://schemas.openxmlformats.org/officeDocument/2006/relationships/hyperlink" Target="http://cidc.udistrital.edu.co/web/index.php/documentacion/informes-de-gestion" TargetMode="External"/><Relationship Id="rId68" Type="http://schemas.openxmlformats.org/officeDocument/2006/relationships/hyperlink" Target="http://www1.udistrital.edu.co:8080/es/web/tecnologia-en-electricidad/pep" TargetMode="External"/><Relationship Id="rId133" Type="http://schemas.openxmlformats.org/officeDocument/2006/relationships/hyperlink" Target="file:///C:\Users\cacreditaciontec1\AppData\Roaming\Microsoft\Excel\Factor%201\Anexo%2045.%20Autoevaluacion%202013.pdf" TargetMode="External"/><Relationship Id="rId175" Type="http://schemas.openxmlformats.org/officeDocument/2006/relationships/hyperlink" Target="http://www1.udistrital.edu.co:8080/es/web/tecnologia-en-electricidad/actas" TargetMode="External"/><Relationship Id="rId340" Type="http://schemas.openxmlformats.org/officeDocument/2006/relationships/hyperlink" Target="http://bienestar.udistrital.edu.co:8080/socioeconomico" TargetMode="External"/><Relationship Id="rId200" Type="http://schemas.openxmlformats.org/officeDocument/2006/relationships/hyperlink" Target="file:///C:\Users\cacreditaciontec1\AppData\Roaming\Microsoft\Excel\Factor%201\Anexo%2045.%20Autoevaluacion%202013.pdf" TargetMode="External"/><Relationship Id="rId382" Type="http://schemas.openxmlformats.org/officeDocument/2006/relationships/hyperlink" Target="http://www1.udistrital.edu.co:8080/web/secretaria-academica-de-la-facultad-tecnologica/actas1/-/document_library_display/C5Zt/view/9646197" TargetMode="External"/><Relationship Id="rId438" Type="http://schemas.openxmlformats.org/officeDocument/2006/relationships/hyperlink" Target="http://tecelectrica.udistrital.edu.co:8080/pep" TargetMode="External"/><Relationship Id="rId242" Type="http://schemas.openxmlformats.org/officeDocument/2006/relationships/hyperlink" Target="http://www1.udistrital.edu.co:8080/es/web/tecnologia-en-electricidad/pep" TargetMode="External"/><Relationship Id="rId284" Type="http://schemas.openxmlformats.org/officeDocument/2006/relationships/hyperlink" Target="file:///C:\Users\cacreditaciontec1\AppData\Roaming\Microsoft\Excel\Factor%201\Anexo%2045.%20Autoevaluacion%202013.pdf" TargetMode="External"/><Relationship Id="rId37" Type="http://schemas.openxmlformats.org/officeDocument/2006/relationships/hyperlink" Target="http://www.udistrital.edu.co:8080/en/web/docencia/resultados" TargetMode="External"/><Relationship Id="rId79" Type="http://schemas.openxmlformats.org/officeDocument/2006/relationships/hyperlink" Target="http://planeacion.udistrital.edu.co:8080/plan-estrategico-de-desarrollo" TargetMode="External"/><Relationship Id="rId102" Type="http://schemas.openxmlformats.org/officeDocument/2006/relationships/hyperlink" Target="file:///C:\Users\cacreditaciontec1\AppData\Roaming\Microsoft\Excel\Factor%201\Anexo%2044.%20Autoevaluaci&#243;n%202009.pdf" TargetMode="External"/><Relationship Id="rId144" Type="http://schemas.openxmlformats.org/officeDocument/2006/relationships/hyperlink" Target="http://www1.udistrital.edu.co:8080/es/web/tecnologia-en-electricidad/actas" TargetMode="External"/><Relationship Id="rId90" Type="http://schemas.openxmlformats.org/officeDocument/2006/relationships/hyperlink" Target="http://www1.udistrital.edu.co:8080/en/web/docencia/actas-comite-de-puntaje" TargetMode="External"/><Relationship Id="rId186" Type="http://schemas.openxmlformats.org/officeDocument/2006/relationships/hyperlink" Target="file:///C:\Users\cacreditaciontec1\AppData\Roaming\Microsoft\Excel\Plan%20de%20Mejoramiento%202013%20Ele&#769;ctrica.docx" TargetMode="External"/><Relationship Id="rId351" Type="http://schemas.openxmlformats.org/officeDocument/2006/relationships/hyperlink" Target="http://www1.udistrital.edu.co:8080/web/comite-de-autoevaluacion-y-acreditacion-facultad-tecnologica/empresarios" TargetMode="External"/><Relationship Id="rId393" Type="http://schemas.openxmlformats.org/officeDocument/2006/relationships/hyperlink" Target="http://tecelectrica.udistrital.edu.co:8080/docentes1" TargetMode="External"/><Relationship Id="rId407" Type="http://schemas.openxmlformats.org/officeDocument/2006/relationships/hyperlink" Target="http://extensiontecnologica.udistrital.edu.co:8080/proyectos" TargetMode="External"/><Relationship Id="rId449" Type="http://schemas.openxmlformats.org/officeDocument/2006/relationships/hyperlink" Target="http://idexud.udistrital.edu.co/idexud/actascomite/upload/as03_cce_25062015.pdf" TargetMode="External"/><Relationship Id="rId211" Type="http://schemas.openxmlformats.org/officeDocument/2006/relationships/hyperlink" Target="file:///C:\Users\cacreditaciontec1\AppData\Roaming\Microsoft\Excel\Factor%201\Anexo%2044.%20Autoevaluaci&#243;n%202009.pdf" TargetMode="External"/><Relationship Id="rId253" Type="http://schemas.openxmlformats.org/officeDocument/2006/relationships/hyperlink" Target="http://www1.udistrital.edu.co:8080/es/web/tecnologia-en-electricidad/actas" TargetMode="External"/><Relationship Id="rId295" Type="http://schemas.openxmlformats.org/officeDocument/2006/relationships/hyperlink" Target="http://www1.udistrital.edu.co:8080/web/secretaria-academica-de-la-facultad-tecnologica/actas1" TargetMode="External"/><Relationship Id="rId309" Type="http://schemas.openxmlformats.org/officeDocument/2006/relationships/hyperlink" Target="file:///D:\Volumes\TOSHIBA%20EXT\Autoevaluacio&#769;n%20PC%20Electricidad\Plan%20de%20Mejoramiento%202013%20Ele&#769;ctrica.docx" TargetMode="External"/><Relationship Id="rId460" Type="http://schemas.openxmlformats.org/officeDocument/2006/relationships/hyperlink" Target="http://www1.udistrital.edu.co:8080/web/laboratorio-de-electricidad-facultad-tecnologica/manuales" TargetMode="External"/><Relationship Id="rId48" Type="http://schemas.openxmlformats.org/officeDocument/2006/relationships/hyperlink" Target="http://bdigital.udistrital.edu.co/" TargetMode="External"/><Relationship Id="rId113" Type="http://schemas.openxmlformats.org/officeDocument/2006/relationships/hyperlink" Target="http://www1.udistrital.edu.co:8080/web/comite-de-autoevaluacion-y-acreditacion-facultad-tecnologica/documento-maestro-2015" TargetMode="External"/><Relationship Id="rId320" Type="http://schemas.openxmlformats.org/officeDocument/2006/relationships/hyperlink" Target="file:///C:\Users\cacreditaciontec1\AppData\Roaming\Microsoft\Excel\Factor%201\Anexo%2045.%20Autoevaluacion%202013.pdf" TargetMode="External"/><Relationship Id="rId155" Type="http://schemas.openxmlformats.org/officeDocument/2006/relationships/hyperlink" Target="http://www1.udistrital.edu.co:8080/en/web/ingenieria-electrica-por-ciclos-propedeuticos/plan-de-estudios" TargetMode="External"/><Relationship Id="rId197" Type="http://schemas.openxmlformats.org/officeDocument/2006/relationships/hyperlink" Target="file:///C:\Users\cacreditaciontec1\AppData\Roaming\Microsoft\Excel\Factor%201\Anexo%2044.%20Autoevaluaci&#243;n%202009.pdf" TargetMode="External"/><Relationship Id="rId362" Type="http://schemas.openxmlformats.org/officeDocument/2006/relationships/hyperlink" Target="http://www1.udistrital.edu.co:8080/web/laboratorio-de-electricidad-facultad-tecnologica/gestion-de-laboratorios" TargetMode="External"/><Relationship Id="rId418" Type="http://schemas.openxmlformats.org/officeDocument/2006/relationships/hyperlink" Target="http://www1.udistrital.edu.co:8080/en/web/docencia/normatividad1" TargetMode="External"/><Relationship Id="rId222" Type="http://schemas.openxmlformats.org/officeDocument/2006/relationships/hyperlink" Target="http://www1.udistrital.edu.co:8080/web/comite-de-autoevaluacion-y-acreditacion-facultad-tecnologica/documento-maestro-2015" TargetMode="External"/><Relationship Id="rId264" Type="http://schemas.openxmlformats.org/officeDocument/2006/relationships/hyperlink" Target="http://www1.udistrital.edu.co:8080/es/web/tecnologia-en-electricidad/pep" TargetMode="External"/><Relationship Id="rId471" Type="http://schemas.openxmlformats.org/officeDocument/2006/relationships/hyperlink" Target="http://planeacion.udistrital.edu.co:8080/sigud/procesos" TargetMode="External"/><Relationship Id="rId17" Type="http://schemas.openxmlformats.org/officeDocument/2006/relationships/hyperlink" Target="http://comunidad.udistrital.edu.co/cic/files/Libro-APORTES-UD-2014.pdf" TargetMode="External"/><Relationship Id="rId59" Type="http://schemas.openxmlformats.org/officeDocument/2006/relationships/hyperlink" Target="http://www1.udistrital.edu.co:8080/es/web/facultad-tecnologica/280" TargetMode="External"/><Relationship Id="rId124" Type="http://schemas.openxmlformats.org/officeDocument/2006/relationships/hyperlink" Target="http://sgral.udistrital.edu.co/xdata/csu/acu_2010-008.pdf" TargetMode="External"/><Relationship Id="rId70" Type="http://schemas.openxmlformats.org/officeDocument/2006/relationships/hyperlink" Target="http://chronos.udistrital.edu.co:8095/Icaro/" TargetMode="External"/><Relationship Id="rId166" Type="http://schemas.openxmlformats.org/officeDocument/2006/relationships/hyperlink" Target="http://www1.udistrital.edu.co:8080/en/web/ingenieria-electrica-por-ciclos-propedeuticos/plan-de-estudios" TargetMode="External"/><Relationship Id="rId331" Type="http://schemas.openxmlformats.org/officeDocument/2006/relationships/hyperlink" Target="http://cidc.udistrital.edu.co/web/index.php/documentacion/informes-de-gestion" TargetMode="External"/><Relationship Id="rId373" Type="http://schemas.openxmlformats.org/officeDocument/2006/relationships/hyperlink" Target="file:///C:\Users\cacreditaciontec1\AppData\Roaming\Microsoft\Excel\Factor%201\Anexo%2045.%20Autoevaluacion%202013.pdf" TargetMode="External"/><Relationship Id="rId429" Type="http://schemas.openxmlformats.org/officeDocument/2006/relationships/hyperlink" Target="http://www1.udistrital.edu.co:8080/web/comite-de-autoevaluacion-y-acreditacion-facultad-tecnologica/documento-autoeval-2013," TargetMode="External"/><Relationship Id="rId1" Type="http://schemas.openxmlformats.org/officeDocument/2006/relationships/hyperlink" Target="http://planeacion.udistrital.edu.co:8080/plan-estrategico-de-desarrollo" TargetMode="External"/><Relationship Id="rId233" Type="http://schemas.openxmlformats.org/officeDocument/2006/relationships/hyperlink" Target="http://www1.udistrital.edu.co:8080/web/comite-de-autoevaluacion-y-acreditacion-facultad-tecnologica/documento-maestro-2015" TargetMode="External"/><Relationship Id="rId440" Type="http://schemas.openxmlformats.org/officeDocument/2006/relationships/hyperlink" Target="http://tecelectrica.udistrital.edu.co:8080/pep" TargetMode="External"/><Relationship Id="rId28" Type="http://schemas.openxmlformats.org/officeDocument/2006/relationships/hyperlink" Target="http://www.udistrital.edu.co:8080/documents/62257/568521f4-3b29-4e71-892d-2eebd6cfbf7f" TargetMode="External"/><Relationship Id="rId275" Type="http://schemas.openxmlformats.org/officeDocument/2006/relationships/hyperlink" Target="file:///C:\Users\cacreditaciontec1\AppData\Roaming\Microsoft\Excel\Factor%201\Anexo%2045.%20Autoevaluacion%202013.pdf" TargetMode="External"/><Relationship Id="rId300" Type="http://schemas.openxmlformats.org/officeDocument/2006/relationships/hyperlink" Target="http://sgral.udistrital.edu.co/xdata/csu/acu_1997-003.pdf" TargetMode="External"/><Relationship Id="rId81" Type="http://schemas.openxmlformats.org/officeDocument/2006/relationships/hyperlink" Target="file:///C:\Users\cacreditaciontec1\AppData\Roaming\Microsoft\Excel\Factor%201\Anexo%2044.%20Autoevaluaci&#243;n%202009.pdf" TargetMode="External"/><Relationship Id="rId135" Type="http://schemas.openxmlformats.org/officeDocument/2006/relationships/hyperlink" Target="http://www1.udistrital.edu.co:8080/es/web/tecnologia-en-electricidad/actas" TargetMode="External"/><Relationship Id="rId177" Type="http://schemas.openxmlformats.org/officeDocument/2006/relationships/hyperlink" Target="http://www1.udistrital.edu.co:8080/web/comite-de-autoevaluacion-y-acreditacion-facultad-tecnologica/documento-maestro-2015" TargetMode="External"/><Relationship Id="rId342" Type="http://schemas.openxmlformats.org/officeDocument/2006/relationships/hyperlink" Target="http://www1.udistrital.edu.co:8080/es/web/tecnologia-en-electricidad/pep" TargetMode="External"/><Relationship Id="rId384" Type="http://schemas.openxmlformats.org/officeDocument/2006/relationships/hyperlink" Target="http://tecelectrica.udistrital.edu.co:8080/docentes1" TargetMode="External"/><Relationship Id="rId202" Type="http://schemas.openxmlformats.org/officeDocument/2006/relationships/hyperlink" Target="http://www1.udistrital.edu.co:8080/web/comite-de-autoevaluacion-y-acreditacion-facultad-tecnologica/documento-maestro-2015" TargetMode="External"/><Relationship Id="rId244" Type="http://schemas.openxmlformats.org/officeDocument/2006/relationships/hyperlink" Target="http://www1.udistrital.edu.co:8080/es/web/tecnologia-en-electricidad/pep" TargetMode="External"/><Relationship Id="rId39" Type="http://schemas.openxmlformats.org/officeDocument/2006/relationships/hyperlink" Target="http://www.udistrital.edu.co:8080/en/web/docencia/normatividad" TargetMode="External"/><Relationship Id="rId286" Type="http://schemas.openxmlformats.org/officeDocument/2006/relationships/hyperlink" Target="http://www1.udistrital.edu.co:8080/web/comite-de-autoevaluacion-y-acreditacion-facultad-tecnologica/documento-maestro-2015" TargetMode="External"/><Relationship Id="rId451" Type="http://schemas.openxmlformats.org/officeDocument/2006/relationships/hyperlink" Target="http://www1.udistrital.edu.co:8080/web/laboratorio-de-electricidad-facultad-tecnologica/estadisticas" TargetMode="External"/><Relationship Id="rId50" Type="http://schemas.openxmlformats.org/officeDocument/2006/relationships/hyperlink" Target="http://biblioteca.udistrital.edu.co/F/KXM99GJYUFJM37KLUDC6IBN8NX5Q9CMTB1LS9JEQVBV2KP5KRY-50172?func=find-b&amp;request=Alta%20redacci%C3%B3n.%20Informes%20t%C3%A9cnicos%20y%20administrativos&amp;find_code=WTI&amp;adjacent=N&amp;x=-559&amp;y=-403&amp;filter_code_1=WLN&amp;filter_request_1=&amp;filter_code_2=WYR&amp;filter_request_2=&amp;filter_code_3=WYR&amp;filter_request_3=&amp;filter_code_4=WFM&amp;filter_request_4=&amp;filter_code_5=WSL&amp;filter_request_5=" TargetMode="External"/><Relationship Id="rId104" Type="http://schemas.openxmlformats.org/officeDocument/2006/relationships/hyperlink" Target="http://planeacion.udistrital.edu.co:8080/plan-estrategico-de-desarrollo" TargetMode="External"/><Relationship Id="rId146" Type="http://schemas.openxmlformats.org/officeDocument/2006/relationships/hyperlink" Target="http://www1.udistrital.edu.co:8080/es/web/tecnologia-en-electricidad/actas" TargetMode="External"/><Relationship Id="rId188" Type="http://schemas.openxmlformats.org/officeDocument/2006/relationships/hyperlink" Target="file:///C:\Users\cacreditaciontec1\AppData\Roaming\Microsoft\Excel\Factor%201\Anexo%2044.%20Autoevaluaci&#243;n%202009.pdf" TargetMode="External"/><Relationship Id="rId311" Type="http://schemas.openxmlformats.org/officeDocument/2006/relationships/hyperlink" Target="http://planeacion.udistrital.edu.co:8080/sigud/s/siga" TargetMode="External"/><Relationship Id="rId353" Type="http://schemas.openxmlformats.org/officeDocument/2006/relationships/hyperlink" Target="http://www1.udistrital.edu.co:8080/web/comite-de-autoevaluacion-y-acreditacion-facultad-tecnologica/documento-maestro-2015" TargetMode="External"/><Relationship Id="rId395" Type="http://schemas.openxmlformats.org/officeDocument/2006/relationships/hyperlink" Target="http://www1.udistrital.edu.co:8080/web/comite-de-autoevaluacion-y-acreditacion-facultad-tecnologica/documento-maestro-2015" TargetMode="External"/><Relationship Id="rId409" Type="http://schemas.openxmlformats.org/officeDocument/2006/relationships/hyperlink" Target="file:///C:\Users\cacreditaciontec1\AppData\Roaming\Microsoft\Excel\Plan%20de%20Mejoramiento%202013%20Ele&#769;ctrica.docx" TargetMode="External"/><Relationship Id="rId92" Type="http://schemas.openxmlformats.org/officeDocument/2006/relationships/hyperlink" Target="http://www1.udistrital.edu.co:8080/web/comite-de-autoevaluacion-y-acreditacion-facultad-tecnologica/documento-maestro-2015" TargetMode="External"/><Relationship Id="rId213" Type="http://schemas.openxmlformats.org/officeDocument/2006/relationships/hyperlink" Target="http://www1.udistrital.edu.co:8080/web/comite-de-autoevaluacion-y-acreditacion-facultad-tecnologica/documento-maestro-2015" TargetMode="External"/><Relationship Id="rId420" Type="http://schemas.openxmlformats.org/officeDocument/2006/relationships/hyperlink" Target="http://planeacion.udistrital.edu.co:8080/plan-estrategico-de-desarrollo" TargetMode="External"/><Relationship Id="rId255" Type="http://schemas.openxmlformats.org/officeDocument/2006/relationships/hyperlink" Target="http://www1.udistrital.edu.co:8080/es/web/tecnologia-en-electricidad/actas" TargetMode="External"/><Relationship Id="rId297" Type="http://schemas.openxmlformats.org/officeDocument/2006/relationships/hyperlink" Target="http://planeacion.udistrital.edu.co:8080/sigud" TargetMode="External"/><Relationship Id="rId462" Type="http://schemas.openxmlformats.org/officeDocument/2006/relationships/hyperlink" Target="http://www1.udistrital.edu.co:8080/web/laboratorio-de-electricidad-facultad-tecnologica/disponibiidades" TargetMode="External"/><Relationship Id="rId115" Type="http://schemas.openxmlformats.org/officeDocument/2006/relationships/hyperlink" Target="http://www1.udistrital.edu.co:8080/web/comite-de-autoevaluacion-y-acreditacion-facultad-tecnologica/documento-maestro-2015" TargetMode="External"/><Relationship Id="rId157" Type="http://schemas.openxmlformats.org/officeDocument/2006/relationships/hyperlink" Target="http://tecelectrica.udistrital.edu.co:8080/plan-de-estudios1" TargetMode="External"/><Relationship Id="rId322" Type="http://schemas.openxmlformats.org/officeDocument/2006/relationships/hyperlink" Target="file:///C:\Users\cacreditaciontec1\AppData\Roaming\Microsoft\Excel\Factor%201\Anexo%2045.%20Autoevaluacion%202013.pdf" TargetMode="External"/><Relationship Id="rId364" Type="http://schemas.openxmlformats.org/officeDocument/2006/relationships/hyperlink" Target="http://www1.udistrital.edu.co:8080/web/secretaria-academica-de-la-facultad-tecnologica/actas1/-/document_library_display/C5Zt/view/9646197" TargetMode="External"/><Relationship Id="rId61" Type="http://schemas.openxmlformats.org/officeDocument/2006/relationships/hyperlink" Target="http://www1.udistrital.edu.co:8080/es/web/tecnologia-en-electricidad/pep" TargetMode="External"/><Relationship Id="rId199" Type="http://schemas.openxmlformats.org/officeDocument/2006/relationships/hyperlink" Target="file:///C:\Users\cacreditaciontec1\AppData\Roaming\Microsoft\Excel\Factor%201\Anexo%2044.%20Autoevaluaci&#243;n%202009.pdf" TargetMode="External"/><Relationship Id="rId19" Type="http://schemas.openxmlformats.org/officeDocument/2006/relationships/hyperlink" Target="http://sgral.udistrital.edu.co/xdata/csu/acu_1993-027.pdf" TargetMode="External"/><Relationship Id="rId224" Type="http://schemas.openxmlformats.org/officeDocument/2006/relationships/hyperlink" Target="file:///C:\Users\cacreditaciontec1\AppData\Roaming\Microsoft\Excel\Factor%201\Anexo%2045.%20Autoevaluacion%202013.pdf" TargetMode="External"/><Relationship Id="rId266" Type="http://schemas.openxmlformats.org/officeDocument/2006/relationships/hyperlink" Target="http://www1.udistrital.edu.co:8080/web/comite-de-autoevaluacion-y-acreditacion-facultad-tecnologica/empresarios" TargetMode="External"/><Relationship Id="rId431" Type="http://schemas.openxmlformats.org/officeDocument/2006/relationships/hyperlink" Target="http://www1.udistrital.edu.co:8080/web/comite-de-autoevaluacion-y-acreditacion-facultad-tecnologica/documento-autoeval-2013," TargetMode="External"/><Relationship Id="rId473" Type="http://schemas.openxmlformats.org/officeDocument/2006/relationships/hyperlink" Target="http://bi.mineducacion.gov.co:8380/eportal/web/men-observatorio-laboral/ingreso-promedio-por-programa"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file:///C:\Users\cacreditaciontec1\AppData\Roaming\Microsoft\Users\aacreditaciontec2\AppData\Roaming\Microsoft\Excel\Estudiantes\INFORMACION%20DE%20CORTES%20ESTUDIANTES%202016-1%20-%202018-1.xlsx" TargetMode="External"/><Relationship Id="rId18" Type="http://schemas.openxmlformats.org/officeDocument/2006/relationships/hyperlink" Target="file:///C:\Users\cacreditaciontec1\AppData\Roaming\Microsoft\Excel\Investigacion\Informe%20de%20Gestion%20CIDC%202017.pdf" TargetMode="External"/><Relationship Id="rId26" Type="http://schemas.openxmlformats.org/officeDocument/2006/relationships/hyperlink" Target="file:///C:\Users\cacreditaciontec1\AppData\Roaming\Microsoft\Users\aacreditaciontec2\AppData\Roaming\Microsoft\Excel\Movilidad\CONVENIOS" TargetMode="External"/><Relationship Id="rId3" Type="http://schemas.openxmlformats.org/officeDocument/2006/relationships/hyperlink" Target="file:///C:\Users\cacreditaciontec1\AppData\Roaming\Microsoft\Users\aacreditaciontec2\AppData\Roaming\Microsoft\Excel\Docentes\3.%20Profesores%20Electrica.xlsx" TargetMode="External"/><Relationship Id="rId21" Type="http://schemas.openxmlformats.org/officeDocument/2006/relationships/hyperlink" Target="file:///C:\Users\cacreditaciontec1\AppData\Roaming\Microsoft\Users\aacreditaciontec2\AppData\Roaming\Microsoft\Excel\Estudiantes\INFORMACION%20DE%20CORTES%20ESTUDIANTES%202016-1%20-%202018-1.xlsx" TargetMode="External"/><Relationship Id="rId34" Type="http://schemas.openxmlformats.org/officeDocument/2006/relationships/hyperlink" Target="http://ftecnologica.udistrital.edu.co:8080/citie-2015" TargetMode="External"/><Relationship Id="rId7" Type="http://schemas.openxmlformats.org/officeDocument/2006/relationships/hyperlink" Target="file:///C:\Users\cacreditaciontec1\AppData\Roaming\Microsoft\Users\aacreditaciontec2\AppData\Roaming\Microsoft\Excel\Docentes\3.%20Profesores%20Electrica.xlsx" TargetMode="External"/><Relationship Id="rId12" Type="http://schemas.openxmlformats.org/officeDocument/2006/relationships/hyperlink" Target="file:///C:\Users\cacreditaciontec1\AppData\Roaming\Microsoft\Users\aacreditaciontec2\AppData\Roaming\Microsoft\Excel\Electivas%20ofertadas%202016-2018.xlsx" TargetMode="External"/><Relationship Id="rId17" Type="http://schemas.openxmlformats.org/officeDocument/2006/relationships/hyperlink" Target="https://www.udistrital.edu.co/ii-congreso-internacional-en-tecnologia-e-ingenieria-electrica-citie-2017" TargetMode="External"/><Relationship Id="rId25" Type="http://schemas.openxmlformats.org/officeDocument/2006/relationships/hyperlink" Target="file:///C:\Users\cacreditaciontec1\AppData\Roaming\Microsoft\Users\aacreditaciontec2\AppData\Roaming\Microsoft\Excel\Recurso%20F&#237;sicos\BIBLIOTECA" TargetMode="External"/><Relationship Id="rId33" Type="http://schemas.openxmlformats.org/officeDocument/2006/relationships/hyperlink" Target="http://ceri.udistrital.edu.co/archivos/MovilidadAcademica/5Junio2018-ResultadosEvaluacionMovilidadAcademica-2018-III.pdf" TargetMode="External"/><Relationship Id="rId2" Type="http://schemas.openxmlformats.org/officeDocument/2006/relationships/hyperlink" Target="file:///C:\Users\cacreditaciontec1\AppData\Roaming\Microsoft\Users\aacreditaciontec2\AppData\Roaming\Microsoft\Excel\Estudiantes\INFORMACION%20DE%20CORTES%20ESTUDIANTES%202016-1%20-%202018-1.xlsx" TargetMode="External"/><Relationship Id="rId16" Type="http://schemas.openxmlformats.org/officeDocument/2006/relationships/hyperlink" Target="file:///C:\Users\cacreditaciontec1\AppData\Roaming\Microsoft\Users\aacreditaciontec2\AppData\Roaming\Microsoft\Excel\Extension" TargetMode="External"/><Relationship Id="rId20" Type="http://schemas.openxmlformats.org/officeDocument/2006/relationships/hyperlink" Target="file:///C:\Users\cacreditaciontec1\AppData\Roaming\Microsoft\Users\aacreditaciontec2\AppData\Roaming\Microsoft\Excel\Resultados%20saber%2011%20y%20t&amp;t" TargetMode="External"/><Relationship Id="rId29" Type="http://schemas.openxmlformats.org/officeDocument/2006/relationships/hyperlink" Target="file:///D:\Volumes\TOSHIBA%20EXT\Autoevaluacio&#769;n%20PC%20Electricidad\Estudiantes\INFORMACION%20DE%20CORTES%20ESTUDIANTES%202016-1%20-%202018-1.xlsx" TargetMode="External"/><Relationship Id="rId1" Type="http://schemas.openxmlformats.org/officeDocument/2006/relationships/hyperlink" Target="file:///C:\Users\cacreditaciontec1\AppData\Roaming\Microsoft\Users\aacreditaciontec2\AppData\Roaming\Microsoft\Excel\Estudiantes\INFORMACION%20DE%20CORTES%20ESTUDIANTES%202016-1%20-%202018-1.xlsx" TargetMode="External"/><Relationship Id="rId6" Type="http://schemas.openxmlformats.org/officeDocument/2006/relationships/hyperlink" Target="file:///C:\Users\cacreditaciontec1\AppData\Roaming\Microsoft\Users\aacreditaciontec2\AppData\Roaming\Microsoft\Excel\Docentes\3.%20Profesores%20Electrica.xlsx" TargetMode="External"/><Relationship Id="rId11" Type="http://schemas.openxmlformats.org/officeDocument/2006/relationships/hyperlink" Target="file:///C:\Users\cacreditaciontec1\AppData\Roaming\Microsoft\Users\aacreditaciontec2\AppData\Roaming\Microsoft\Excel\acu_2015-038%20Modalidad%20Trabajos%20de%20Grado.pdf" TargetMode="External"/><Relationship Id="rId24" Type="http://schemas.openxmlformats.org/officeDocument/2006/relationships/hyperlink" Target="file:///C:\Users\cacreditaciontec1\AppData\Roaming\Microsoft\Users\aacreditaciontec2\AppData\Roaming\Microsoft\Excel\Extension\5.Cuadro%20Maestro%20Extensi&#243;n%20El&#233;ctrica%20(1).xls" TargetMode="External"/><Relationship Id="rId32" Type="http://schemas.openxmlformats.org/officeDocument/2006/relationships/hyperlink" Target="http://cidc.udistrital.edu.co/web/index.php/convocatorias" TargetMode="External"/><Relationship Id="rId5" Type="http://schemas.openxmlformats.org/officeDocument/2006/relationships/hyperlink" Target="file:///C:\Users\cacreditaciontec1\AppData\Roaming\Microsoft\Users\aacreditaciontec2\AppData\Roaming\Microsoft\Excel\Docentes\3.%20Profesores%20Electrica.xlsx" TargetMode="External"/><Relationship Id="rId15" Type="http://schemas.openxmlformats.org/officeDocument/2006/relationships/hyperlink" Target="file:///C:\Users\cacreditaciontec1\AppData\Roaming\Microsoft\Users\aacreditaciontec2\AppData\Roaming\Microsoft\Excel\Informacion%20Docentes%20publicaciones,%20estimulos,%20reconocim,%20titulos,%20exp%20lab.xlsx" TargetMode="External"/><Relationship Id="rId23" Type="http://schemas.openxmlformats.org/officeDocument/2006/relationships/hyperlink" Target="file:///C:\Users\cacreditaciontec1\AppData\Roaming\Microsoft\Users\aacreditaciontec2\AppData\Roaming\Microsoft\Excel\Extension" TargetMode="External"/><Relationship Id="rId28" Type="http://schemas.openxmlformats.org/officeDocument/2006/relationships/hyperlink" Target="http://ceri.udistrital.edu.co/convenios/directorio" TargetMode="External"/><Relationship Id="rId10" Type="http://schemas.openxmlformats.org/officeDocument/2006/relationships/hyperlink" Target="file:///C:\Users\cacreditaciontec1\AppData\Roaming\Microsoft\Users\aacreditaciontec2\AppData\Roaming\Microsoft\Excel\Normatividad\acu_2015-038%20Modalidad%20Trabajos%20de%20Grado.pdf" TargetMode="External"/><Relationship Id="rId19" Type="http://schemas.openxmlformats.org/officeDocument/2006/relationships/hyperlink" Target="file:///C:\Users\cacreditaciontec1\AppData\Roaming\Microsoft\Users\aacreditaciontec2\AppData\Roaming\Microsoft\Excel\Movilidad" TargetMode="External"/><Relationship Id="rId31" Type="http://schemas.openxmlformats.org/officeDocument/2006/relationships/hyperlink" Target="file:///D:\Volumes\TOSHIBA%20EXT\Autoevaluacio&#769;n%20PC%20Electricidad\Estudiantes\REPORTE%20PAGOS%20ELECTRICA%20372%20572.xls" TargetMode="External"/><Relationship Id="rId4" Type="http://schemas.openxmlformats.org/officeDocument/2006/relationships/hyperlink" Target="file:///C:\Users\cacreditaciontec1\AppData\Roaming\Microsoft\Users\aacreditaciontec2\AppData\Roaming\Microsoft\Excel\Docentes\3.%20Profesores%20Electrica.xlsx" TargetMode="External"/><Relationship Id="rId9" Type="http://schemas.openxmlformats.org/officeDocument/2006/relationships/hyperlink" Target="file:///C:\Users\cacreditaciontec1\AppData\Roaming\Microsoft\Users\aacreditaciontec2\AppData\Roaming\Microsoft\Excel\Docentes\Informacion%20Docentes%20publicaciones,%20estimulos,%20reconocim,%20titulos,%20exp%20lab.xlsx" TargetMode="External"/><Relationship Id="rId14" Type="http://schemas.openxmlformats.org/officeDocument/2006/relationships/hyperlink" Target="file:///C:\Users\cacreditaciontec1\AppData\Roaming\Microsoft\Excel\Docentes\3.%20Profesores%20Electrica.xlsx" TargetMode="External"/><Relationship Id="rId22" Type="http://schemas.openxmlformats.org/officeDocument/2006/relationships/hyperlink" Target="file:///C:\Users\cacreditaciontec1\AppData\Roaming\Microsoft\Users\aacreditaciontec2\AppData\Roaming\Microsoft\Excel\PASANTIAS" TargetMode="External"/><Relationship Id="rId27" Type="http://schemas.openxmlformats.org/officeDocument/2006/relationships/hyperlink" Target="http://cidc.udistrital.edu.co/web/index.php/sistemas-de-investigacion/convenios" TargetMode="External"/><Relationship Id="rId30" Type="http://schemas.openxmlformats.org/officeDocument/2006/relationships/hyperlink" Target="file:///D:\Volumes\TOSHIBA%20EXT\Autoevaluacio&#769;n%20PC%20Electricidad\Estudiantes\INFORMACION%20DE%20CORTES%20ESTUDIANTES%202016-1%20-%202018-1.xlsx" TargetMode="External"/><Relationship Id="rId35" Type="http://schemas.openxmlformats.org/officeDocument/2006/relationships/printerSettings" Target="../printerSettings/printerSettings7.bin"/><Relationship Id="rId8" Type="http://schemas.openxmlformats.org/officeDocument/2006/relationships/hyperlink" Target="file:///C:\Users\cacreditaciontec1\AppData\Roaming\Microsoft\Users\aacreditaciontec2\AppData\Roaming\Microsoft\Excel\Normatividad"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6" Type="http://schemas.openxmlformats.org/officeDocument/2006/relationships/pivotTable" Target="../pivotTables/pivotTable26.xml"/><Relationship Id="rId21" Type="http://schemas.openxmlformats.org/officeDocument/2006/relationships/pivotTable" Target="../pivotTables/pivotTable21.xml"/><Relationship Id="rId42" Type="http://schemas.openxmlformats.org/officeDocument/2006/relationships/pivotTable" Target="../pivotTables/pivotTable42.xml"/><Relationship Id="rId47" Type="http://schemas.openxmlformats.org/officeDocument/2006/relationships/pivotTable" Target="../pivotTables/pivotTable47.xml"/><Relationship Id="rId63" Type="http://schemas.openxmlformats.org/officeDocument/2006/relationships/pivotTable" Target="../pivotTables/pivotTable63.xml"/><Relationship Id="rId68" Type="http://schemas.openxmlformats.org/officeDocument/2006/relationships/pivotTable" Target="../pivotTables/pivotTable68.xml"/><Relationship Id="rId84" Type="http://schemas.openxmlformats.org/officeDocument/2006/relationships/pivotTable" Target="../pivotTables/pivotTable84.xml"/><Relationship Id="rId89" Type="http://schemas.openxmlformats.org/officeDocument/2006/relationships/pivotTable" Target="../pivotTables/pivotTable89.xml"/><Relationship Id="rId16" Type="http://schemas.openxmlformats.org/officeDocument/2006/relationships/pivotTable" Target="../pivotTables/pivotTable16.xml"/><Relationship Id="rId11" Type="http://schemas.openxmlformats.org/officeDocument/2006/relationships/pivotTable" Target="../pivotTables/pivotTable11.xml"/><Relationship Id="rId32" Type="http://schemas.openxmlformats.org/officeDocument/2006/relationships/pivotTable" Target="../pivotTables/pivotTable32.xml"/><Relationship Id="rId37" Type="http://schemas.openxmlformats.org/officeDocument/2006/relationships/pivotTable" Target="../pivotTables/pivotTable37.xml"/><Relationship Id="rId53" Type="http://schemas.openxmlformats.org/officeDocument/2006/relationships/pivotTable" Target="../pivotTables/pivotTable53.xml"/><Relationship Id="rId58" Type="http://schemas.openxmlformats.org/officeDocument/2006/relationships/pivotTable" Target="../pivotTables/pivotTable58.xml"/><Relationship Id="rId74" Type="http://schemas.openxmlformats.org/officeDocument/2006/relationships/pivotTable" Target="../pivotTables/pivotTable74.xml"/><Relationship Id="rId79" Type="http://schemas.openxmlformats.org/officeDocument/2006/relationships/pivotTable" Target="../pivotTables/pivotTable79.xml"/><Relationship Id="rId5" Type="http://schemas.openxmlformats.org/officeDocument/2006/relationships/pivotTable" Target="../pivotTables/pivotTable5.xml"/><Relationship Id="rId90" Type="http://schemas.openxmlformats.org/officeDocument/2006/relationships/pivotTable" Target="../pivotTables/pivotTable90.xml"/><Relationship Id="rId95" Type="http://schemas.openxmlformats.org/officeDocument/2006/relationships/pivotTable" Target="../pivotTables/pivotTable95.xml"/><Relationship Id="rId22" Type="http://schemas.openxmlformats.org/officeDocument/2006/relationships/pivotTable" Target="../pivotTables/pivotTable22.xml"/><Relationship Id="rId27" Type="http://schemas.openxmlformats.org/officeDocument/2006/relationships/pivotTable" Target="../pivotTables/pivotTable27.xml"/><Relationship Id="rId43" Type="http://schemas.openxmlformats.org/officeDocument/2006/relationships/pivotTable" Target="../pivotTables/pivotTable43.xml"/><Relationship Id="rId48" Type="http://schemas.openxmlformats.org/officeDocument/2006/relationships/pivotTable" Target="../pivotTables/pivotTable48.xml"/><Relationship Id="rId64" Type="http://schemas.openxmlformats.org/officeDocument/2006/relationships/pivotTable" Target="../pivotTables/pivotTable64.xml"/><Relationship Id="rId69" Type="http://schemas.openxmlformats.org/officeDocument/2006/relationships/pivotTable" Target="../pivotTables/pivotTable69.xml"/><Relationship Id="rId80" Type="http://schemas.openxmlformats.org/officeDocument/2006/relationships/pivotTable" Target="../pivotTables/pivotTable80.xml"/><Relationship Id="rId85" Type="http://schemas.openxmlformats.org/officeDocument/2006/relationships/pivotTable" Target="../pivotTables/pivotTable85.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59" Type="http://schemas.openxmlformats.org/officeDocument/2006/relationships/pivotTable" Target="../pivotTables/pivotTable59.xml"/><Relationship Id="rId67" Type="http://schemas.openxmlformats.org/officeDocument/2006/relationships/pivotTable" Target="../pivotTables/pivotTable67.xml"/><Relationship Id="rId20" Type="http://schemas.openxmlformats.org/officeDocument/2006/relationships/pivotTable" Target="../pivotTables/pivotTable20.xml"/><Relationship Id="rId41" Type="http://schemas.openxmlformats.org/officeDocument/2006/relationships/pivotTable" Target="../pivotTables/pivotTable41.xml"/><Relationship Id="rId54" Type="http://schemas.openxmlformats.org/officeDocument/2006/relationships/pivotTable" Target="../pivotTables/pivotTable54.xml"/><Relationship Id="rId62" Type="http://schemas.openxmlformats.org/officeDocument/2006/relationships/pivotTable" Target="../pivotTables/pivotTable62.xml"/><Relationship Id="rId70" Type="http://schemas.openxmlformats.org/officeDocument/2006/relationships/pivotTable" Target="../pivotTables/pivotTable70.xml"/><Relationship Id="rId75" Type="http://schemas.openxmlformats.org/officeDocument/2006/relationships/pivotTable" Target="../pivotTables/pivotTable75.xml"/><Relationship Id="rId83" Type="http://schemas.openxmlformats.org/officeDocument/2006/relationships/pivotTable" Target="../pivotTables/pivotTable83.xml"/><Relationship Id="rId88" Type="http://schemas.openxmlformats.org/officeDocument/2006/relationships/pivotTable" Target="../pivotTables/pivotTable88.xml"/><Relationship Id="rId91" Type="http://schemas.openxmlformats.org/officeDocument/2006/relationships/pivotTable" Target="../pivotTables/pivotTable91.xml"/><Relationship Id="rId96" Type="http://schemas.openxmlformats.org/officeDocument/2006/relationships/pivotTable" Target="../pivotTables/pivotTable96.xml"/><Relationship Id="rId1" Type="http://schemas.openxmlformats.org/officeDocument/2006/relationships/pivotTable" Target="../pivotTables/pivotTable1.xml"/><Relationship Id="rId6" Type="http://schemas.openxmlformats.org/officeDocument/2006/relationships/pivotTable" Target="../pivotTables/pivotTable6.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 Id="rId57" Type="http://schemas.openxmlformats.org/officeDocument/2006/relationships/pivotTable" Target="../pivotTables/pivotTable57.xml"/><Relationship Id="rId10" Type="http://schemas.openxmlformats.org/officeDocument/2006/relationships/pivotTable" Target="../pivotTables/pivotTable10.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 Id="rId60" Type="http://schemas.openxmlformats.org/officeDocument/2006/relationships/pivotTable" Target="../pivotTables/pivotTable60.xml"/><Relationship Id="rId65" Type="http://schemas.openxmlformats.org/officeDocument/2006/relationships/pivotTable" Target="../pivotTables/pivotTable65.xml"/><Relationship Id="rId73" Type="http://schemas.openxmlformats.org/officeDocument/2006/relationships/pivotTable" Target="../pivotTables/pivotTable73.xml"/><Relationship Id="rId78" Type="http://schemas.openxmlformats.org/officeDocument/2006/relationships/pivotTable" Target="../pivotTables/pivotTable78.xml"/><Relationship Id="rId81" Type="http://schemas.openxmlformats.org/officeDocument/2006/relationships/pivotTable" Target="../pivotTables/pivotTable81.xml"/><Relationship Id="rId86" Type="http://schemas.openxmlformats.org/officeDocument/2006/relationships/pivotTable" Target="../pivotTables/pivotTable86.xml"/><Relationship Id="rId94" Type="http://schemas.openxmlformats.org/officeDocument/2006/relationships/pivotTable" Target="../pivotTables/pivotTable94.xml"/><Relationship Id="rId4" Type="http://schemas.openxmlformats.org/officeDocument/2006/relationships/pivotTable" Target="../pivotTables/pivotTable4.xml"/><Relationship Id="rId9" Type="http://schemas.openxmlformats.org/officeDocument/2006/relationships/pivotTable" Target="../pivotTables/pivotTable9.xml"/><Relationship Id="rId13" Type="http://schemas.openxmlformats.org/officeDocument/2006/relationships/pivotTable" Target="../pivotTables/pivotTable13.xml"/><Relationship Id="rId18" Type="http://schemas.openxmlformats.org/officeDocument/2006/relationships/pivotTable" Target="../pivotTables/pivotTable18.xml"/><Relationship Id="rId39" Type="http://schemas.openxmlformats.org/officeDocument/2006/relationships/pivotTable" Target="../pivotTables/pivotTable39.xml"/><Relationship Id="rId34" Type="http://schemas.openxmlformats.org/officeDocument/2006/relationships/pivotTable" Target="../pivotTables/pivotTable34.xml"/><Relationship Id="rId50" Type="http://schemas.openxmlformats.org/officeDocument/2006/relationships/pivotTable" Target="../pivotTables/pivotTable50.xml"/><Relationship Id="rId55" Type="http://schemas.openxmlformats.org/officeDocument/2006/relationships/pivotTable" Target="../pivotTables/pivotTable55.xml"/><Relationship Id="rId76" Type="http://schemas.openxmlformats.org/officeDocument/2006/relationships/pivotTable" Target="../pivotTables/pivotTable76.xml"/><Relationship Id="rId97" Type="http://schemas.openxmlformats.org/officeDocument/2006/relationships/pivotTable" Target="../pivotTables/pivotTable97.xml"/><Relationship Id="rId7" Type="http://schemas.openxmlformats.org/officeDocument/2006/relationships/pivotTable" Target="../pivotTables/pivotTable7.xml"/><Relationship Id="rId71" Type="http://schemas.openxmlformats.org/officeDocument/2006/relationships/pivotTable" Target="../pivotTables/pivotTable71.xml"/><Relationship Id="rId92" Type="http://schemas.openxmlformats.org/officeDocument/2006/relationships/pivotTable" Target="../pivotTables/pivotTable92.xml"/><Relationship Id="rId2" Type="http://schemas.openxmlformats.org/officeDocument/2006/relationships/pivotTable" Target="../pivotTables/pivotTable2.xml"/><Relationship Id="rId29" Type="http://schemas.openxmlformats.org/officeDocument/2006/relationships/pivotTable" Target="../pivotTables/pivotTable29.xml"/><Relationship Id="rId24" Type="http://schemas.openxmlformats.org/officeDocument/2006/relationships/pivotTable" Target="../pivotTables/pivotTable24.xml"/><Relationship Id="rId40" Type="http://schemas.openxmlformats.org/officeDocument/2006/relationships/pivotTable" Target="../pivotTables/pivotTable40.xml"/><Relationship Id="rId45" Type="http://schemas.openxmlformats.org/officeDocument/2006/relationships/pivotTable" Target="../pivotTables/pivotTable45.xml"/><Relationship Id="rId66" Type="http://schemas.openxmlformats.org/officeDocument/2006/relationships/pivotTable" Target="../pivotTables/pivotTable66.xml"/><Relationship Id="rId87" Type="http://schemas.openxmlformats.org/officeDocument/2006/relationships/pivotTable" Target="../pivotTables/pivotTable87.xml"/><Relationship Id="rId61" Type="http://schemas.openxmlformats.org/officeDocument/2006/relationships/pivotTable" Target="../pivotTables/pivotTable61.xml"/><Relationship Id="rId82" Type="http://schemas.openxmlformats.org/officeDocument/2006/relationships/pivotTable" Target="../pivotTables/pivotTable82.xml"/><Relationship Id="rId19" Type="http://schemas.openxmlformats.org/officeDocument/2006/relationships/pivotTable" Target="../pivotTables/pivotTable19.xml"/><Relationship Id="rId14" Type="http://schemas.openxmlformats.org/officeDocument/2006/relationships/pivotTable" Target="../pivotTables/pivotTable14.xml"/><Relationship Id="rId30" Type="http://schemas.openxmlformats.org/officeDocument/2006/relationships/pivotTable" Target="../pivotTables/pivotTable30.xml"/><Relationship Id="rId35" Type="http://schemas.openxmlformats.org/officeDocument/2006/relationships/pivotTable" Target="../pivotTables/pivotTable35.xml"/><Relationship Id="rId56" Type="http://schemas.openxmlformats.org/officeDocument/2006/relationships/pivotTable" Target="../pivotTables/pivotTable56.xml"/><Relationship Id="rId77" Type="http://schemas.openxmlformats.org/officeDocument/2006/relationships/pivotTable" Target="../pivotTables/pivotTable77.xml"/><Relationship Id="rId8" Type="http://schemas.openxmlformats.org/officeDocument/2006/relationships/pivotTable" Target="../pivotTables/pivotTable8.xml"/><Relationship Id="rId51" Type="http://schemas.openxmlformats.org/officeDocument/2006/relationships/pivotTable" Target="../pivotTables/pivotTable51.xml"/><Relationship Id="rId72" Type="http://schemas.openxmlformats.org/officeDocument/2006/relationships/pivotTable" Target="../pivotTables/pivotTable72.xml"/><Relationship Id="rId93" Type="http://schemas.openxmlformats.org/officeDocument/2006/relationships/pivotTable" Target="../pivotTables/pivotTable93.xml"/></Relationships>
</file>

<file path=xl/worksheets/_rels/sheet5.xml.rels><?xml version="1.0" encoding="UTF-8" standalone="yes"?>
<Relationships xmlns="http://schemas.openxmlformats.org/package/2006/relationships"><Relationship Id="rId26" Type="http://schemas.openxmlformats.org/officeDocument/2006/relationships/pivotTable" Target="../pivotTables/pivotTable123.xml"/><Relationship Id="rId21" Type="http://schemas.openxmlformats.org/officeDocument/2006/relationships/pivotTable" Target="../pivotTables/pivotTable118.xml"/><Relationship Id="rId42" Type="http://schemas.openxmlformats.org/officeDocument/2006/relationships/pivotTable" Target="../pivotTables/pivotTable139.xml"/><Relationship Id="rId47" Type="http://schemas.openxmlformats.org/officeDocument/2006/relationships/pivotTable" Target="../pivotTables/pivotTable144.xml"/><Relationship Id="rId63" Type="http://schemas.openxmlformats.org/officeDocument/2006/relationships/pivotTable" Target="../pivotTables/pivotTable160.xml"/><Relationship Id="rId68" Type="http://schemas.openxmlformats.org/officeDocument/2006/relationships/pivotTable" Target="../pivotTables/pivotTable165.xml"/><Relationship Id="rId84" Type="http://schemas.openxmlformats.org/officeDocument/2006/relationships/pivotTable" Target="../pivotTables/pivotTable181.xml"/><Relationship Id="rId16" Type="http://schemas.openxmlformats.org/officeDocument/2006/relationships/pivotTable" Target="../pivotTables/pivotTable113.xml"/><Relationship Id="rId11" Type="http://schemas.openxmlformats.org/officeDocument/2006/relationships/pivotTable" Target="../pivotTables/pivotTable108.xml"/><Relationship Id="rId32" Type="http://schemas.openxmlformats.org/officeDocument/2006/relationships/pivotTable" Target="../pivotTables/pivotTable129.xml"/><Relationship Id="rId37" Type="http://schemas.openxmlformats.org/officeDocument/2006/relationships/pivotTable" Target="../pivotTables/pivotTable134.xml"/><Relationship Id="rId53" Type="http://schemas.openxmlformats.org/officeDocument/2006/relationships/pivotTable" Target="../pivotTables/pivotTable150.xml"/><Relationship Id="rId58" Type="http://schemas.openxmlformats.org/officeDocument/2006/relationships/pivotTable" Target="../pivotTables/pivotTable155.xml"/><Relationship Id="rId74" Type="http://schemas.openxmlformats.org/officeDocument/2006/relationships/pivotTable" Target="../pivotTables/pivotTable171.xml"/><Relationship Id="rId79" Type="http://schemas.openxmlformats.org/officeDocument/2006/relationships/pivotTable" Target="../pivotTables/pivotTable176.xml"/><Relationship Id="rId5" Type="http://schemas.openxmlformats.org/officeDocument/2006/relationships/pivotTable" Target="../pivotTables/pivotTable102.xml"/><Relationship Id="rId19" Type="http://schemas.openxmlformats.org/officeDocument/2006/relationships/pivotTable" Target="../pivotTables/pivotTable116.xml"/><Relationship Id="rId14" Type="http://schemas.openxmlformats.org/officeDocument/2006/relationships/pivotTable" Target="../pivotTables/pivotTable111.xml"/><Relationship Id="rId22" Type="http://schemas.openxmlformats.org/officeDocument/2006/relationships/pivotTable" Target="../pivotTables/pivotTable119.xml"/><Relationship Id="rId27" Type="http://schemas.openxmlformats.org/officeDocument/2006/relationships/pivotTable" Target="../pivotTables/pivotTable124.xml"/><Relationship Id="rId30" Type="http://schemas.openxmlformats.org/officeDocument/2006/relationships/pivotTable" Target="../pivotTables/pivotTable127.xml"/><Relationship Id="rId35" Type="http://schemas.openxmlformats.org/officeDocument/2006/relationships/pivotTable" Target="../pivotTables/pivotTable132.xml"/><Relationship Id="rId43" Type="http://schemas.openxmlformats.org/officeDocument/2006/relationships/pivotTable" Target="../pivotTables/pivotTable140.xml"/><Relationship Id="rId48" Type="http://schemas.openxmlformats.org/officeDocument/2006/relationships/pivotTable" Target="../pivotTables/pivotTable145.xml"/><Relationship Id="rId56" Type="http://schemas.openxmlformats.org/officeDocument/2006/relationships/pivotTable" Target="../pivotTables/pivotTable153.xml"/><Relationship Id="rId64" Type="http://schemas.openxmlformats.org/officeDocument/2006/relationships/pivotTable" Target="../pivotTables/pivotTable161.xml"/><Relationship Id="rId69" Type="http://schemas.openxmlformats.org/officeDocument/2006/relationships/pivotTable" Target="../pivotTables/pivotTable166.xml"/><Relationship Id="rId77" Type="http://schemas.openxmlformats.org/officeDocument/2006/relationships/pivotTable" Target="../pivotTables/pivotTable174.xml"/><Relationship Id="rId8" Type="http://schemas.openxmlformats.org/officeDocument/2006/relationships/pivotTable" Target="../pivotTables/pivotTable105.xml"/><Relationship Id="rId51" Type="http://schemas.openxmlformats.org/officeDocument/2006/relationships/pivotTable" Target="../pivotTables/pivotTable148.xml"/><Relationship Id="rId72" Type="http://schemas.openxmlformats.org/officeDocument/2006/relationships/pivotTable" Target="../pivotTables/pivotTable169.xml"/><Relationship Id="rId80" Type="http://schemas.openxmlformats.org/officeDocument/2006/relationships/pivotTable" Target="../pivotTables/pivotTable177.xml"/><Relationship Id="rId85" Type="http://schemas.openxmlformats.org/officeDocument/2006/relationships/pivotTable" Target="../pivotTables/pivotTable182.xml"/><Relationship Id="rId3" Type="http://schemas.openxmlformats.org/officeDocument/2006/relationships/pivotTable" Target="../pivotTables/pivotTable100.xml"/><Relationship Id="rId12" Type="http://schemas.openxmlformats.org/officeDocument/2006/relationships/pivotTable" Target="../pivotTables/pivotTable109.xml"/><Relationship Id="rId17" Type="http://schemas.openxmlformats.org/officeDocument/2006/relationships/pivotTable" Target="../pivotTables/pivotTable114.xml"/><Relationship Id="rId25" Type="http://schemas.openxmlformats.org/officeDocument/2006/relationships/pivotTable" Target="../pivotTables/pivotTable122.xml"/><Relationship Id="rId33" Type="http://schemas.openxmlformats.org/officeDocument/2006/relationships/pivotTable" Target="../pivotTables/pivotTable130.xml"/><Relationship Id="rId38" Type="http://schemas.openxmlformats.org/officeDocument/2006/relationships/pivotTable" Target="../pivotTables/pivotTable135.xml"/><Relationship Id="rId46" Type="http://schemas.openxmlformats.org/officeDocument/2006/relationships/pivotTable" Target="../pivotTables/pivotTable143.xml"/><Relationship Id="rId59" Type="http://schemas.openxmlformats.org/officeDocument/2006/relationships/pivotTable" Target="../pivotTables/pivotTable156.xml"/><Relationship Id="rId67" Type="http://schemas.openxmlformats.org/officeDocument/2006/relationships/pivotTable" Target="../pivotTables/pivotTable164.xml"/><Relationship Id="rId20" Type="http://schemas.openxmlformats.org/officeDocument/2006/relationships/pivotTable" Target="../pivotTables/pivotTable117.xml"/><Relationship Id="rId41" Type="http://schemas.openxmlformats.org/officeDocument/2006/relationships/pivotTable" Target="../pivotTables/pivotTable138.xml"/><Relationship Id="rId54" Type="http://schemas.openxmlformats.org/officeDocument/2006/relationships/pivotTable" Target="../pivotTables/pivotTable151.xml"/><Relationship Id="rId62" Type="http://schemas.openxmlformats.org/officeDocument/2006/relationships/pivotTable" Target="../pivotTables/pivotTable159.xml"/><Relationship Id="rId70" Type="http://schemas.openxmlformats.org/officeDocument/2006/relationships/pivotTable" Target="../pivotTables/pivotTable167.xml"/><Relationship Id="rId75" Type="http://schemas.openxmlformats.org/officeDocument/2006/relationships/pivotTable" Target="../pivotTables/pivotTable172.xml"/><Relationship Id="rId83" Type="http://schemas.openxmlformats.org/officeDocument/2006/relationships/pivotTable" Target="../pivotTables/pivotTable180.xml"/><Relationship Id="rId88" Type="http://schemas.openxmlformats.org/officeDocument/2006/relationships/pivotTable" Target="../pivotTables/pivotTable185.xml"/><Relationship Id="rId1" Type="http://schemas.openxmlformats.org/officeDocument/2006/relationships/pivotTable" Target="../pivotTables/pivotTable98.xml"/><Relationship Id="rId6" Type="http://schemas.openxmlformats.org/officeDocument/2006/relationships/pivotTable" Target="../pivotTables/pivotTable103.xml"/><Relationship Id="rId15" Type="http://schemas.openxmlformats.org/officeDocument/2006/relationships/pivotTable" Target="../pivotTables/pivotTable112.xml"/><Relationship Id="rId23" Type="http://schemas.openxmlformats.org/officeDocument/2006/relationships/pivotTable" Target="../pivotTables/pivotTable120.xml"/><Relationship Id="rId28" Type="http://schemas.openxmlformats.org/officeDocument/2006/relationships/pivotTable" Target="../pivotTables/pivotTable125.xml"/><Relationship Id="rId36" Type="http://schemas.openxmlformats.org/officeDocument/2006/relationships/pivotTable" Target="../pivotTables/pivotTable133.xml"/><Relationship Id="rId49" Type="http://schemas.openxmlformats.org/officeDocument/2006/relationships/pivotTable" Target="../pivotTables/pivotTable146.xml"/><Relationship Id="rId57" Type="http://schemas.openxmlformats.org/officeDocument/2006/relationships/pivotTable" Target="../pivotTables/pivotTable154.xml"/><Relationship Id="rId10" Type="http://schemas.openxmlformats.org/officeDocument/2006/relationships/pivotTable" Target="../pivotTables/pivotTable107.xml"/><Relationship Id="rId31" Type="http://schemas.openxmlformats.org/officeDocument/2006/relationships/pivotTable" Target="../pivotTables/pivotTable128.xml"/><Relationship Id="rId44" Type="http://schemas.openxmlformats.org/officeDocument/2006/relationships/pivotTable" Target="../pivotTables/pivotTable141.xml"/><Relationship Id="rId52" Type="http://schemas.openxmlformats.org/officeDocument/2006/relationships/pivotTable" Target="../pivotTables/pivotTable149.xml"/><Relationship Id="rId60" Type="http://schemas.openxmlformats.org/officeDocument/2006/relationships/pivotTable" Target="../pivotTables/pivotTable157.xml"/><Relationship Id="rId65" Type="http://schemas.openxmlformats.org/officeDocument/2006/relationships/pivotTable" Target="../pivotTables/pivotTable162.xml"/><Relationship Id="rId73" Type="http://schemas.openxmlformats.org/officeDocument/2006/relationships/pivotTable" Target="../pivotTables/pivotTable170.xml"/><Relationship Id="rId78" Type="http://schemas.openxmlformats.org/officeDocument/2006/relationships/pivotTable" Target="../pivotTables/pivotTable175.xml"/><Relationship Id="rId81" Type="http://schemas.openxmlformats.org/officeDocument/2006/relationships/pivotTable" Target="../pivotTables/pivotTable178.xml"/><Relationship Id="rId86" Type="http://schemas.openxmlformats.org/officeDocument/2006/relationships/pivotTable" Target="../pivotTables/pivotTable183.xml"/><Relationship Id="rId4" Type="http://schemas.openxmlformats.org/officeDocument/2006/relationships/pivotTable" Target="../pivotTables/pivotTable101.xml"/><Relationship Id="rId9" Type="http://schemas.openxmlformats.org/officeDocument/2006/relationships/pivotTable" Target="../pivotTables/pivotTable106.xml"/><Relationship Id="rId13" Type="http://schemas.openxmlformats.org/officeDocument/2006/relationships/pivotTable" Target="../pivotTables/pivotTable110.xml"/><Relationship Id="rId18" Type="http://schemas.openxmlformats.org/officeDocument/2006/relationships/pivotTable" Target="../pivotTables/pivotTable115.xml"/><Relationship Id="rId39" Type="http://schemas.openxmlformats.org/officeDocument/2006/relationships/pivotTable" Target="../pivotTables/pivotTable136.xml"/><Relationship Id="rId34" Type="http://schemas.openxmlformats.org/officeDocument/2006/relationships/pivotTable" Target="../pivotTables/pivotTable131.xml"/><Relationship Id="rId50" Type="http://schemas.openxmlformats.org/officeDocument/2006/relationships/pivotTable" Target="../pivotTables/pivotTable147.xml"/><Relationship Id="rId55" Type="http://schemas.openxmlformats.org/officeDocument/2006/relationships/pivotTable" Target="../pivotTables/pivotTable152.xml"/><Relationship Id="rId76" Type="http://schemas.openxmlformats.org/officeDocument/2006/relationships/pivotTable" Target="../pivotTables/pivotTable173.xml"/><Relationship Id="rId7" Type="http://schemas.openxmlformats.org/officeDocument/2006/relationships/pivotTable" Target="../pivotTables/pivotTable104.xml"/><Relationship Id="rId71" Type="http://schemas.openxmlformats.org/officeDocument/2006/relationships/pivotTable" Target="../pivotTables/pivotTable168.xml"/><Relationship Id="rId2" Type="http://schemas.openxmlformats.org/officeDocument/2006/relationships/pivotTable" Target="../pivotTables/pivotTable99.xml"/><Relationship Id="rId29" Type="http://schemas.openxmlformats.org/officeDocument/2006/relationships/pivotTable" Target="../pivotTables/pivotTable126.xml"/><Relationship Id="rId24" Type="http://schemas.openxmlformats.org/officeDocument/2006/relationships/pivotTable" Target="../pivotTables/pivotTable121.xml"/><Relationship Id="rId40" Type="http://schemas.openxmlformats.org/officeDocument/2006/relationships/pivotTable" Target="../pivotTables/pivotTable137.xml"/><Relationship Id="rId45" Type="http://schemas.openxmlformats.org/officeDocument/2006/relationships/pivotTable" Target="../pivotTables/pivotTable142.xml"/><Relationship Id="rId66" Type="http://schemas.openxmlformats.org/officeDocument/2006/relationships/pivotTable" Target="../pivotTables/pivotTable163.xml"/><Relationship Id="rId87" Type="http://schemas.openxmlformats.org/officeDocument/2006/relationships/pivotTable" Target="../pivotTables/pivotTable184.xml"/><Relationship Id="rId61" Type="http://schemas.openxmlformats.org/officeDocument/2006/relationships/pivotTable" Target="../pivotTables/pivotTable158.xml"/><Relationship Id="rId82" Type="http://schemas.openxmlformats.org/officeDocument/2006/relationships/pivotTable" Target="../pivotTables/pivotTable179.xml"/></Relationships>
</file>

<file path=xl/worksheets/_rels/sheet7.xml.rels><?xml version="1.0" encoding="UTF-8" standalone="yes"?>
<Relationships xmlns="http://schemas.openxmlformats.org/package/2006/relationships"><Relationship Id="rId13" Type="http://schemas.openxmlformats.org/officeDocument/2006/relationships/pivotTable" Target="../pivotTables/pivotTable198.xml"/><Relationship Id="rId18" Type="http://schemas.openxmlformats.org/officeDocument/2006/relationships/pivotTable" Target="../pivotTables/pivotTable203.xml"/><Relationship Id="rId26" Type="http://schemas.openxmlformats.org/officeDocument/2006/relationships/pivotTable" Target="../pivotTables/pivotTable211.xml"/><Relationship Id="rId21" Type="http://schemas.openxmlformats.org/officeDocument/2006/relationships/pivotTable" Target="../pivotTables/pivotTable206.xml"/><Relationship Id="rId34" Type="http://schemas.openxmlformats.org/officeDocument/2006/relationships/pivotTable" Target="../pivotTables/pivotTable219.xml"/><Relationship Id="rId7" Type="http://schemas.openxmlformats.org/officeDocument/2006/relationships/pivotTable" Target="../pivotTables/pivotTable192.xml"/><Relationship Id="rId12" Type="http://schemas.openxmlformats.org/officeDocument/2006/relationships/pivotTable" Target="../pivotTables/pivotTable197.xml"/><Relationship Id="rId17" Type="http://schemas.openxmlformats.org/officeDocument/2006/relationships/pivotTable" Target="../pivotTables/pivotTable202.xml"/><Relationship Id="rId25" Type="http://schemas.openxmlformats.org/officeDocument/2006/relationships/pivotTable" Target="../pivotTables/pivotTable210.xml"/><Relationship Id="rId33" Type="http://schemas.openxmlformats.org/officeDocument/2006/relationships/pivotTable" Target="../pivotTables/pivotTable218.xml"/><Relationship Id="rId2" Type="http://schemas.openxmlformats.org/officeDocument/2006/relationships/pivotTable" Target="../pivotTables/pivotTable187.xml"/><Relationship Id="rId16" Type="http://schemas.openxmlformats.org/officeDocument/2006/relationships/pivotTable" Target="../pivotTables/pivotTable201.xml"/><Relationship Id="rId20" Type="http://schemas.openxmlformats.org/officeDocument/2006/relationships/pivotTable" Target="../pivotTables/pivotTable205.xml"/><Relationship Id="rId29" Type="http://schemas.openxmlformats.org/officeDocument/2006/relationships/pivotTable" Target="../pivotTables/pivotTable214.xml"/><Relationship Id="rId1" Type="http://schemas.openxmlformats.org/officeDocument/2006/relationships/pivotTable" Target="../pivotTables/pivotTable186.xml"/><Relationship Id="rId6" Type="http://schemas.openxmlformats.org/officeDocument/2006/relationships/pivotTable" Target="../pivotTables/pivotTable191.xml"/><Relationship Id="rId11" Type="http://schemas.openxmlformats.org/officeDocument/2006/relationships/pivotTable" Target="../pivotTables/pivotTable196.xml"/><Relationship Id="rId24" Type="http://schemas.openxmlformats.org/officeDocument/2006/relationships/pivotTable" Target="../pivotTables/pivotTable209.xml"/><Relationship Id="rId32" Type="http://schemas.openxmlformats.org/officeDocument/2006/relationships/pivotTable" Target="../pivotTables/pivotTable217.xml"/><Relationship Id="rId37" Type="http://schemas.openxmlformats.org/officeDocument/2006/relationships/pivotTable" Target="../pivotTables/pivotTable222.xml"/><Relationship Id="rId5" Type="http://schemas.openxmlformats.org/officeDocument/2006/relationships/pivotTable" Target="../pivotTables/pivotTable190.xml"/><Relationship Id="rId15" Type="http://schemas.openxmlformats.org/officeDocument/2006/relationships/pivotTable" Target="../pivotTables/pivotTable200.xml"/><Relationship Id="rId23" Type="http://schemas.openxmlformats.org/officeDocument/2006/relationships/pivotTable" Target="../pivotTables/pivotTable208.xml"/><Relationship Id="rId28" Type="http://schemas.openxmlformats.org/officeDocument/2006/relationships/pivotTable" Target="../pivotTables/pivotTable213.xml"/><Relationship Id="rId36" Type="http://schemas.openxmlformats.org/officeDocument/2006/relationships/pivotTable" Target="../pivotTables/pivotTable221.xml"/><Relationship Id="rId10" Type="http://schemas.openxmlformats.org/officeDocument/2006/relationships/pivotTable" Target="../pivotTables/pivotTable195.xml"/><Relationship Id="rId19" Type="http://schemas.openxmlformats.org/officeDocument/2006/relationships/pivotTable" Target="../pivotTables/pivotTable204.xml"/><Relationship Id="rId31" Type="http://schemas.openxmlformats.org/officeDocument/2006/relationships/pivotTable" Target="../pivotTables/pivotTable216.xml"/><Relationship Id="rId4" Type="http://schemas.openxmlformats.org/officeDocument/2006/relationships/pivotTable" Target="../pivotTables/pivotTable189.xml"/><Relationship Id="rId9" Type="http://schemas.openxmlformats.org/officeDocument/2006/relationships/pivotTable" Target="../pivotTables/pivotTable194.xml"/><Relationship Id="rId14" Type="http://schemas.openxmlformats.org/officeDocument/2006/relationships/pivotTable" Target="../pivotTables/pivotTable199.xml"/><Relationship Id="rId22" Type="http://schemas.openxmlformats.org/officeDocument/2006/relationships/pivotTable" Target="../pivotTables/pivotTable207.xml"/><Relationship Id="rId27" Type="http://schemas.openxmlformats.org/officeDocument/2006/relationships/pivotTable" Target="../pivotTables/pivotTable212.xml"/><Relationship Id="rId30" Type="http://schemas.openxmlformats.org/officeDocument/2006/relationships/pivotTable" Target="../pivotTables/pivotTable215.xml"/><Relationship Id="rId35" Type="http://schemas.openxmlformats.org/officeDocument/2006/relationships/pivotTable" Target="../pivotTables/pivotTable220.xml"/><Relationship Id="rId8" Type="http://schemas.openxmlformats.org/officeDocument/2006/relationships/pivotTable" Target="../pivotTables/pivotTable193.xml"/><Relationship Id="rId3" Type="http://schemas.openxmlformats.org/officeDocument/2006/relationships/pivotTable" Target="../pivotTables/pivotTable18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30.xml"/><Relationship Id="rId13" Type="http://schemas.openxmlformats.org/officeDocument/2006/relationships/pivotTable" Target="../pivotTables/pivotTable235.xml"/><Relationship Id="rId18" Type="http://schemas.openxmlformats.org/officeDocument/2006/relationships/pivotTable" Target="../pivotTables/pivotTable240.xml"/><Relationship Id="rId26" Type="http://schemas.openxmlformats.org/officeDocument/2006/relationships/pivotTable" Target="../pivotTables/pivotTable248.xml"/><Relationship Id="rId3" Type="http://schemas.openxmlformats.org/officeDocument/2006/relationships/pivotTable" Target="../pivotTables/pivotTable225.xml"/><Relationship Id="rId21" Type="http://schemas.openxmlformats.org/officeDocument/2006/relationships/pivotTable" Target="../pivotTables/pivotTable243.xml"/><Relationship Id="rId7" Type="http://schemas.openxmlformats.org/officeDocument/2006/relationships/pivotTable" Target="../pivotTables/pivotTable229.xml"/><Relationship Id="rId12" Type="http://schemas.openxmlformats.org/officeDocument/2006/relationships/pivotTable" Target="../pivotTables/pivotTable234.xml"/><Relationship Id="rId17" Type="http://schemas.openxmlformats.org/officeDocument/2006/relationships/pivotTable" Target="../pivotTables/pivotTable239.xml"/><Relationship Id="rId25" Type="http://schemas.openxmlformats.org/officeDocument/2006/relationships/pivotTable" Target="../pivotTables/pivotTable247.xml"/><Relationship Id="rId2" Type="http://schemas.openxmlformats.org/officeDocument/2006/relationships/pivotTable" Target="../pivotTables/pivotTable224.xml"/><Relationship Id="rId16" Type="http://schemas.openxmlformats.org/officeDocument/2006/relationships/pivotTable" Target="../pivotTables/pivotTable238.xml"/><Relationship Id="rId20" Type="http://schemas.openxmlformats.org/officeDocument/2006/relationships/pivotTable" Target="../pivotTables/pivotTable242.xml"/><Relationship Id="rId29" Type="http://schemas.openxmlformats.org/officeDocument/2006/relationships/pivotTable" Target="../pivotTables/pivotTable251.xml"/><Relationship Id="rId1" Type="http://schemas.openxmlformats.org/officeDocument/2006/relationships/pivotTable" Target="../pivotTables/pivotTable223.xml"/><Relationship Id="rId6" Type="http://schemas.openxmlformats.org/officeDocument/2006/relationships/pivotTable" Target="../pivotTables/pivotTable228.xml"/><Relationship Id="rId11" Type="http://schemas.openxmlformats.org/officeDocument/2006/relationships/pivotTable" Target="../pivotTables/pivotTable233.xml"/><Relationship Id="rId24" Type="http://schemas.openxmlformats.org/officeDocument/2006/relationships/pivotTable" Target="../pivotTables/pivotTable246.xml"/><Relationship Id="rId5" Type="http://schemas.openxmlformats.org/officeDocument/2006/relationships/pivotTable" Target="../pivotTables/pivotTable227.xml"/><Relationship Id="rId15" Type="http://schemas.openxmlformats.org/officeDocument/2006/relationships/pivotTable" Target="../pivotTables/pivotTable237.xml"/><Relationship Id="rId23" Type="http://schemas.openxmlformats.org/officeDocument/2006/relationships/pivotTable" Target="../pivotTables/pivotTable245.xml"/><Relationship Id="rId28" Type="http://schemas.openxmlformats.org/officeDocument/2006/relationships/pivotTable" Target="../pivotTables/pivotTable250.xml"/><Relationship Id="rId10" Type="http://schemas.openxmlformats.org/officeDocument/2006/relationships/pivotTable" Target="../pivotTables/pivotTable232.xml"/><Relationship Id="rId19" Type="http://schemas.openxmlformats.org/officeDocument/2006/relationships/pivotTable" Target="../pivotTables/pivotTable241.xml"/><Relationship Id="rId4" Type="http://schemas.openxmlformats.org/officeDocument/2006/relationships/pivotTable" Target="../pivotTables/pivotTable226.xml"/><Relationship Id="rId9" Type="http://schemas.openxmlformats.org/officeDocument/2006/relationships/pivotTable" Target="../pivotTables/pivotTable231.xml"/><Relationship Id="rId14" Type="http://schemas.openxmlformats.org/officeDocument/2006/relationships/pivotTable" Target="../pivotTables/pivotTable236.xml"/><Relationship Id="rId22" Type="http://schemas.openxmlformats.org/officeDocument/2006/relationships/pivotTable" Target="../pivotTables/pivotTable244.xml"/><Relationship Id="rId27" Type="http://schemas.openxmlformats.org/officeDocument/2006/relationships/pivotTable" Target="../pivotTables/pivotTable249.xml"/><Relationship Id="rId30" Type="http://schemas.openxmlformats.org/officeDocument/2006/relationships/pivotTable" Target="../pivotTables/pivotTable2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topLeftCell="A15" workbookViewId="0">
      <selection activeCell="B2" sqref="B2:B41"/>
    </sheetView>
  </sheetViews>
  <sheetFormatPr baseColWidth="10" defaultRowHeight="15" x14ac:dyDescent="0.25"/>
  <cols>
    <col min="1" max="1" width="32.28515625" customWidth="1"/>
    <col min="2" max="2" width="13.42578125" style="212" bestFit="1" customWidth="1"/>
    <col min="3" max="3" width="44.85546875" customWidth="1"/>
    <col min="4" max="4" width="15.7109375" bestFit="1" customWidth="1"/>
    <col min="6" max="6" width="10.85546875" style="212"/>
  </cols>
  <sheetData>
    <row r="1" spans="1:6" ht="15.75" x14ac:dyDescent="0.25">
      <c r="A1" s="108" t="s">
        <v>784</v>
      </c>
      <c r="B1" s="210" t="s">
        <v>785</v>
      </c>
      <c r="C1" s="108" t="s">
        <v>21</v>
      </c>
      <c r="D1" s="108" t="s">
        <v>785</v>
      </c>
    </row>
    <row r="2" spans="1:6" x14ac:dyDescent="0.25">
      <c r="A2" s="323" t="s">
        <v>786</v>
      </c>
      <c r="B2" s="320">
        <v>0.12</v>
      </c>
      <c r="C2" s="103" t="s">
        <v>797</v>
      </c>
      <c r="D2" s="110">
        <v>0.20899999999999999</v>
      </c>
    </row>
    <row r="3" spans="1:6" ht="15.75" thickBot="1" x14ac:dyDescent="0.3">
      <c r="A3" s="323"/>
      <c r="B3" s="322"/>
      <c r="C3" s="103" t="s">
        <v>519</v>
      </c>
      <c r="D3" s="110">
        <v>0.41599999999999998</v>
      </c>
    </row>
    <row r="4" spans="1:6" ht="30.75" thickBot="1" x14ac:dyDescent="0.3">
      <c r="A4" s="323"/>
      <c r="B4" s="321"/>
      <c r="C4" s="103" t="s">
        <v>798</v>
      </c>
      <c r="D4" s="110">
        <v>0.375</v>
      </c>
      <c r="E4" s="109" t="s">
        <v>795</v>
      </c>
      <c r="F4" s="211">
        <f>SUM(D2:D4)</f>
        <v>1</v>
      </c>
    </row>
    <row r="5" spans="1:6" x14ac:dyDescent="0.25">
      <c r="A5" s="323" t="s">
        <v>22</v>
      </c>
      <c r="B5" s="320">
        <v>0.1</v>
      </c>
      <c r="C5" s="103" t="s">
        <v>799</v>
      </c>
      <c r="D5" s="110">
        <v>0.22500000000000001</v>
      </c>
    </row>
    <row r="6" spans="1:6" x14ac:dyDescent="0.25">
      <c r="A6" s="323"/>
      <c r="B6" s="322"/>
      <c r="C6" s="103" t="s">
        <v>800</v>
      </c>
      <c r="D6" s="110">
        <v>0.15</v>
      </c>
    </row>
    <row r="7" spans="1:6" ht="15.75" thickBot="1" x14ac:dyDescent="0.3">
      <c r="A7" s="323"/>
      <c r="B7" s="322"/>
      <c r="C7" s="103" t="s">
        <v>801</v>
      </c>
      <c r="D7" s="110">
        <v>0.4</v>
      </c>
    </row>
    <row r="8" spans="1:6" ht="15.75" thickBot="1" x14ac:dyDescent="0.3">
      <c r="A8" s="323"/>
      <c r="B8" s="321"/>
      <c r="C8" s="103" t="s">
        <v>802</v>
      </c>
      <c r="D8" s="110">
        <v>0.22500000000000001</v>
      </c>
      <c r="E8" s="109" t="s">
        <v>795</v>
      </c>
      <c r="F8" s="211">
        <f>SUM(D5:D8)</f>
        <v>1</v>
      </c>
    </row>
    <row r="9" spans="1:6" x14ac:dyDescent="0.25">
      <c r="A9" s="323" t="s">
        <v>787</v>
      </c>
      <c r="B9" s="320">
        <v>0.1</v>
      </c>
      <c r="C9" s="103" t="s">
        <v>803</v>
      </c>
      <c r="D9" s="110">
        <v>0.20399999999999999</v>
      </c>
    </row>
    <row r="10" spans="1:6" x14ac:dyDescent="0.25">
      <c r="A10" s="323"/>
      <c r="B10" s="322"/>
      <c r="C10" s="103" t="s">
        <v>527</v>
      </c>
      <c r="D10" s="110">
        <v>9.2999999999999999E-2</v>
      </c>
    </row>
    <row r="11" spans="1:6" ht="30" x14ac:dyDescent="0.25">
      <c r="A11" s="323"/>
      <c r="B11" s="322"/>
      <c r="C11" s="103" t="s">
        <v>804</v>
      </c>
      <c r="D11" s="110">
        <v>0.17599999999999999</v>
      </c>
    </row>
    <row r="12" spans="1:6" x14ac:dyDescent="0.25">
      <c r="A12" s="323"/>
      <c r="B12" s="322"/>
      <c r="C12" s="103" t="s">
        <v>805</v>
      </c>
      <c r="D12" s="110">
        <v>0.185</v>
      </c>
    </row>
    <row r="13" spans="1:6" ht="45" x14ac:dyDescent="0.25">
      <c r="A13" s="323"/>
      <c r="B13" s="322"/>
      <c r="C13" s="103" t="s">
        <v>806</v>
      </c>
      <c r="D13" s="110">
        <v>7.3999999999999996E-2</v>
      </c>
    </row>
    <row r="14" spans="1:6" ht="30" x14ac:dyDescent="0.25">
      <c r="A14" s="323"/>
      <c r="B14" s="322"/>
      <c r="C14" s="103" t="s">
        <v>807</v>
      </c>
      <c r="D14" s="110">
        <v>6.4000000000000001E-2</v>
      </c>
    </row>
    <row r="15" spans="1:6" ht="15.75" thickBot="1" x14ac:dyDescent="0.3">
      <c r="A15" s="323"/>
      <c r="B15" s="322"/>
      <c r="C15" s="103" t="s">
        <v>808</v>
      </c>
      <c r="D15" s="110">
        <v>9.2999999999999999E-2</v>
      </c>
    </row>
    <row r="16" spans="1:6" ht="15.75" thickBot="1" x14ac:dyDescent="0.3">
      <c r="A16" s="323"/>
      <c r="B16" s="321"/>
      <c r="C16" s="103" t="s">
        <v>809</v>
      </c>
      <c r="D16" s="110">
        <v>0.111</v>
      </c>
      <c r="E16" s="109" t="s">
        <v>795</v>
      </c>
      <c r="F16" s="211">
        <f>SUM(D9:D16)</f>
        <v>0.99999999999999978</v>
      </c>
    </row>
    <row r="17" spans="1:6" x14ac:dyDescent="0.25">
      <c r="A17" s="323" t="s">
        <v>788</v>
      </c>
      <c r="B17" s="320">
        <v>0.15</v>
      </c>
      <c r="C17" s="103" t="s">
        <v>810</v>
      </c>
      <c r="D17" s="110">
        <v>0.13600000000000001</v>
      </c>
    </row>
    <row r="18" spans="1:6" x14ac:dyDescent="0.25">
      <c r="A18" s="323"/>
      <c r="B18" s="322"/>
      <c r="C18" s="103" t="s">
        <v>811</v>
      </c>
      <c r="D18" s="110">
        <v>0.05</v>
      </c>
    </row>
    <row r="19" spans="1:6" x14ac:dyDescent="0.25">
      <c r="A19" s="323"/>
      <c r="B19" s="322"/>
      <c r="C19" s="103" t="s">
        <v>812</v>
      </c>
      <c r="D19" s="110">
        <v>5.6000000000000001E-2</v>
      </c>
    </row>
    <row r="20" spans="1:6" x14ac:dyDescent="0.25">
      <c r="A20" s="323"/>
      <c r="B20" s="322"/>
      <c r="C20" s="103" t="s">
        <v>3189</v>
      </c>
      <c r="D20" s="110">
        <v>0.128</v>
      </c>
    </row>
    <row r="21" spans="1:6" x14ac:dyDescent="0.25">
      <c r="A21" s="323"/>
      <c r="B21" s="322"/>
      <c r="C21" s="103" t="s">
        <v>813</v>
      </c>
      <c r="D21" s="110">
        <v>9.8000000000000004E-2</v>
      </c>
    </row>
    <row r="22" spans="1:6" x14ac:dyDescent="0.25">
      <c r="A22" s="323"/>
      <c r="B22" s="322"/>
      <c r="C22" s="103" t="s">
        <v>832</v>
      </c>
      <c r="D22" s="110">
        <v>0.13200000000000001</v>
      </c>
    </row>
    <row r="23" spans="1:6" x14ac:dyDescent="0.25">
      <c r="A23" s="323"/>
      <c r="B23" s="322"/>
      <c r="C23" s="103" t="s">
        <v>814</v>
      </c>
      <c r="D23" s="110">
        <v>0.05</v>
      </c>
    </row>
    <row r="24" spans="1:6" x14ac:dyDescent="0.25">
      <c r="A24" s="323"/>
      <c r="B24" s="322"/>
      <c r="C24" s="103" t="s">
        <v>815</v>
      </c>
      <c r="D24" s="110">
        <v>5.2999999999999999E-2</v>
      </c>
    </row>
    <row r="25" spans="1:6" x14ac:dyDescent="0.25">
      <c r="A25" s="323"/>
      <c r="B25" s="322"/>
      <c r="C25" s="103" t="s">
        <v>816</v>
      </c>
      <c r="D25" s="110">
        <v>3.3000000000000002E-2</v>
      </c>
    </row>
    <row r="26" spans="1:6" ht="15.75" thickBot="1" x14ac:dyDescent="0.3">
      <c r="A26" s="323"/>
      <c r="B26" s="322"/>
      <c r="C26" s="103" t="s">
        <v>817</v>
      </c>
      <c r="D26" s="110">
        <v>0.128</v>
      </c>
    </row>
    <row r="27" spans="1:6" ht="15.75" thickBot="1" x14ac:dyDescent="0.3">
      <c r="A27" s="323"/>
      <c r="B27" s="321"/>
      <c r="C27" s="103" t="s">
        <v>833</v>
      </c>
      <c r="D27" s="110">
        <v>0.13600000000000001</v>
      </c>
      <c r="E27" s="109" t="s">
        <v>795</v>
      </c>
      <c r="F27" s="211">
        <f>SUM(D17:D27)</f>
        <v>1</v>
      </c>
    </row>
    <row r="28" spans="1:6" ht="30.75" thickBot="1" x14ac:dyDescent="0.3">
      <c r="A28" s="323" t="s">
        <v>789</v>
      </c>
      <c r="B28" s="320">
        <v>0.08</v>
      </c>
      <c r="C28" s="103" t="s">
        <v>818</v>
      </c>
      <c r="D28" s="110">
        <v>0.33</v>
      </c>
    </row>
    <row r="29" spans="1:6" ht="15.75" thickBot="1" x14ac:dyDescent="0.3">
      <c r="A29" s="323"/>
      <c r="B29" s="321"/>
      <c r="C29" s="103" t="s">
        <v>819</v>
      </c>
      <c r="D29" s="110">
        <v>0.67</v>
      </c>
      <c r="E29" s="109" t="s">
        <v>795</v>
      </c>
      <c r="F29" s="211">
        <f>SUM(D28:D29)</f>
        <v>1</v>
      </c>
    </row>
    <row r="30" spans="1:6" ht="30.75" thickBot="1" x14ac:dyDescent="0.3">
      <c r="A30" s="323" t="s">
        <v>790</v>
      </c>
      <c r="B30" s="320">
        <v>0.12</v>
      </c>
      <c r="C30" s="103" t="s">
        <v>820</v>
      </c>
      <c r="D30" s="110">
        <v>0.42</v>
      </c>
    </row>
    <row r="31" spans="1:6" ht="30.75" thickBot="1" x14ac:dyDescent="0.3">
      <c r="A31" s="323"/>
      <c r="B31" s="321"/>
      <c r="C31" s="103" t="s">
        <v>821</v>
      </c>
      <c r="D31" s="110">
        <v>0.57999999999999996</v>
      </c>
      <c r="E31" s="109" t="s">
        <v>795</v>
      </c>
      <c r="F31" s="211">
        <f>SUM(D30:D31)</f>
        <v>1</v>
      </c>
    </row>
    <row r="32" spans="1:6" ht="30.75" thickBot="1" x14ac:dyDescent="0.3">
      <c r="A32" s="323" t="s">
        <v>791</v>
      </c>
      <c r="B32" s="320">
        <v>0.09</v>
      </c>
      <c r="C32" s="103" t="s">
        <v>822</v>
      </c>
      <c r="D32" s="110">
        <v>0.42</v>
      </c>
    </row>
    <row r="33" spans="1:6" ht="15.75" thickBot="1" x14ac:dyDescent="0.3">
      <c r="A33" s="323"/>
      <c r="B33" s="321"/>
      <c r="C33" s="103" t="s">
        <v>823</v>
      </c>
      <c r="D33" s="110">
        <v>0.57999999999999996</v>
      </c>
      <c r="E33" s="109" t="s">
        <v>795</v>
      </c>
      <c r="F33" s="211">
        <f>SUM(D32:D33)</f>
        <v>1</v>
      </c>
    </row>
    <row r="34" spans="1:6" ht="30" x14ac:dyDescent="0.25">
      <c r="A34" s="323" t="s">
        <v>792</v>
      </c>
      <c r="B34" s="320">
        <v>0.08</v>
      </c>
      <c r="C34" s="103" t="s">
        <v>824</v>
      </c>
      <c r="D34" s="110">
        <v>0.33300000000000002</v>
      </c>
    </row>
    <row r="35" spans="1:6" ht="15.75" thickBot="1" x14ac:dyDescent="0.3">
      <c r="A35" s="323"/>
      <c r="B35" s="322"/>
      <c r="C35" s="103" t="s">
        <v>825</v>
      </c>
      <c r="D35" s="110">
        <v>0.45800000000000002</v>
      </c>
    </row>
    <row r="36" spans="1:6" ht="15.75" thickBot="1" x14ac:dyDescent="0.3">
      <c r="A36" s="323"/>
      <c r="B36" s="321"/>
      <c r="C36" s="103" t="s">
        <v>826</v>
      </c>
      <c r="D36" s="110">
        <v>0.20899999999999999</v>
      </c>
      <c r="E36" s="109" t="s">
        <v>795</v>
      </c>
      <c r="F36" s="211">
        <f>SUM(D34:D36)</f>
        <v>1</v>
      </c>
    </row>
    <row r="37" spans="1:6" ht="15.75" thickBot="1" x14ac:dyDescent="0.3">
      <c r="A37" s="323" t="s">
        <v>793</v>
      </c>
      <c r="B37" s="320">
        <v>0.11</v>
      </c>
      <c r="C37" s="103" t="s">
        <v>827</v>
      </c>
      <c r="D37" s="110">
        <v>0.33</v>
      </c>
    </row>
    <row r="38" spans="1:6" ht="30.75" thickBot="1" x14ac:dyDescent="0.3">
      <c r="A38" s="323"/>
      <c r="B38" s="321"/>
      <c r="C38" s="103" t="s">
        <v>828</v>
      </c>
      <c r="D38" s="110">
        <v>0.67</v>
      </c>
      <c r="E38" s="109" t="s">
        <v>795</v>
      </c>
      <c r="F38" s="211">
        <f>SUM(D37:D38)</f>
        <v>1</v>
      </c>
    </row>
    <row r="39" spans="1:6" x14ac:dyDescent="0.25">
      <c r="A39" s="323" t="s">
        <v>794</v>
      </c>
      <c r="B39" s="320">
        <v>0.05</v>
      </c>
      <c r="C39" s="103" t="s">
        <v>829</v>
      </c>
      <c r="D39" s="110">
        <v>0.42</v>
      </c>
    </row>
    <row r="40" spans="1:6" ht="15.75" thickBot="1" x14ac:dyDescent="0.3">
      <c r="A40" s="323"/>
      <c r="B40" s="322"/>
      <c r="C40" s="103" t="s">
        <v>830</v>
      </c>
      <c r="D40" s="110">
        <v>0.33</v>
      </c>
    </row>
    <row r="41" spans="1:6" ht="15.75" thickBot="1" x14ac:dyDescent="0.3">
      <c r="A41" s="323"/>
      <c r="B41" s="321"/>
      <c r="C41" s="103" t="s">
        <v>831</v>
      </c>
      <c r="D41" s="110">
        <v>0.25</v>
      </c>
      <c r="E41" s="109" t="s">
        <v>795</v>
      </c>
      <c r="F41" s="211">
        <f>SUM(D39:D41)</f>
        <v>1</v>
      </c>
    </row>
    <row r="42" spans="1:6" ht="15.75" thickBot="1" x14ac:dyDescent="0.3">
      <c r="A42" s="109" t="s">
        <v>795</v>
      </c>
      <c r="B42" s="211">
        <f>SUM(B2:B41)</f>
        <v>0.99999999999999989</v>
      </c>
    </row>
  </sheetData>
  <autoFilter ref="A1:D41"/>
  <mergeCells count="20">
    <mergeCell ref="A32:A33"/>
    <mergeCell ref="A34:A36"/>
    <mergeCell ref="A37:A38"/>
    <mergeCell ref="A39:A41"/>
    <mergeCell ref="A2:A4"/>
    <mergeCell ref="A5:A8"/>
    <mergeCell ref="A9:A16"/>
    <mergeCell ref="A17:A27"/>
    <mergeCell ref="A28:A29"/>
    <mergeCell ref="A30:A31"/>
    <mergeCell ref="B32:B33"/>
    <mergeCell ref="B34:B36"/>
    <mergeCell ref="B37:B38"/>
    <mergeCell ref="B39:B41"/>
    <mergeCell ref="B2:B4"/>
    <mergeCell ref="B5:B8"/>
    <mergeCell ref="B9:B16"/>
    <mergeCell ref="B17:B27"/>
    <mergeCell ref="B28:B29"/>
    <mergeCell ref="B30:B3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workbookViewId="0">
      <pane ySplit="1" topLeftCell="A14" activePane="bottomLeft" state="frozen"/>
      <selection pane="bottomLeft" activeCell="B2" sqref="B2:B21"/>
    </sheetView>
  </sheetViews>
  <sheetFormatPr baseColWidth="10" defaultRowHeight="15" x14ac:dyDescent="0.25"/>
  <cols>
    <col min="1" max="1" width="23.42578125" customWidth="1"/>
  </cols>
  <sheetData>
    <row r="1" spans="1:25" x14ac:dyDescent="0.25">
      <c r="A1" t="s">
        <v>2746</v>
      </c>
      <c r="B1" s="39" t="s">
        <v>2757</v>
      </c>
      <c r="C1" t="s">
        <v>2758</v>
      </c>
      <c r="D1" t="s">
        <v>2747</v>
      </c>
      <c r="E1" t="s">
        <v>2749</v>
      </c>
      <c r="F1" t="s">
        <v>2748</v>
      </c>
      <c r="G1" t="s">
        <v>2750</v>
      </c>
      <c r="H1" t="s">
        <v>2751</v>
      </c>
      <c r="I1" t="s">
        <v>2752</v>
      </c>
      <c r="J1" t="s">
        <v>2753</v>
      </c>
      <c r="K1" t="s">
        <v>2754</v>
      </c>
      <c r="L1" t="s">
        <v>2755</v>
      </c>
      <c r="M1" t="s">
        <v>2756</v>
      </c>
      <c r="N1" t="s">
        <v>2759</v>
      </c>
      <c r="O1" t="s">
        <v>2760</v>
      </c>
      <c r="P1" t="s">
        <v>2761</v>
      </c>
      <c r="Q1" s="39" t="s">
        <v>2762</v>
      </c>
      <c r="R1" s="39" t="s">
        <v>2764</v>
      </c>
      <c r="S1" s="39" t="s">
        <v>2763</v>
      </c>
      <c r="T1" s="39" t="s">
        <v>2765</v>
      </c>
      <c r="U1" s="39" t="s">
        <v>2766</v>
      </c>
      <c r="V1" s="39" t="s">
        <v>2767</v>
      </c>
      <c r="W1" s="39" t="s">
        <v>2768</v>
      </c>
      <c r="X1" s="39" t="s">
        <v>2769</v>
      </c>
      <c r="Y1" s="39" t="s">
        <v>2770</v>
      </c>
    </row>
    <row r="2" spans="1:25" x14ac:dyDescent="0.25">
      <c r="A2" s="166" t="s">
        <v>2771</v>
      </c>
      <c r="B2" t="s">
        <v>3</v>
      </c>
      <c r="C2" t="s">
        <v>1</v>
      </c>
      <c r="D2" t="s">
        <v>3</v>
      </c>
      <c r="E2" t="s">
        <v>1</v>
      </c>
      <c r="F2" t="s">
        <v>1</v>
      </c>
      <c r="G2" t="s">
        <v>1</v>
      </c>
      <c r="H2" t="s">
        <v>2791</v>
      </c>
      <c r="I2" t="s">
        <v>3</v>
      </c>
      <c r="J2" t="s">
        <v>5</v>
      </c>
      <c r="K2" t="s">
        <v>4</v>
      </c>
      <c r="L2" t="s">
        <v>4</v>
      </c>
      <c r="M2" t="s">
        <v>4</v>
      </c>
      <c r="N2" t="s">
        <v>2791</v>
      </c>
      <c r="O2" t="s">
        <v>2791</v>
      </c>
      <c r="P2" t="s">
        <v>2791</v>
      </c>
      <c r="Q2" t="s">
        <v>4</v>
      </c>
      <c r="R2" t="s">
        <v>4</v>
      </c>
      <c r="S2" t="s">
        <v>4</v>
      </c>
      <c r="T2" t="s">
        <v>3</v>
      </c>
      <c r="U2" t="s">
        <v>3</v>
      </c>
      <c r="V2" t="s">
        <v>3</v>
      </c>
      <c r="W2" t="s">
        <v>3</v>
      </c>
      <c r="X2" t="s">
        <v>3</v>
      </c>
      <c r="Y2" t="s">
        <v>4</v>
      </c>
    </row>
    <row r="3" spans="1:25" x14ac:dyDescent="0.25">
      <c r="A3" s="166" t="s">
        <v>2772</v>
      </c>
      <c r="B3" t="s">
        <v>4</v>
      </c>
      <c r="C3" t="s">
        <v>1</v>
      </c>
      <c r="D3" t="s">
        <v>1</v>
      </c>
      <c r="E3" t="s">
        <v>5</v>
      </c>
      <c r="F3" t="s">
        <v>5</v>
      </c>
      <c r="G3" t="s">
        <v>5</v>
      </c>
      <c r="H3" t="s">
        <v>1</v>
      </c>
      <c r="I3" t="s">
        <v>1</v>
      </c>
      <c r="J3" t="s">
        <v>1</v>
      </c>
      <c r="K3" t="s">
        <v>4</v>
      </c>
      <c r="L3" t="s">
        <v>4</v>
      </c>
      <c r="M3" t="s">
        <v>4</v>
      </c>
      <c r="N3" t="s">
        <v>5</v>
      </c>
      <c r="O3" t="s">
        <v>5</v>
      </c>
      <c r="P3" t="s">
        <v>5</v>
      </c>
      <c r="Q3" t="s">
        <v>4</v>
      </c>
      <c r="R3" t="s">
        <v>4</v>
      </c>
      <c r="S3" t="s">
        <v>4</v>
      </c>
      <c r="T3" t="s">
        <v>3</v>
      </c>
      <c r="U3" t="s">
        <v>5</v>
      </c>
      <c r="V3" t="s">
        <v>5</v>
      </c>
      <c r="W3" t="s">
        <v>4</v>
      </c>
      <c r="X3" t="s">
        <v>3</v>
      </c>
      <c r="Y3" t="s">
        <v>4</v>
      </c>
    </row>
    <row r="4" spans="1:25" ht="30" x14ac:dyDescent="0.25">
      <c r="A4" s="166" t="s">
        <v>2773</v>
      </c>
      <c r="B4" t="s">
        <v>4</v>
      </c>
      <c r="C4" t="s">
        <v>3</v>
      </c>
      <c r="D4" t="s">
        <v>4</v>
      </c>
      <c r="E4" t="s">
        <v>4</v>
      </c>
      <c r="F4" t="s">
        <v>4</v>
      </c>
      <c r="G4" t="s">
        <v>3</v>
      </c>
      <c r="H4" t="s">
        <v>4</v>
      </c>
      <c r="I4" t="s">
        <v>3</v>
      </c>
      <c r="J4" t="s">
        <v>3</v>
      </c>
      <c r="K4" t="s">
        <v>4</v>
      </c>
      <c r="L4" t="s">
        <v>4</v>
      </c>
      <c r="M4" t="s">
        <v>3</v>
      </c>
      <c r="N4" t="s">
        <v>2791</v>
      </c>
      <c r="O4" t="s">
        <v>1</v>
      </c>
      <c r="P4" t="s">
        <v>1</v>
      </c>
      <c r="Q4" t="s">
        <v>3</v>
      </c>
      <c r="R4" t="s">
        <v>1</v>
      </c>
      <c r="S4" t="s">
        <v>2791</v>
      </c>
      <c r="T4" t="s">
        <v>3</v>
      </c>
      <c r="U4" t="s">
        <v>3</v>
      </c>
      <c r="V4" t="s">
        <v>2791</v>
      </c>
      <c r="W4" t="s">
        <v>2791</v>
      </c>
      <c r="X4" t="s">
        <v>2791</v>
      </c>
      <c r="Y4" t="s">
        <v>3</v>
      </c>
    </row>
    <row r="5" spans="1:25" ht="30" x14ac:dyDescent="0.25">
      <c r="A5" s="166" t="s">
        <v>2774</v>
      </c>
      <c r="B5" t="s">
        <v>4</v>
      </c>
      <c r="C5" t="s">
        <v>2791</v>
      </c>
      <c r="D5" t="s">
        <v>5</v>
      </c>
      <c r="E5" t="s">
        <v>0</v>
      </c>
      <c r="F5" t="s">
        <v>3</v>
      </c>
      <c r="G5" t="s">
        <v>0</v>
      </c>
      <c r="H5" t="s">
        <v>3</v>
      </c>
      <c r="I5" t="s">
        <v>3</v>
      </c>
      <c r="J5" t="s">
        <v>1</v>
      </c>
      <c r="K5" t="s">
        <v>3</v>
      </c>
      <c r="L5" t="s">
        <v>3</v>
      </c>
      <c r="M5" t="s">
        <v>4</v>
      </c>
      <c r="N5" t="s">
        <v>2791</v>
      </c>
      <c r="O5" t="s">
        <v>2791</v>
      </c>
      <c r="P5" t="s">
        <v>2791</v>
      </c>
      <c r="Q5" t="s">
        <v>4</v>
      </c>
      <c r="R5" t="s">
        <v>2791</v>
      </c>
      <c r="S5" t="s">
        <v>4</v>
      </c>
      <c r="T5" t="s">
        <v>4</v>
      </c>
      <c r="U5" t="s">
        <v>3</v>
      </c>
      <c r="V5" t="s">
        <v>3</v>
      </c>
      <c r="W5" t="s">
        <v>1</v>
      </c>
      <c r="X5" t="s">
        <v>2791</v>
      </c>
      <c r="Y5" t="s">
        <v>3</v>
      </c>
    </row>
    <row r="6" spans="1:25" ht="45" x14ac:dyDescent="0.25">
      <c r="A6" s="166" t="s">
        <v>2775</v>
      </c>
      <c r="B6" t="s">
        <v>3</v>
      </c>
      <c r="C6" t="s">
        <v>2791</v>
      </c>
      <c r="D6" t="s">
        <v>3</v>
      </c>
      <c r="E6" t="s">
        <v>2791</v>
      </c>
      <c r="F6" t="s">
        <v>2791</v>
      </c>
      <c r="G6" t="s">
        <v>3</v>
      </c>
      <c r="H6" t="s">
        <v>2791</v>
      </c>
      <c r="I6" t="s">
        <v>3</v>
      </c>
      <c r="J6" t="s">
        <v>2791</v>
      </c>
      <c r="K6" t="s">
        <v>3</v>
      </c>
      <c r="L6" t="s">
        <v>3</v>
      </c>
      <c r="M6" t="s">
        <v>3</v>
      </c>
      <c r="N6" t="s">
        <v>3</v>
      </c>
      <c r="O6" t="s">
        <v>3</v>
      </c>
      <c r="P6" t="s">
        <v>3</v>
      </c>
      <c r="Q6" t="s">
        <v>3</v>
      </c>
      <c r="R6" t="s">
        <v>2791</v>
      </c>
      <c r="S6" t="s">
        <v>5</v>
      </c>
      <c r="T6" t="s">
        <v>4</v>
      </c>
      <c r="U6" t="s">
        <v>4</v>
      </c>
      <c r="V6" t="s">
        <v>3</v>
      </c>
      <c r="W6" t="s">
        <v>5</v>
      </c>
      <c r="X6" t="s">
        <v>5</v>
      </c>
      <c r="Y6" t="s">
        <v>4</v>
      </c>
    </row>
    <row r="7" spans="1:25" ht="30" x14ac:dyDescent="0.25">
      <c r="A7" s="166" t="s">
        <v>2776</v>
      </c>
      <c r="B7" t="s">
        <v>2791</v>
      </c>
      <c r="C7" t="s">
        <v>1</v>
      </c>
      <c r="D7" t="s">
        <v>3</v>
      </c>
      <c r="E7" t="s">
        <v>2791</v>
      </c>
      <c r="F7" t="s">
        <v>2791</v>
      </c>
      <c r="G7" t="s">
        <v>2791</v>
      </c>
      <c r="H7" t="s">
        <v>2791</v>
      </c>
      <c r="I7" t="s">
        <v>3</v>
      </c>
      <c r="J7" t="s">
        <v>1</v>
      </c>
      <c r="K7" t="s">
        <v>1</v>
      </c>
      <c r="L7" t="s">
        <v>1</v>
      </c>
      <c r="M7" t="s">
        <v>1</v>
      </c>
      <c r="N7" t="s">
        <v>1</v>
      </c>
      <c r="O7" t="s">
        <v>1</v>
      </c>
      <c r="P7" t="s">
        <v>1</v>
      </c>
      <c r="Q7" t="s">
        <v>2791</v>
      </c>
      <c r="R7" t="s">
        <v>2791</v>
      </c>
      <c r="S7" t="s">
        <v>2791</v>
      </c>
      <c r="T7" t="s">
        <v>2791</v>
      </c>
      <c r="U7" t="s">
        <v>2791</v>
      </c>
      <c r="V7" t="s">
        <v>2791</v>
      </c>
      <c r="W7" t="s">
        <v>3</v>
      </c>
      <c r="X7" t="s">
        <v>3</v>
      </c>
      <c r="Y7" t="s">
        <v>3</v>
      </c>
    </row>
    <row r="8" spans="1:25" ht="30" x14ac:dyDescent="0.25">
      <c r="A8" s="166" t="s">
        <v>2777</v>
      </c>
      <c r="B8" t="s">
        <v>4</v>
      </c>
      <c r="C8" t="s">
        <v>4</v>
      </c>
      <c r="D8" t="s">
        <v>4</v>
      </c>
      <c r="E8" t="s">
        <v>4</v>
      </c>
      <c r="F8" t="s">
        <v>4</v>
      </c>
      <c r="G8" t="s">
        <v>4</v>
      </c>
      <c r="H8" t="s">
        <v>4</v>
      </c>
      <c r="I8" t="s">
        <v>4</v>
      </c>
      <c r="J8" t="s">
        <v>4</v>
      </c>
      <c r="K8" t="s">
        <v>4</v>
      </c>
      <c r="L8" t="s">
        <v>4</v>
      </c>
      <c r="M8" t="s">
        <v>4</v>
      </c>
      <c r="N8" t="s">
        <v>2791</v>
      </c>
      <c r="O8" t="s">
        <v>3</v>
      </c>
      <c r="P8" t="s">
        <v>3</v>
      </c>
      <c r="Q8" t="s">
        <v>3</v>
      </c>
      <c r="R8" t="s">
        <v>3</v>
      </c>
      <c r="S8" t="s">
        <v>3</v>
      </c>
      <c r="T8" t="s">
        <v>4</v>
      </c>
      <c r="U8" t="s">
        <v>3</v>
      </c>
      <c r="V8" t="s">
        <v>3</v>
      </c>
      <c r="W8" t="s">
        <v>4</v>
      </c>
      <c r="X8" t="s">
        <v>4</v>
      </c>
      <c r="Y8" t="s">
        <v>4</v>
      </c>
    </row>
    <row r="9" spans="1:25" ht="30" x14ac:dyDescent="0.25">
      <c r="A9" s="166" t="s">
        <v>2778</v>
      </c>
      <c r="B9" t="s">
        <v>3</v>
      </c>
      <c r="C9" t="s">
        <v>2791</v>
      </c>
      <c r="D9" t="s">
        <v>2791</v>
      </c>
      <c r="E9" t="s">
        <v>3</v>
      </c>
      <c r="F9" t="s">
        <v>3</v>
      </c>
      <c r="G9" t="s">
        <v>3</v>
      </c>
      <c r="H9" t="s">
        <v>3</v>
      </c>
      <c r="I9" t="s">
        <v>1</v>
      </c>
      <c r="J9" t="s">
        <v>2791</v>
      </c>
      <c r="K9" t="s">
        <v>4</v>
      </c>
      <c r="L9" t="s">
        <v>2791</v>
      </c>
      <c r="M9" t="s">
        <v>2791</v>
      </c>
      <c r="N9" t="s">
        <v>3</v>
      </c>
      <c r="O9" t="s">
        <v>2791</v>
      </c>
      <c r="P9" t="s">
        <v>4</v>
      </c>
      <c r="Q9" t="s">
        <v>3</v>
      </c>
      <c r="R9" t="s">
        <v>3</v>
      </c>
      <c r="S9" t="s">
        <v>4</v>
      </c>
      <c r="T9" t="s">
        <v>1</v>
      </c>
      <c r="U9" t="s">
        <v>3</v>
      </c>
      <c r="V9" t="s">
        <v>3</v>
      </c>
      <c r="W9" t="s">
        <v>3</v>
      </c>
      <c r="X9" t="s">
        <v>3</v>
      </c>
      <c r="Y9" t="s">
        <v>3</v>
      </c>
    </row>
    <row r="10" spans="1:25" ht="45" x14ac:dyDescent="0.25">
      <c r="A10" s="166" t="s">
        <v>2779</v>
      </c>
    </row>
    <row r="11" spans="1:25" ht="30" x14ac:dyDescent="0.25">
      <c r="A11" s="166" t="s">
        <v>2780</v>
      </c>
      <c r="B11" t="s">
        <v>2791</v>
      </c>
      <c r="C11" t="s">
        <v>2791</v>
      </c>
      <c r="D11" t="s">
        <v>3</v>
      </c>
      <c r="E11" t="s">
        <v>4</v>
      </c>
      <c r="F11" t="s">
        <v>4</v>
      </c>
      <c r="G11" t="s">
        <v>4</v>
      </c>
      <c r="H11" t="s">
        <v>4</v>
      </c>
      <c r="I11" t="s">
        <v>4</v>
      </c>
      <c r="J11" t="s">
        <v>4</v>
      </c>
      <c r="K11" t="s">
        <v>3</v>
      </c>
      <c r="L11" t="s">
        <v>3</v>
      </c>
      <c r="M11" t="s">
        <v>3</v>
      </c>
      <c r="N11" t="s">
        <v>1</v>
      </c>
      <c r="O11" t="s">
        <v>1</v>
      </c>
      <c r="P11" t="s">
        <v>1</v>
      </c>
      <c r="Q11" t="s">
        <v>1</v>
      </c>
      <c r="R11" t="s">
        <v>1</v>
      </c>
      <c r="S11" t="s">
        <v>1</v>
      </c>
      <c r="T11" t="s">
        <v>3</v>
      </c>
      <c r="U11" t="s">
        <v>1</v>
      </c>
      <c r="V11" t="s">
        <v>1</v>
      </c>
      <c r="W11" t="s">
        <v>1</v>
      </c>
      <c r="X11" t="s">
        <v>1</v>
      </c>
      <c r="Y11" t="s">
        <v>1</v>
      </c>
    </row>
    <row r="12" spans="1:25" ht="30" x14ac:dyDescent="0.25">
      <c r="A12" s="166" t="s">
        <v>2781</v>
      </c>
      <c r="B12" t="s">
        <v>3</v>
      </c>
      <c r="C12" t="s">
        <v>3</v>
      </c>
      <c r="D12" t="s">
        <v>2791</v>
      </c>
      <c r="E12" t="s">
        <v>2791</v>
      </c>
      <c r="F12" t="s">
        <v>3</v>
      </c>
      <c r="G12" t="s">
        <v>2791</v>
      </c>
      <c r="H12" t="s">
        <v>4</v>
      </c>
      <c r="I12" t="s">
        <v>4</v>
      </c>
      <c r="J12" t="s">
        <v>4</v>
      </c>
      <c r="K12" t="s">
        <v>4</v>
      </c>
      <c r="L12" t="s">
        <v>3</v>
      </c>
      <c r="M12" t="s">
        <v>2791</v>
      </c>
      <c r="N12" t="s">
        <v>2791</v>
      </c>
      <c r="O12" t="s">
        <v>2791</v>
      </c>
      <c r="P12" t="s">
        <v>2791</v>
      </c>
      <c r="Q12" t="s">
        <v>1</v>
      </c>
      <c r="R12" t="s">
        <v>1</v>
      </c>
      <c r="S12" t="s">
        <v>5</v>
      </c>
      <c r="T12" t="s">
        <v>2791</v>
      </c>
      <c r="U12" t="s">
        <v>3</v>
      </c>
      <c r="V12" t="s">
        <v>3</v>
      </c>
      <c r="W12" t="s">
        <v>4</v>
      </c>
      <c r="X12" t="s">
        <v>3</v>
      </c>
      <c r="Y12" t="s">
        <v>4</v>
      </c>
    </row>
    <row r="13" spans="1:25" ht="45" x14ac:dyDescent="0.25">
      <c r="A13" s="166" t="s">
        <v>2787</v>
      </c>
    </row>
    <row r="14" spans="1:25" ht="30" x14ac:dyDescent="0.25">
      <c r="A14" s="166" t="s">
        <v>2788</v>
      </c>
    </row>
    <row r="15" spans="1:25" ht="45" x14ac:dyDescent="0.25">
      <c r="A15" s="166" t="s">
        <v>2789</v>
      </c>
    </row>
    <row r="16" spans="1:25" ht="45" x14ac:dyDescent="0.25">
      <c r="A16" s="166" t="s">
        <v>2782</v>
      </c>
    </row>
    <row r="17" spans="1:25" ht="30" x14ac:dyDescent="0.25">
      <c r="A17" s="166" t="s">
        <v>2783</v>
      </c>
      <c r="B17" t="s">
        <v>3</v>
      </c>
      <c r="C17" t="s">
        <v>4</v>
      </c>
      <c r="D17" t="s">
        <v>4</v>
      </c>
      <c r="E17" t="s">
        <v>3</v>
      </c>
      <c r="F17" t="s">
        <v>3</v>
      </c>
      <c r="G17" t="s">
        <v>4</v>
      </c>
      <c r="H17" t="s">
        <v>4</v>
      </c>
      <c r="I17" t="s">
        <v>3</v>
      </c>
      <c r="J17" t="s">
        <v>4</v>
      </c>
      <c r="K17" t="s">
        <v>4</v>
      </c>
      <c r="L17" t="s">
        <v>4</v>
      </c>
      <c r="M17" t="s">
        <v>4</v>
      </c>
      <c r="N17" t="s">
        <v>2791</v>
      </c>
      <c r="O17" t="s">
        <v>0</v>
      </c>
      <c r="P17" t="s">
        <v>1</v>
      </c>
      <c r="Q17" t="s">
        <v>4</v>
      </c>
      <c r="R17" t="s">
        <v>4</v>
      </c>
      <c r="S17" t="s">
        <v>4</v>
      </c>
      <c r="T17" t="s">
        <v>4</v>
      </c>
      <c r="U17" t="s">
        <v>3</v>
      </c>
      <c r="V17" t="s">
        <v>3</v>
      </c>
      <c r="W17" t="s">
        <v>4</v>
      </c>
      <c r="X17" t="s">
        <v>4</v>
      </c>
      <c r="Y17" t="s">
        <v>4</v>
      </c>
    </row>
    <row r="18" spans="1:25" ht="30" x14ac:dyDescent="0.25">
      <c r="A18" s="166" t="s">
        <v>2784</v>
      </c>
      <c r="B18" t="s">
        <v>2791</v>
      </c>
      <c r="C18" t="s">
        <v>4</v>
      </c>
      <c r="D18" t="s">
        <v>1</v>
      </c>
      <c r="E18" t="s">
        <v>4</v>
      </c>
      <c r="F18" t="s">
        <v>4</v>
      </c>
      <c r="G18" t="s">
        <v>4</v>
      </c>
      <c r="H18" t="s">
        <v>4</v>
      </c>
      <c r="I18" t="s">
        <v>4</v>
      </c>
      <c r="J18" t="s">
        <v>4</v>
      </c>
      <c r="K18" t="s">
        <v>2791</v>
      </c>
      <c r="L18" t="s">
        <v>2791</v>
      </c>
      <c r="M18" t="s">
        <v>2791</v>
      </c>
      <c r="N18" t="s">
        <v>0</v>
      </c>
      <c r="O18" t="s">
        <v>0</v>
      </c>
      <c r="P18" t="s">
        <v>0</v>
      </c>
      <c r="Q18" t="s">
        <v>4</v>
      </c>
      <c r="R18" t="s">
        <v>1</v>
      </c>
      <c r="S18" t="s">
        <v>1</v>
      </c>
      <c r="T18" t="s">
        <v>4</v>
      </c>
      <c r="U18" t="s">
        <v>3</v>
      </c>
      <c r="V18" t="s">
        <v>2791</v>
      </c>
      <c r="W18" t="s">
        <v>2791</v>
      </c>
      <c r="X18" t="s">
        <v>1</v>
      </c>
      <c r="Y18" t="s">
        <v>3</v>
      </c>
    </row>
    <row r="19" spans="1:25" ht="30" x14ac:dyDescent="0.25">
      <c r="A19" s="166" t="s">
        <v>2790</v>
      </c>
      <c r="B19" t="s">
        <v>3</v>
      </c>
      <c r="C19" t="s">
        <v>3</v>
      </c>
      <c r="D19" t="s">
        <v>3</v>
      </c>
      <c r="E19" t="s">
        <v>3</v>
      </c>
      <c r="F19" t="s">
        <v>2791</v>
      </c>
      <c r="G19" t="s">
        <v>4</v>
      </c>
      <c r="H19" t="s">
        <v>4</v>
      </c>
      <c r="I19" t="s">
        <v>3</v>
      </c>
      <c r="J19" t="s">
        <v>4</v>
      </c>
      <c r="K19" t="s">
        <v>4</v>
      </c>
      <c r="L19" t="s">
        <v>4</v>
      </c>
      <c r="M19" t="s">
        <v>4</v>
      </c>
      <c r="N19" t="s">
        <v>2791</v>
      </c>
      <c r="O19" t="s">
        <v>0</v>
      </c>
      <c r="P19" t="s">
        <v>1</v>
      </c>
      <c r="Q19" t="s">
        <v>4</v>
      </c>
      <c r="R19" t="s">
        <v>4</v>
      </c>
      <c r="S19" t="s">
        <v>4</v>
      </c>
      <c r="T19" t="s">
        <v>4</v>
      </c>
      <c r="U19" t="s">
        <v>3</v>
      </c>
      <c r="V19" t="s">
        <v>3</v>
      </c>
      <c r="W19" t="s">
        <v>4</v>
      </c>
      <c r="X19" t="s">
        <v>4</v>
      </c>
      <c r="Y19" t="s">
        <v>4</v>
      </c>
    </row>
    <row r="20" spans="1:25" ht="30" x14ac:dyDescent="0.25">
      <c r="A20" s="166" t="s">
        <v>2785</v>
      </c>
      <c r="B20" t="s">
        <v>2791</v>
      </c>
      <c r="C20" t="s">
        <v>0</v>
      </c>
      <c r="D20" t="s">
        <v>5</v>
      </c>
      <c r="E20" t="s">
        <v>5</v>
      </c>
      <c r="F20" t="s">
        <v>5</v>
      </c>
      <c r="G20" t="s">
        <v>5</v>
      </c>
      <c r="H20" t="s">
        <v>5</v>
      </c>
      <c r="I20" t="s">
        <v>5</v>
      </c>
      <c r="J20" t="s">
        <v>2791</v>
      </c>
      <c r="K20" t="s">
        <v>0</v>
      </c>
      <c r="L20" t="s">
        <v>0</v>
      </c>
      <c r="M20" t="s">
        <v>0</v>
      </c>
      <c r="N20" t="s">
        <v>0</v>
      </c>
      <c r="O20" t="s">
        <v>5</v>
      </c>
      <c r="P20" t="s">
        <v>5</v>
      </c>
      <c r="Q20" t="s">
        <v>5</v>
      </c>
      <c r="R20" t="s">
        <v>3</v>
      </c>
      <c r="S20" t="s">
        <v>3</v>
      </c>
      <c r="T20" t="s">
        <v>5</v>
      </c>
      <c r="U20" t="s">
        <v>3</v>
      </c>
      <c r="V20" t="s">
        <v>3</v>
      </c>
      <c r="W20" t="s">
        <v>5</v>
      </c>
      <c r="X20" t="s">
        <v>5</v>
      </c>
      <c r="Y20" t="s">
        <v>5</v>
      </c>
    </row>
    <row r="21" spans="1:25" ht="30" x14ac:dyDescent="0.25">
      <c r="A21" s="166" t="s">
        <v>2786</v>
      </c>
      <c r="B21" t="s">
        <v>3</v>
      </c>
      <c r="C21" t="s">
        <v>4</v>
      </c>
      <c r="D21" t="s">
        <v>5</v>
      </c>
      <c r="E21" t="s">
        <v>5</v>
      </c>
      <c r="F21" t="s">
        <v>5</v>
      </c>
      <c r="G21" t="s">
        <v>5</v>
      </c>
      <c r="H21" t="s">
        <v>5</v>
      </c>
      <c r="I21" t="s">
        <v>5</v>
      </c>
      <c r="J21" t="s">
        <v>5</v>
      </c>
      <c r="K21" t="s">
        <v>3</v>
      </c>
      <c r="L21" t="s">
        <v>3</v>
      </c>
      <c r="M21" t="s">
        <v>3</v>
      </c>
      <c r="N21" t="s">
        <v>2791</v>
      </c>
      <c r="O21" t="s">
        <v>3</v>
      </c>
      <c r="P21" t="s">
        <v>2791</v>
      </c>
      <c r="Q21" t="s">
        <v>5</v>
      </c>
      <c r="R21" t="s">
        <v>5</v>
      </c>
      <c r="S21" t="s">
        <v>5</v>
      </c>
      <c r="T21" t="s">
        <v>5</v>
      </c>
      <c r="U21" t="s">
        <v>3</v>
      </c>
      <c r="V21" t="s">
        <v>1</v>
      </c>
      <c r="W21" t="s">
        <v>5</v>
      </c>
      <c r="X21" t="s">
        <v>3</v>
      </c>
      <c r="Y21" t="s">
        <v>5</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zoomScale="85" zoomScaleNormal="85" zoomScalePageLayoutView="85" workbookViewId="0">
      <selection activeCell="L29" sqref="L29"/>
    </sheetView>
  </sheetViews>
  <sheetFormatPr baseColWidth="10" defaultRowHeight="15" x14ac:dyDescent="0.25"/>
  <cols>
    <col min="1" max="1" width="87.28515625" customWidth="1"/>
    <col min="2" max="2" width="22.42578125" customWidth="1"/>
    <col min="3" max="3" width="11" customWidth="1"/>
    <col min="4" max="4" width="21.85546875" style="196" customWidth="1"/>
    <col min="5" max="5" width="21.85546875" customWidth="1"/>
    <col min="6" max="6" width="11" customWidth="1"/>
    <col min="7" max="9" width="12.42578125" customWidth="1"/>
    <col min="10" max="10" width="4.140625" customWidth="1"/>
  </cols>
  <sheetData>
    <row r="1" spans="1:9" x14ac:dyDescent="0.25">
      <c r="B1" s="164" t="s">
        <v>2816</v>
      </c>
      <c r="D1"/>
    </row>
    <row r="2" spans="1:9" x14ac:dyDescent="0.25">
      <c r="B2" t="s">
        <v>2791</v>
      </c>
      <c r="C2" t="s">
        <v>3</v>
      </c>
      <c r="D2" t="s">
        <v>4</v>
      </c>
      <c r="E2" t="s">
        <v>1358</v>
      </c>
      <c r="F2" t="s">
        <v>1096</v>
      </c>
    </row>
    <row r="3" spans="1:9" x14ac:dyDescent="0.25">
      <c r="A3" t="s">
        <v>2792</v>
      </c>
      <c r="B3" s="165">
        <v>4</v>
      </c>
      <c r="C3" s="165">
        <v>7</v>
      </c>
      <c r="D3" s="165">
        <v>4</v>
      </c>
      <c r="E3" s="165"/>
      <c r="F3" s="165">
        <v>15</v>
      </c>
    </row>
    <row r="4" spans="1:9" ht="15.75" customHeight="1" x14ac:dyDescent="0.25">
      <c r="B4" s="214">
        <f>GETPIVOTDATA("1. Cumplimiento de las funciones sustantivas de docencia investigación y, extensión y proyección social ",$A$1,"1. Cumplimiento de las funciones sustantivas de docencia investigación y, extensión y proyección social ","Medianamente de acuerdo ")/GETPIVOTDATA("1. Cumplimiento de las funciones sustantivas de docencia investigación y, extensión y proyección social ",$A$1)</f>
        <v>0.26666666666666666</v>
      </c>
      <c r="C4" s="214">
        <f>GETPIVOTDATA("1. Cumplimiento de las funciones sustantivas de docencia investigación y, extensión y proyección social ",$A$1,"1. Cumplimiento de las funciones sustantivas de docencia investigación y, extensión y proyección social ","De acuerdo")/GETPIVOTDATA("1. Cumplimiento de las funciones sustantivas de docencia investigación y, extensión y proyección social ",$A$1)</f>
        <v>0.46666666666666667</v>
      </c>
      <c r="D4" s="214">
        <f>GETPIVOTDATA("1. Cumplimiento de las funciones sustantivas de docencia investigación y, extensión y proyección social ",$A$1,"1. Cumplimiento de las funciones sustantivas de docencia investigación y, extensión y proyección social ","Totalmente de acuerdo")/GETPIVOTDATA("1. Cumplimiento de las funciones sustantivas de docencia investigación y, extensión y proyección social ",$A$1)</f>
        <v>0.26666666666666666</v>
      </c>
      <c r="I4" s="215">
        <f>SUM(B4:H4)</f>
        <v>1</v>
      </c>
    </row>
    <row r="5" spans="1:9" x14ac:dyDescent="0.25">
      <c r="B5" s="164" t="s">
        <v>2816</v>
      </c>
      <c r="D5"/>
    </row>
    <row r="6" spans="1:9" x14ac:dyDescent="0.25">
      <c r="B6" t="s">
        <v>0</v>
      </c>
      <c r="C6" t="s">
        <v>1</v>
      </c>
      <c r="D6" t="s">
        <v>2791</v>
      </c>
      <c r="E6" t="s">
        <v>3</v>
      </c>
      <c r="F6" t="s">
        <v>4</v>
      </c>
      <c r="G6" t="s">
        <v>1358</v>
      </c>
      <c r="H6" t="s">
        <v>1096</v>
      </c>
    </row>
    <row r="7" spans="1:9" x14ac:dyDescent="0.25">
      <c r="A7" t="s">
        <v>2793</v>
      </c>
      <c r="B7" s="165">
        <v>1</v>
      </c>
      <c r="C7" s="165">
        <v>3</v>
      </c>
      <c r="D7" s="165">
        <v>4</v>
      </c>
      <c r="E7" s="165">
        <v>3</v>
      </c>
      <c r="F7" s="165">
        <v>4</v>
      </c>
      <c r="G7" s="165"/>
      <c r="H7" s="165">
        <v>15</v>
      </c>
    </row>
    <row r="8" spans="1:9" x14ac:dyDescent="0.25">
      <c r="B8" s="215">
        <f>GETPIVOTDATA("2. Menciona las políticas y programas educativos de la Universidad Distrital Francisco José de Caldas que deben conocer estamentos: Plan Estratégico de Desarrollo, Proyecto Universitario Institucional (PUI), Proyecto Educativo de Programa (PEP)",$A$5,"2. Menciona las políticas y programas educativos de la Universidad Distrital Francisco José de Caldas que deben conocer estamentos: Plan Estratégico de Desarrollo, Proyecto Universitario Institucional (PUI), Proyecto Educativo de Programa (PEP)","Totalmente en desacuerdo")/GETPIVOTDATA("2. Menciona las políticas y programas educativos de la Universidad Distrital Francisco José de Caldas que deben conocer estamentos: Plan Estratégico de Desarrollo, Proyecto Universitario Institucional (PUI), Proyecto Educativo de Programa (PEP)",$A$5)</f>
        <v>6.6666666666666666E-2</v>
      </c>
      <c r="C8" s="215">
        <f>GETPIVOTDATA("2. Menciona las políticas y programas educativos de la Universidad Distrital Francisco José de Caldas que deben conocer estamentos: Plan Estratégico de Desarrollo, Proyecto Universitario Institucional (PUI), Proyecto Educativo de Programa (PEP)",$A$5,"2. Menciona las políticas y programas educativos de la Universidad Distrital Francisco José de Caldas que deben conocer estamentos: Plan Estratégico de Desarrollo, Proyecto Universitario Institucional (PUI), Proyecto Educativo de Programa (PEP)","En desacuerdo")/GETPIVOTDATA("2. Menciona las políticas y programas educativos de la Universidad Distrital Francisco José de Caldas que deben conocer estamentos: Plan Estratégico de Desarrollo, Proyecto Universitario Institucional (PUI), Proyecto Educativo de Programa (PEP)",$A$5)</f>
        <v>0.2</v>
      </c>
      <c r="D8" s="215">
        <f>GETPIVOTDATA("2. Menciona las políticas y programas educativos de la Universidad Distrital Francisco José de Caldas que deben conocer estamentos: Plan Estratégico de Desarrollo, Proyecto Universitario Institucional (PUI), Proyecto Educativo de Programa (PEP)",$A$5,"2. Menciona las políticas y programas educativos de la Universidad Distrital Francisco José de Caldas que deben conocer estamentos: Plan Estratégico de Desarrollo, Proyecto Universitario Institucional (PUI), Proyecto Educativo de Programa (PEP)","Medianamente de acuerdo ")/GETPIVOTDATA("2. Menciona las políticas y programas educativos de la Universidad Distrital Francisco José de Caldas que deben conocer estamentos: Plan Estratégico de Desarrollo, Proyecto Universitario Institucional (PUI), Proyecto Educativo de Programa (PEP)",$A$5)</f>
        <v>0.26666666666666666</v>
      </c>
      <c r="E8" s="215">
        <f>GETPIVOTDATA("2. Menciona las políticas y programas educativos de la Universidad Distrital Francisco José de Caldas que deben conocer estamentos: Plan Estratégico de Desarrollo, Proyecto Universitario Institucional (PUI), Proyecto Educativo de Programa (PEP)",$A$5,"2. Menciona las políticas y programas educativos de la Universidad Distrital Francisco José de Caldas que deben conocer estamentos: Plan Estratégico de Desarrollo, Proyecto Universitario Institucional (PUI), Proyecto Educativo de Programa (PEP)","De acuerdo")/GETPIVOTDATA("2. Menciona las políticas y programas educativos de la Universidad Distrital Francisco José de Caldas que deben conocer estamentos: Plan Estratégico de Desarrollo, Proyecto Universitario Institucional (PUI), Proyecto Educativo de Programa (PEP)",$A$5)</f>
        <v>0.2</v>
      </c>
      <c r="F8" s="215">
        <f>GETPIVOTDATA("2. Menciona las políticas y programas educativos de la Universidad Distrital Francisco José de Caldas que deben conocer estamentos: Plan Estratégico de Desarrollo, Proyecto Universitario Institucional (PUI), Proyecto Educativo de Programa (PEP)",$A$5,"2. Menciona las políticas y programas educativos de la Universidad Distrital Francisco José de Caldas que deben conocer estamentos: Plan Estratégico de Desarrollo, Proyecto Universitario Institucional (PUI), Proyecto Educativo de Programa (PEP)","Totalmente de acuerdo")/GETPIVOTDATA("2. Menciona las políticas y programas educativos de la Universidad Distrital Francisco José de Caldas que deben conocer estamentos: Plan Estratégico de Desarrollo, Proyecto Universitario Institucional (PUI), Proyecto Educativo de Programa (PEP)",$A$5)</f>
        <v>0.26666666666666666</v>
      </c>
      <c r="I8" s="215">
        <f>SUM(B8:H8)</f>
        <v>1</v>
      </c>
    </row>
    <row r="9" spans="1:9" x14ac:dyDescent="0.25">
      <c r="B9" s="164" t="s">
        <v>2816</v>
      </c>
      <c r="D9"/>
    </row>
    <row r="10" spans="1:9" x14ac:dyDescent="0.25">
      <c r="B10" t="s">
        <v>1</v>
      </c>
      <c r="C10" t="s">
        <v>2791</v>
      </c>
      <c r="D10" t="s">
        <v>3</v>
      </c>
      <c r="E10" t="s">
        <v>4</v>
      </c>
      <c r="F10" t="s">
        <v>5</v>
      </c>
      <c r="G10" t="s">
        <v>1358</v>
      </c>
      <c r="H10" t="s">
        <v>1096</v>
      </c>
    </row>
    <row r="11" spans="1:9" x14ac:dyDescent="0.25">
      <c r="A11" t="s">
        <v>2794</v>
      </c>
      <c r="B11" s="165">
        <v>2</v>
      </c>
      <c r="C11" s="165">
        <v>2</v>
      </c>
      <c r="D11" s="165">
        <v>5</v>
      </c>
      <c r="E11" s="165">
        <v>3</v>
      </c>
      <c r="F11" s="165">
        <v>3</v>
      </c>
      <c r="G11" s="165"/>
      <c r="H11" s="165">
        <v>15</v>
      </c>
    </row>
    <row r="12" spans="1:9" x14ac:dyDescent="0.25">
      <c r="B12" s="215">
        <f>GETPIVOTDATA("3. Conoce los planes trazados para los próximos años en el interior de la Facultad",$A$9,"3. Conoce los planes trazados para los próximos años en el interior de la Facultad","En desacuerdo")/GETPIVOTDATA("3. Conoce los planes trazados para los próximos años en el interior de la Facultad",$A$9)</f>
        <v>0.13333333333333333</v>
      </c>
      <c r="C12" s="215">
        <f>GETPIVOTDATA("3. Conoce los planes trazados para los próximos años en el interior de la Facultad",$A$9,"3. Conoce los planes trazados para los próximos años en el interior de la Facultad","Medianamente de acuerdo ")/GETPIVOTDATA("3. Conoce los planes trazados para los próximos años en el interior de la Facultad",$A$9)</f>
        <v>0.13333333333333333</v>
      </c>
      <c r="D12" s="215">
        <f>GETPIVOTDATA("3. Conoce los planes trazados para los próximos años en el interior de la Facultad",$A$9,"3. Conoce los planes trazados para los próximos años en el interior de la Facultad","De acuerdo")/GETPIVOTDATA("3. Conoce los planes trazados para los próximos años en el interior de la Facultad",$A$9)</f>
        <v>0.33333333333333331</v>
      </c>
      <c r="E12" s="215">
        <f>GETPIVOTDATA("3. Conoce los planes trazados para los próximos años en el interior de la Facultad",$A$9,"3. Conoce los planes trazados para los próximos años en el interior de la Facultad","Totalmente de acuerdo")/GETPIVOTDATA("3. Conoce los planes trazados para los próximos años en el interior de la Facultad",$A$9)</f>
        <v>0.2</v>
      </c>
      <c r="F12" s="215">
        <f>GETPIVOTDATA("3. Conoce los planes trazados para los próximos años en el interior de la Facultad",$A$9,"3. Conoce los planes trazados para los próximos años en el interior de la Facultad","No sabe / No puede opinar al respecto")/GETPIVOTDATA("3. Conoce los planes trazados para los próximos años en el interior de la Facultad",$A$9)</f>
        <v>0.2</v>
      </c>
      <c r="I12" s="215">
        <f>SUM(B12:H12)</f>
        <v>1</v>
      </c>
    </row>
    <row r="13" spans="1:9" x14ac:dyDescent="0.25">
      <c r="B13" s="164" t="s">
        <v>2816</v>
      </c>
      <c r="D13"/>
    </row>
    <row r="14" spans="1:9" x14ac:dyDescent="0.25">
      <c r="B14" t="s">
        <v>0</v>
      </c>
      <c r="C14" t="s">
        <v>1</v>
      </c>
      <c r="D14" t="s">
        <v>2791</v>
      </c>
      <c r="E14" t="s">
        <v>3</v>
      </c>
      <c r="F14" t="s">
        <v>4</v>
      </c>
      <c r="G14" t="s">
        <v>5</v>
      </c>
      <c r="H14" t="s">
        <v>1358</v>
      </c>
      <c r="I14" t="s">
        <v>1096</v>
      </c>
    </row>
    <row r="15" spans="1:9" x14ac:dyDescent="0.25">
      <c r="A15" t="s">
        <v>2795</v>
      </c>
      <c r="B15" s="165">
        <v>1</v>
      </c>
      <c r="C15" s="165">
        <v>1</v>
      </c>
      <c r="D15" s="165">
        <v>3</v>
      </c>
      <c r="E15" s="165">
        <v>3</v>
      </c>
      <c r="F15" s="165">
        <v>4</v>
      </c>
      <c r="G15" s="165">
        <v>3</v>
      </c>
      <c r="H15" s="165"/>
      <c r="I15" s="165">
        <v>15</v>
      </c>
    </row>
    <row r="16" spans="1:9" x14ac:dyDescent="0.25">
      <c r="B16" s="215">
        <f>GETPIVOTDATA("4.1. Conoce los planes trazados para los próximos años en el interior del proyecto curricular en materia de: Investigación",$A$13,"4.1. Conoce los planes trazados para los próximos años en el interior del proyecto curricular en materia de: Investigación","Totalmente en desacuerdo")/GETPIVOTDATA("4.1. Conoce los planes trazados para los próximos años en el interior del proyecto curricular en materia de: Investigación",$A$13)</f>
        <v>6.6666666666666666E-2</v>
      </c>
      <c r="C16" s="215">
        <f>GETPIVOTDATA("4.1. Conoce los planes trazados para los próximos años en el interior del proyecto curricular en materia de: Investigación",$A$13,"4.1. Conoce los planes trazados para los próximos años en el interior del proyecto curricular en materia de: Investigación","En desacuerdo")/GETPIVOTDATA("4.1. Conoce los planes trazados para los próximos años en el interior del proyecto curricular en materia de: Investigación",$A$13)</f>
        <v>6.6666666666666666E-2</v>
      </c>
      <c r="D16" s="215">
        <f>GETPIVOTDATA("4.1. Conoce los planes trazados para los próximos años en el interior del proyecto curricular en materia de: Investigación",$A$13,"4.1. Conoce los planes trazados para los próximos años en el interior del proyecto curricular en materia de: Investigación","Medianamente de acuerdo ")/GETPIVOTDATA("4.1. Conoce los planes trazados para los próximos años en el interior del proyecto curricular en materia de: Investigación",$A$13)</f>
        <v>0.2</v>
      </c>
      <c r="E16" s="215">
        <f>GETPIVOTDATA("4.1. Conoce los planes trazados para los próximos años en el interior del proyecto curricular en materia de: Investigación",$A$13,"4.1. Conoce los planes trazados para los próximos años en el interior del proyecto curricular en materia de: Investigación","De acuerdo")/GETPIVOTDATA("4.1. Conoce los planes trazados para los próximos años en el interior del proyecto curricular en materia de: Investigación",$A$13)</f>
        <v>0.2</v>
      </c>
      <c r="F16" s="215">
        <f>GETPIVOTDATA("4.1. Conoce los planes trazados para los próximos años en el interior del proyecto curricular en materia de: Investigación",$A$13,"4.1. Conoce los planes trazados para los próximos años en el interior del proyecto curricular en materia de: Investigación","Totalmente de acuerdo")/GETPIVOTDATA("4.1. Conoce los planes trazados para los próximos años en el interior del proyecto curricular en materia de: Investigación",$A$13)</f>
        <v>0.26666666666666666</v>
      </c>
      <c r="G16" s="215">
        <f>GETPIVOTDATA("4.1. Conoce los planes trazados para los próximos años en el interior del proyecto curricular en materia de: Investigación",$A$13,"4.1. Conoce los planes trazados para los próximos años en el interior del proyecto curricular en materia de: Investigación","No sabe / No puede opinar al respecto")/GETPIVOTDATA("4.1. Conoce los planes trazados para los próximos años en el interior del proyecto curricular en materia de: Investigación",$A$13)</f>
        <v>0.2</v>
      </c>
      <c r="I16" s="215">
        <f>SUM(B16:H16)</f>
        <v>1</v>
      </c>
    </row>
    <row r="17" spans="1:9" x14ac:dyDescent="0.25">
      <c r="B17" s="164" t="s">
        <v>2816</v>
      </c>
      <c r="D17"/>
    </row>
    <row r="18" spans="1:9" x14ac:dyDescent="0.25">
      <c r="B18" t="s">
        <v>1</v>
      </c>
      <c r="C18" t="s">
        <v>2791</v>
      </c>
      <c r="D18" t="s">
        <v>3</v>
      </c>
      <c r="E18" t="s">
        <v>4</v>
      </c>
      <c r="F18" t="s">
        <v>5</v>
      </c>
      <c r="G18" t="s">
        <v>1358</v>
      </c>
      <c r="H18" t="s">
        <v>1096</v>
      </c>
    </row>
    <row r="19" spans="1:9" x14ac:dyDescent="0.25">
      <c r="A19" t="s">
        <v>2796</v>
      </c>
      <c r="B19" s="165">
        <v>1</v>
      </c>
      <c r="C19" s="165">
        <v>3</v>
      </c>
      <c r="D19" s="165">
        <v>4</v>
      </c>
      <c r="E19" s="165">
        <v>4</v>
      </c>
      <c r="F19" s="165">
        <v>3</v>
      </c>
      <c r="G19" s="165"/>
      <c r="H19" s="165">
        <v>15</v>
      </c>
    </row>
    <row r="20" spans="1:9" x14ac:dyDescent="0.25">
      <c r="B20" s="215">
        <f>GETPIVOTDATA("4.2. Conoce los planes trazados para los próximos años en el interior del proyecto curricular en materia de: Docencia ",$A$17,"4.2. Conoce los planes trazados para los próximos años en el interior del proyecto curricular en materia de: Docencia ","En desacuerdo")/GETPIVOTDATA("4.2. Conoce los planes trazados para los próximos años en el interior del proyecto curricular en materia de: Docencia ",$A$17)</f>
        <v>6.6666666666666666E-2</v>
      </c>
      <c r="C20" s="215">
        <f>GETPIVOTDATA("4.2. Conoce los planes trazados para los próximos años en el interior del proyecto curricular en materia de: Docencia ",$A$17,"4.2. Conoce los planes trazados para los próximos años en el interior del proyecto curricular en materia de: Docencia ","Medianamente de acuerdo ")/GETPIVOTDATA("4.2. Conoce los planes trazados para los próximos años en el interior del proyecto curricular en materia de: Docencia ",$A$17)</f>
        <v>0.2</v>
      </c>
      <c r="D20" s="215">
        <f>GETPIVOTDATA("4.2. Conoce los planes trazados para los próximos años en el interior del proyecto curricular en materia de: Docencia ",$A$17,"4.2. Conoce los planes trazados para los próximos años en el interior del proyecto curricular en materia de: Docencia ","De acuerdo")/GETPIVOTDATA("4.2. Conoce los planes trazados para los próximos años en el interior del proyecto curricular en materia de: Docencia ",$A$17)</f>
        <v>0.26666666666666666</v>
      </c>
      <c r="E20" s="215">
        <f>GETPIVOTDATA("4.2. Conoce los planes trazados para los próximos años en el interior del proyecto curricular en materia de: Docencia ",$A$17,"4.2. Conoce los planes trazados para los próximos años en el interior del proyecto curricular en materia de: Docencia ","Totalmente de acuerdo")/GETPIVOTDATA("4.2. Conoce los planes trazados para los próximos años en el interior del proyecto curricular en materia de: Docencia ",$A$17)</f>
        <v>0.26666666666666666</v>
      </c>
      <c r="F20" s="215">
        <f>GETPIVOTDATA("4.2. Conoce los planes trazados para los próximos años en el interior del proyecto curricular en materia de: Docencia ",$A$17,"4.2. Conoce los planes trazados para los próximos años en el interior del proyecto curricular en materia de: Docencia ","No sabe / No puede opinar al respecto")/GETPIVOTDATA("4.2. Conoce los planes trazados para los próximos años en el interior del proyecto curricular en materia de: Docencia ",$A$17)</f>
        <v>0.2</v>
      </c>
      <c r="I20" s="215">
        <f>SUM(B20:H20)</f>
        <v>1</v>
      </c>
    </row>
    <row r="21" spans="1:9" x14ac:dyDescent="0.25">
      <c r="B21" s="164" t="s">
        <v>2816</v>
      </c>
      <c r="D21"/>
    </row>
    <row r="22" spans="1:9" x14ac:dyDescent="0.25">
      <c r="B22" t="s">
        <v>0</v>
      </c>
      <c r="C22" t="s">
        <v>1</v>
      </c>
      <c r="D22" t="s">
        <v>2791</v>
      </c>
      <c r="E22" t="s">
        <v>3</v>
      </c>
      <c r="F22" t="s">
        <v>4</v>
      </c>
      <c r="G22" t="s">
        <v>5</v>
      </c>
      <c r="H22" t="s">
        <v>1358</v>
      </c>
      <c r="I22" t="s">
        <v>1096</v>
      </c>
    </row>
    <row r="23" spans="1:9" x14ac:dyDescent="0.25">
      <c r="A23" t="s">
        <v>2797</v>
      </c>
      <c r="B23" s="165">
        <v>1</v>
      </c>
      <c r="C23" s="165">
        <v>1</v>
      </c>
      <c r="D23" s="165">
        <v>2</v>
      </c>
      <c r="E23" s="165">
        <v>3</v>
      </c>
      <c r="F23" s="165">
        <v>5</v>
      </c>
      <c r="G23" s="165">
        <v>3</v>
      </c>
      <c r="H23" s="165"/>
      <c r="I23" s="165">
        <v>15</v>
      </c>
    </row>
    <row r="24" spans="1:9" x14ac:dyDescent="0.25">
      <c r="B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social","Totalmente en desacuerdo")/GETPIVOTDATA("4.3. Conoce los planes trazados para los próximos años en el interior del proyecto curricular en materia de: Extensión y proyección social",$A$21)</f>
        <v>6.6666666666666666E-2</v>
      </c>
      <c r="C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social","En desacuerdo")/GETPIVOTDATA("4.3. Conoce los planes trazados para los próximos años en el interior del proyecto curricular en materia de: Extensión y proyección social",$A$21)</f>
        <v>6.6666666666666666E-2</v>
      </c>
      <c r="D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social","Medianamente de acuerdo ")/GETPIVOTDATA("4.3. Conoce los planes trazados para los próximos años en el interior del proyecto curricular en materia de: Extensión y proyección social",$A$21)</f>
        <v>0.13333333333333333</v>
      </c>
      <c r="E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social","De acuerdo")/GETPIVOTDATA("4.3. Conoce los planes trazados para los próximos años en el interior del proyecto curricular en materia de: Extensión y proyección social",$A$21)</f>
        <v>0.2</v>
      </c>
      <c r="F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social","Totalmente de acuerdo")/GETPIVOTDATA("4.3. Conoce los planes trazados para los próximos años en el interior del proyecto curricular en materia de: Extensión y proyección social",$A$21)</f>
        <v>0.33333333333333331</v>
      </c>
      <c r="G24" s="215">
        <f>GETPIVOTDATA("4.3. Conoce los planes trazados para los próximos años en el interior del proyecto curricular en materia de: Extensión y proyección social",$A$21,"4.3. Conoce los planes trazados para los próximos años en el interior del proyecto curricular en materia de: Extensión y proyección social","No sabe / No puede opinar al respecto")/GETPIVOTDATA("4.3. Conoce los planes trazados para los próximos años en el interior del proyecto curricular en materia de: Extensión y proyección social",$A$21)</f>
        <v>0.2</v>
      </c>
      <c r="I24" s="215">
        <f>SUM(B24:H24)</f>
        <v>1</v>
      </c>
    </row>
    <row r="25" spans="1:9" x14ac:dyDescent="0.25">
      <c r="B25" s="164" t="s">
        <v>2816</v>
      </c>
      <c r="D25"/>
    </row>
    <row r="26" spans="1:9" x14ac:dyDescent="0.25">
      <c r="B26" t="s">
        <v>1</v>
      </c>
      <c r="C26" t="s">
        <v>2791</v>
      </c>
      <c r="D26" t="s">
        <v>3</v>
      </c>
      <c r="E26" t="s">
        <v>4</v>
      </c>
      <c r="F26" t="s">
        <v>5</v>
      </c>
      <c r="G26" t="s">
        <v>1358</v>
      </c>
      <c r="H26" t="s">
        <v>1096</v>
      </c>
    </row>
    <row r="27" spans="1:9" x14ac:dyDescent="0.25">
      <c r="A27" t="s">
        <v>2798</v>
      </c>
      <c r="B27" s="165">
        <v>1</v>
      </c>
      <c r="C27" s="165">
        <v>3</v>
      </c>
      <c r="D27" s="165">
        <v>2</v>
      </c>
      <c r="E27" s="165">
        <v>7</v>
      </c>
      <c r="F27" s="165">
        <v>2</v>
      </c>
      <c r="G27" s="165"/>
      <c r="H27" s="165">
        <v>15</v>
      </c>
    </row>
    <row r="28" spans="1:9" x14ac:dyDescent="0.25">
      <c r="B28" s="215">
        <f>GETPIVOTDATA("5. Conoce las líneas y proyectos de investigación que se desarrollan actualmente",$A$25,"5. Conoce las líneas y proyectos de investigación que se desarrollan actualmente","En desacuerdo")/GETPIVOTDATA("5. Conoce las líneas y proyectos de investigación que se desarrollan actualmente",$A$25)</f>
        <v>6.6666666666666666E-2</v>
      </c>
      <c r="C28" s="215">
        <f>GETPIVOTDATA("5. Conoce las líneas y proyectos de investigación que se desarrollan actualmente",$A$25,"5. Conoce las líneas y proyectos de investigación que se desarrollan actualmente","Medianamente de acuerdo ")/GETPIVOTDATA("5. Conoce las líneas y proyectos de investigación que se desarrollan actualmente",$A$25)</f>
        <v>0.2</v>
      </c>
      <c r="D28" s="215">
        <f>GETPIVOTDATA("5. Conoce las líneas y proyectos de investigación que se desarrollan actualmente",$A$25,"5. Conoce las líneas y proyectos de investigación que se desarrollan actualmente","De acuerdo")/GETPIVOTDATA("5. Conoce las líneas y proyectos de investigación que se desarrollan actualmente",$A$25)</f>
        <v>0.13333333333333333</v>
      </c>
      <c r="E28" s="215">
        <f>GETPIVOTDATA("5. Conoce las líneas y proyectos de investigación que se desarrollan actualmente",$A$25,"5. Conoce las líneas y proyectos de investigación que se desarrollan actualmente","Totalmente de acuerdo")/GETPIVOTDATA("5. Conoce las líneas y proyectos de investigación que se desarrollan actualmente",$A$25)</f>
        <v>0.46666666666666667</v>
      </c>
      <c r="F28" s="215">
        <f>GETPIVOTDATA("5. Conoce las líneas y proyectos de investigación que se desarrollan actualmente",$A$25,"5. Conoce las líneas y proyectos de investigación que se desarrollan actualmente","No sabe / No puede opinar al respecto")/GETPIVOTDATA("5. Conoce las líneas y proyectos de investigación que se desarrollan actualmente",$A$25)</f>
        <v>0.13333333333333333</v>
      </c>
      <c r="I28" s="215">
        <f>SUM(B28:H28)</f>
        <v>1</v>
      </c>
    </row>
    <row r="29" spans="1:9" x14ac:dyDescent="0.25">
      <c r="B29" s="164" t="s">
        <v>2816</v>
      </c>
      <c r="D29"/>
    </row>
    <row r="30" spans="1:9" x14ac:dyDescent="0.25">
      <c r="B30" t="s">
        <v>1</v>
      </c>
      <c r="C30" t="s">
        <v>3</v>
      </c>
      <c r="D30" t="s">
        <v>4</v>
      </c>
      <c r="E30" t="s">
        <v>5</v>
      </c>
      <c r="F30" t="s">
        <v>1358</v>
      </c>
      <c r="G30" t="s">
        <v>1096</v>
      </c>
    </row>
    <row r="31" spans="1:9" x14ac:dyDescent="0.25">
      <c r="A31" t="s">
        <v>2799</v>
      </c>
      <c r="B31" s="165">
        <v>2</v>
      </c>
      <c r="C31" s="165">
        <v>7</v>
      </c>
      <c r="D31" s="165">
        <v>4</v>
      </c>
      <c r="E31" s="165">
        <v>2</v>
      </c>
      <c r="F31" s="165"/>
      <c r="G31" s="165">
        <v>15</v>
      </c>
    </row>
    <row r="32" spans="1:9" x14ac:dyDescent="0.25">
      <c r="B32" s="215">
        <f>GETPIVOTDATA("6. Conoce la prospectiva de presentación de proyectos de investigación en el proyecto curricular y a qué línea le apuntan",$A$29,"6. Conoce la prospectiva de presentación de proyectos de investigación en el proyecto curricular y a qué línea le apuntan","En desacuerdo")/GETPIVOTDATA("6. Conoce la prospectiva de presentación de proyectos de investigación en el proyecto curricular y a qué línea le apuntan",$A$29)</f>
        <v>0.13333333333333333</v>
      </c>
      <c r="C32" s="215">
        <f>GETPIVOTDATA("6. Conoce la prospectiva de presentación de proyectos de investigación en el proyecto curricular y a qué línea le apuntan",$A$29,"6. Conoce la prospectiva de presentación de proyectos de investigación en el proyecto curricular y a qué línea le apuntan","De acuerdo")/GETPIVOTDATA("6. Conoce la prospectiva de presentación de proyectos de investigación en el proyecto curricular y a qué línea le apuntan",$A$29)</f>
        <v>0.46666666666666667</v>
      </c>
      <c r="D32" s="215">
        <f>GETPIVOTDATA("6. Conoce la prospectiva de presentación de proyectos de investigación en el proyecto curricular y a qué línea le apuntan",$A$29,"6. Conoce la prospectiva de presentación de proyectos de investigación en el proyecto curricular y a qué línea le apuntan","Totalmente de acuerdo")/GETPIVOTDATA("6. Conoce la prospectiva de presentación de proyectos de investigación en el proyecto curricular y a qué línea le apuntan",$A$29)</f>
        <v>0.26666666666666666</v>
      </c>
      <c r="E32" s="215">
        <f>GETPIVOTDATA("6. Conoce la prospectiva de presentación de proyectos de investigación en el proyecto curricular y a qué línea le apuntan",$A$29,"6. Conoce la prospectiva de presentación de proyectos de investigación en el proyecto curricular y a qué línea le apuntan","No sabe / No puede opinar al respecto")/GETPIVOTDATA("6. Conoce la prospectiva de presentación de proyectos de investigación en el proyecto curricular y a qué línea le apuntan",$A$29)</f>
        <v>0.13333333333333333</v>
      </c>
      <c r="I32" s="215">
        <f>SUM(B32:H32)</f>
        <v>1</v>
      </c>
    </row>
    <row r="33" spans="1:9" x14ac:dyDescent="0.25">
      <c r="B33" s="164" t="s">
        <v>2816</v>
      </c>
      <c r="D33"/>
    </row>
    <row r="34" spans="1:9" x14ac:dyDescent="0.25">
      <c r="B34" t="s">
        <v>1</v>
      </c>
      <c r="C34" t="s">
        <v>2791</v>
      </c>
      <c r="D34" t="s">
        <v>3</v>
      </c>
      <c r="E34" t="s">
        <v>4</v>
      </c>
      <c r="F34" t="s">
        <v>5</v>
      </c>
      <c r="G34" t="s">
        <v>1358</v>
      </c>
      <c r="H34" t="s">
        <v>1096</v>
      </c>
    </row>
    <row r="35" spans="1:9" x14ac:dyDescent="0.25">
      <c r="A35" t="s">
        <v>2800</v>
      </c>
      <c r="B35" s="165">
        <v>3</v>
      </c>
      <c r="C35" s="165">
        <v>3</v>
      </c>
      <c r="D35" s="165">
        <v>1</v>
      </c>
      <c r="E35" s="165">
        <v>6</v>
      </c>
      <c r="F35" s="165">
        <v>2</v>
      </c>
      <c r="G35" s="165"/>
      <c r="H35" s="165">
        <v>15</v>
      </c>
    </row>
    <row r="36" spans="1:9" x14ac:dyDescent="0.25">
      <c r="B36" s="215">
        <f>GETPIVOTDATA("7. Menciona las líneas a las que apuntan los proyectos de investigación en el proyecto curricular",$A$33,"7. Menciona las líneas a las que apuntan los proyectos de investigación en el proyecto curricular","En desacuerdo")/GETPIVOTDATA("7. Menciona las líneas a las que apuntan los proyectos de investigación en el proyecto curricular",$A$33)</f>
        <v>0.2</v>
      </c>
      <c r="C36" s="215">
        <f>GETPIVOTDATA("7. Menciona las líneas a las que apuntan los proyectos de investigación en el proyecto curricular",$A$33,"7. Menciona las líneas a las que apuntan los proyectos de investigación en el proyecto curricular","Medianamente de acuerdo ")/GETPIVOTDATA("7. Menciona las líneas a las que apuntan los proyectos de investigación en el proyecto curricular",$A$33)</f>
        <v>0.2</v>
      </c>
      <c r="D36" s="215">
        <f>GETPIVOTDATA("7. Menciona las líneas a las que apuntan los proyectos de investigación en el proyecto curricular",$A$33,"7. Menciona las líneas a las que apuntan los proyectos de investigación en el proyecto curricular","De acuerdo")/GETPIVOTDATA("7. Menciona las líneas a las que apuntan los proyectos de investigación en el proyecto curricular",$A$33)</f>
        <v>6.6666666666666666E-2</v>
      </c>
      <c r="E36" s="215">
        <f>GETPIVOTDATA("7. Menciona las líneas a las que apuntan los proyectos de investigación en el proyecto curricular",$A$33,"7. Menciona las líneas a las que apuntan los proyectos de investigación en el proyecto curricular","Totalmente de acuerdo")/GETPIVOTDATA("7. Menciona las líneas a las que apuntan los proyectos de investigación en el proyecto curricular",$A$33)</f>
        <v>0.4</v>
      </c>
      <c r="F36" s="215">
        <f>GETPIVOTDATA("7. Menciona las líneas a las que apuntan los proyectos de investigación en el proyecto curricular",$A$33,"7. Menciona las líneas a las que apuntan los proyectos de investigación en el proyecto curricular","No sabe / No puede opinar al respecto")/GETPIVOTDATA("7. Menciona las líneas a las que apuntan los proyectos de investigación en el proyecto curricular",$A$33)</f>
        <v>0.13333333333333333</v>
      </c>
      <c r="I36" s="215">
        <f>SUM(B36:H36)</f>
        <v>1</v>
      </c>
    </row>
    <row r="37" spans="1:9" x14ac:dyDescent="0.25">
      <c r="B37" s="164" t="s">
        <v>2816</v>
      </c>
      <c r="D37"/>
    </row>
    <row r="38" spans="1:9" x14ac:dyDescent="0.25">
      <c r="B38" t="s">
        <v>0</v>
      </c>
      <c r="C38" t="s">
        <v>1</v>
      </c>
      <c r="D38" t="s">
        <v>2791</v>
      </c>
      <c r="E38" t="s">
        <v>3</v>
      </c>
      <c r="F38" t="s">
        <v>4</v>
      </c>
      <c r="G38" t="s">
        <v>1358</v>
      </c>
      <c r="H38" t="s">
        <v>1096</v>
      </c>
    </row>
    <row r="39" spans="1:9" x14ac:dyDescent="0.25">
      <c r="A39" t="s">
        <v>2801</v>
      </c>
      <c r="B39" s="165">
        <v>1</v>
      </c>
      <c r="C39" s="165">
        <v>1</v>
      </c>
      <c r="D39" s="165">
        <v>1</v>
      </c>
      <c r="E39" s="165">
        <v>4</v>
      </c>
      <c r="F39" s="165">
        <v>8</v>
      </c>
      <c r="G39" s="165"/>
      <c r="H39" s="165">
        <v>15</v>
      </c>
    </row>
    <row r="40" spans="1:9" x14ac:dyDescent="0.25">
      <c r="B40" s="215">
        <f>GETPIVOTDATA("8.1. Conoce las fuentes de financiación con las que se cuenta para el desarrollo de: Investigación",$A$37,"8.1. Conoce las fuentes de financiación con las que se cuenta para el desarrollo de: Investigación","Totalmente en desacuerdo")/GETPIVOTDATA("8.1. Conoce las fuentes de financiación con las que se cuenta para el desarrollo de: Investigación",$A$37)</f>
        <v>6.6666666666666666E-2</v>
      </c>
      <c r="C40" s="215">
        <f>GETPIVOTDATA("8.1. Conoce las fuentes de financiación con las que se cuenta para el desarrollo de: Investigación",$A$37,"8.1. Conoce las fuentes de financiación con las que se cuenta para el desarrollo de: Investigación","En desacuerdo")/GETPIVOTDATA("8.1. Conoce las fuentes de financiación con las que se cuenta para el desarrollo de: Investigación",$A$37)</f>
        <v>6.6666666666666666E-2</v>
      </c>
      <c r="D40" s="215">
        <f>GETPIVOTDATA("8.1. Conoce las fuentes de financiación con las que se cuenta para el desarrollo de: Investigación",$A$37,"8.1. Conoce las fuentes de financiación con las que se cuenta para el desarrollo de: Investigación","Medianamente de acuerdo ")/GETPIVOTDATA("8.1. Conoce las fuentes de financiación con las que se cuenta para el desarrollo de: Investigación",$A$37)</f>
        <v>6.6666666666666666E-2</v>
      </c>
      <c r="E40" s="215">
        <f>GETPIVOTDATA("8.1. Conoce las fuentes de financiación con las que se cuenta para el desarrollo de: Investigación",$A$37,"8.1. Conoce las fuentes de financiación con las que se cuenta para el desarrollo de: Investigación","De acuerdo")/GETPIVOTDATA("8.1. Conoce las fuentes de financiación con las que se cuenta para el desarrollo de: Investigación",$A$37)</f>
        <v>0.26666666666666666</v>
      </c>
      <c r="F40" s="215">
        <f>GETPIVOTDATA("8.1. Conoce las fuentes de financiación con las que se cuenta para el desarrollo de: Investigación",$A$37,"8.1. Conoce las fuentes de financiación con las que se cuenta para el desarrollo de: Investigación","Totalmente de acuerdo")/GETPIVOTDATA("8.1. Conoce las fuentes de financiación con las que se cuenta para el desarrollo de: Investigación",$A$37)</f>
        <v>0.53333333333333333</v>
      </c>
      <c r="I40" s="215">
        <f>SUM(B40:H40)</f>
        <v>1</v>
      </c>
    </row>
    <row r="41" spans="1:9" x14ac:dyDescent="0.25">
      <c r="B41" s="164" t="s">
        <v>2816</v>
      </c>
      <c r="D41"/>
    </row>
    <row r="42" spans="1:9" x14ac:dyDescent="0.25">
      <c r="B42" t="s">
        <v>0</v>
      </c>
      <c r="C42" t="s">
        <v>1</v>
      </c>
      <c r="D42" t="s">
        <v>2791</v>
      </c>
      <c r="E42" t="s">
        <v>3</v>
      </c>
      <c r="F42" t="s">
        <v>4</v>
      </c>
      <c r="G42" t="s">
        <v>1358</v>
      </c>
      <c r="H42" t="s">
        <v>1096</v>
      </c>
    </row>
    <row r="43" spans="1:9" x14ac:dyDescent="0.25">
      <c r="A43" t="s">
        <v>2802</v>
      </c>
      <c r="B43" s="165">
        <v>1</v>
      </c>
      <c r="C43" s="165">
        <v>1</v>
      </c>
      <c r="D43" s="165">
        <v>2</v>
      </c>
      <c r="E43" s="165">
        <v>5</v>
      </c>
      <c r="F43" s="165">
        <v>6</v>
      </c>
      <c r="G43" s="165"/>
      <c r="H43" s="165">
        <v>15</v>
      </c>
    </row>
    <row r="44" spans="1:9" x14ac:dyDescent="0.25">
      <c r="B44" s="215">
        <f>GETPIVOTDATA("8.2. Conoce las fuentes de financiación con las que se cuenta para el desarrollo de: Docencia",$A$41,"8.2. Conoce las fuentes de financiación con las que se cuenta para el desarrollo de: Docencia","Totalmente en desacuerdo")/GETPIVOTDATA("8.2. Conoce las fuentes de financiación con las que se cuenta para el desarrollo de: Docencia",$A$41)</f>
        <v>6.6666666666666666E-2</v>
      </c>
      <c r="C44" s="215">
        <f>GETPIVOTDATA("8.2. Conoce las fuentes de financiación con las que se cuenta para el desarrollo de: Docencia",$A$41,"8.2. Conoce las fuentes de financiación con las que se cuenta para el desarrollo de: Docencia","En desacuerdo")/GETPIVOTDATA("8.2. Conoce las fuentes de financiación con las que se cuenta para el desarrollo de: Docencia",$A$41)</f>
        <v>6.6666666666666666E-2</v>
      </c>
      <c r="D44" s="215">
        <f>GETPIVOTDATA("8.2. Conoce las fuentes de financiación con las que se cuenta para el desarrollo de: Docencia",$A$41,"8.2. Conoce las fuentes de financiación con las que se cuenta para el desarrollo de: Docencia","Medianamente de acuerdo ")/GETPIVOTDATA("8.2. Conoce las fuentes de financiación con las que se cuenta para el desarrollo de: Docencia",$A$41)</f>
        <v>0.13333333333333333</v>
      </c>
      <c r="E44" s="215">
        <f>GETPIVOTDATA("8.2. Conoce las fuentes de financiación con las que se cuenta para el desarrollo de: Docencia",$A$41,"8.2. Conoce las fuentes de financiación con las que se cuenta para el desarrollo de: Docencia","De acuerdo")/GETPIVOTDATA("8.2. Conoce las fuentes de financiación con las que se cuenta para el desarrollo de: Docencia",$A$41)</f>
        <v>0.33333333333333331</v>
      </c>
      <c r="F44" s="215">
        <f>GETPIVOTDATA("8.2. Conoce las fuentes de financiación con las que se cuenta para el desarrollo de: Docencia",$A$41,"8.2. Conoce las fuentes de financiación con las que se cuenta para el desarrollo de: Docencia","Totalmente de acuerdo")/GETPIVOTDATA("8.2. Conoce las fuentes de financiación con las que se cuenta para el desarrollo de: Docencia",$A$41)</f>
        <v>0.4</v>
      </c>
      <c r="I44" s="215">
        <f>SUM(B44:H44)</f>
        <v>1</v>
      </c>
    </row>
    <row r="45" spans="1:9" x14ac:dyDescent="0.25">
      <c r="B45" s="164" t="s">
        <v>2816</v>
      </c>
      <c r="D45"/>
    </row>
    <row r="46" spans="1:9" x14ac:dyDescent="0.25">
      <c r="B46" t="s">
        <v>0</v>
      </c>
      <c r="C46" t="s">
        <v>1</v>
      </c>
      <c r="D46" t="s">
        <v>2791</v>
      </c>
      <c r="E46" t="s">
        <v>3</v>
      </c>
      <c r="F46" t="s">
        <v>4</v>
      </c>
      <c r="G46" t="s">
        <v>1358</v>
      </c>
      <c r="H46" t="s">
        <v>1096</v>
      </c>
    </row>
    <row r="47" spans="1:9" x14ac:dyDescent="0.25">
      <c r="A47" t="s">
        <v>2803</v>
      </c>
      <c r="B47" s="165">
        <v>1</v>
      </c>
      <c r="C47" s="165">
        <v>1</v>
      </c>
      <c r="D47" s="165">
        <v>3</v>
      </c>
      <c r="E47" s="165">
        <v>4</v>
      </c>
      <c r="F47" s="165">
        <v>6</v>
      </c>
      <c r="G47" s="165"/>
      <c r="H47" s="165">
        <v>15</v>
      </c>
    </row>
    <row r="48" spans="1:9" x14ac:dyDescent="0.25">
      <c r="B48" s="215">
        <f>GETPIVOTDATA("8.3. Conoce las fuentes de financiación con las que se cuenta para el desarrollo de: Extensión y proyección social",$A$45,"8.3. Conoce las fuentes de financiación con las que se cuenta para el desarrollo de: Extensión y proyección social","Totalmente en desacuerdo")/GETPIVOTDATA("8.3. Conoce las fuentes de financiación con las que se cuenta para el desarrollo de: Extensión y proyección social",$A$45)</f>
        <v>6.6666666666666666E-2</v>
      </c>
      <c r="C48" s="215">
        <f>GETPIVOTDATA("8.3. Conoce las fuentes de financiación con las que se cuenta para el desarrollo de: Extensión y proyección social",$A$45,"8.3. Conoce las fuentes de financiación con las que se cuenta para el desarrollo de: Extensión y proyección social","En desacuerdo")/GETPIVOTDATA("8.3. Conoce las fuentes de financiación con las que se cuenta para el desarrollo de: Extensión y proyección social",$A$45)</f>
        <v>6.6666666666666666E-2</v>
      </c>
      <c r="D48" s="215">
        <f>GETPIVOTDATA("8.3. Conoce las fuentes de financiación con las que se cuenta para el desarrollo de: Extensión y proyección social",$A$45,"8.3. Conoce las fuentes de financiación con las que se cuenta para el desarrollo de: Extensión y proyección social","Medianamente de acuerdo ")/GETPIVOTDATA("8.3. Conoce las fuentes de financiación con las que se cuenta para el desarrollo de: Extensión y proyección social",$A$45)</f>
        <v>0.2</v>
      </c>
      <c r="E48" s="215">
        <f>GETPIVOTDATA("8.3. Conoce las fuentes de financiación con las que se cuenta para el desarrollo de: Extensión y proyección social",$A$45,"8.3. Conoce las fuentes de financiación con las que se cuenta para el desarrollo de: Extensión y proyección social","De acuerdo")/GETPIVOTDATA("8.3. Conoce las fuentes de financiación con las que se cuenta para el desarrollo de: Extensión y proyección social",$A$45)</f>
        <v>0.26666666666666666</v>
      </c>
      <c r="F48" s="215">
        <f>GETPIVOTDATA("8.3. Conoce las fuentes de financiación con las que se cuenta para el desarrollo de: Extensión y proyección social",$A$45,"8.3. Conoce las fuentes de financiación con las que se cuenta para el desarrollo de: Extensión y proyección social","Totalmente de acuerdo")/GETPIVOTDATA("8.3. Conoce las fuentes de financiación con las que se cuenta para el desarrollo de: Extensión y proyección social",$A$45)</f>
        <v>0.4</v>
      </c>
      <c r="I48" s="215">
        <f>SUM(B48:H48)</f>
        <v>1</v>
      </c>
    </row>
    <row r="49" spans="1:9" x14ac:dyDescent="0.25">
      <c r="B49" s="164" t="s">
        <v>2816</v>
      </c>
      <c r="D49"/>
    </row>
    <row r="50" spans="1:9" x14ac:dyDescent="0.25">
      <c r="B50" t="s">
        <v>0</v>
      </c>
      <c r="C50" t="s">
        <v>1</v>
      </c>
      <c r="D50" t="s">
        <v>2791</v>
      </c>
      <c r="E50" t="s">
        <v>3</v>
      </c>
      <c r="F50" t="s">
        <v>5</v>
      </c>
      <c r="G50" t="s">
        <v>1358</v>
      </c>
      <c r="H50" t="s">
        <v>1096</v>
      </c>
    </row>
    <row r="51" spans="1:9" x14ac:dyDescent="0.25">
      <c r="A51" t="s">
        <v>2804</v>
      </c>
      <c r="B51" s="165">
        <v>2</v>
      </c>
      <c r="C51" s="165">
        <v>2</v>
      </c>
      <c r="D51" s="165">
        <v>8</v>
      </c>
      <c r="E51" s="165">
        <v>2</v>
      </c>
      <c r="F51" s="165">
        <v>1</v>
      </c>
      <c r="G51" s="165"/>
      <c r="H51" s="165">
        <v>15</v>
      </c>
    </row>
    <row r="52" spans="1:9" x14ac:dyDescent="0.25">
      <c r="B52" s="215">
        <f>GETPIVOTDATA("9.1. Considera que los recursos económicos son suficientes para el desarrollo de: Investigación",$A$49,"9.1. Considera que los recursos económicos son suficientes para el desarrollo de: Investigación","Totalmente en desacuerdo")/GETPIVOTDATA("9.1. Considera que los recursos económicos son suficientes para el desarrollo de: Investigación",$A$49)</f>
        <v>0.13333333333333333</v>
      </c>
      <c r="C52" s="215">
        <f>GETPIVOTDATA("9.1. Considera que los recursos económicos son suficientes para el desarrollo de: Investigación",$A$49,"9.1. Considera que los recursos económicos son suficientes para el desarrollo de: Investigación","En desacuerdo")/GETPIVOTDATA("9.1. Considera que los recursos económicos son suficientes para el desarrollo de: Investigación",$A$49)</f>
        <v>0.13333333333333333</v>
      </c>
      <c r="D52" s="215">
        <f>GETPIVOTDATA("9.1. Considera que los recursos económicos son suficientes para el desarrollo de: Investigación",$A$49,"9.1. Considera que los recursos económicos son suficientes para el desarrollo de: Investigación","Medianamente de acuerdo ")/GETPIVOTDATA("9.1. Considera que los recursos económicos son suficientes para el desarrollo de: Investigación",$A$49)</f>
        <v>0.53333333333333333</v>
      </c>
      <c r="E52" s="215">
        <f>GETPIVOTDATA("9.1. Considera que los recursos económicos son suficientes para el desarrollo de: Investigación",$A$49,"9.1. Considera que los recursos económicos son suficientes para el desarrollo de: Investigación","De acuerdo")/GETPIVOTDATA("9.1. Considera que los recursos económicos son suficientes para el desarrollo de: Investigación",$A$49)</f>
        <v>0.13333333333333333</v>
      </c>
      <c r="F52" s="215">
        <f>GETPIVOTDATA("9.1. Considera que los recursos económicos son suficientes para el desarrollo de: Investigación",$A$49,"9.1. Considera que los recursos económicos son suficientes para el desarrollo de: Investigación","No sabe / No puede opinar al respecto")/GETPIVOTDATA("9.1. Considera que los recursos económicos son suficientes para el desarrollo de: Investigación",$A$49)</f>
        <v>6.6666666666666666E-2</v>
      </c>
      <c r="I52" s="215">
        <f>SUM(B52:H52)</f>
        <v>1</v>
      </c>
    </row>
    <row r="53" spans="1:9" x14ac:dyDescent="0.25">
      <c r="B53" s="164" t="s">
        <v>2816</v>
      </c>
      <c r="D53"/>
    </row>
    <row r="54" spans="1:9" x14ac:dyDescent="0.25">
      <c r="B54" t="s">
        <v>0</v>
      </c>
      <c r="C54" t="s">
        <v>1</v>
      </c>
      <c r="D54" t="s">
        <v>2791</v>
      </c>
      <c r="E54" t="s">
        <v>3</v>
      </c>
      <c r="F54" t="s">
        <v>5</v>
      </c>
      <c r="G54" t="s">
        <v>1358</v>
      </c>
      <c r="H54" t="s">
        <v>1096</v>
      </c>
    </row>
    <row r="55" spans="1:9" x14ac:dyDescent="0.25">
      <c r="A55" t="s">
        <v>2805</v>
      </c>
      <c r="B55" s="165">
        <v>3</v>
      </c>
      <c r="C55" s="165">
        <v>3</v>
      </c>
      <c r="D55" s="165">
        <v>4</v>
      </c>
      <c r="E55" s="165">
        <v>3</v>
      </c>
      <c r="F55" s="165">
        <v>2</v>
      </c>
      <c r="G55" s="165"/>
      <c r="H55" s="165">
        <v>15</v>
      </c>
    </row>
    <row r="56" spans="1:9" x14ac:dyDescent="0.25">
      <c r="B56" s="215">
        <f>GETPIVOTDATA("9.2. Considera que los recursos económicos son suficientes para el desarrollo de: Docencia",$A$53,"9.2. Considera que los recursos económicos son suficientes para el desarrollo de: Docencia","Totalmente en desacuerdo")/GETPIVOTDATA("9.2. Considera que los recursos económicos son suficientes para el desarrollo de: Docencia",$A$53)</f>
        <v>0.2</v>
      </c>
      <c r="C56" s="215">
        <f>GETPIVOTDATA("9.2. Considera que los recursos económicos son suficientes para el desarrollo de: Docencia",$A$53,"9.2. Considera que los recursos económicos son suficientes para el desarrollo de: Docencia","En desacuerdo")/GETPIVOTDATA("9.2. Considera que los recursos económicos son suficientes para el desarrollo de: Docencia",$A$53)</f>
        <v>0.2</v>
      </c>
      <c r="D56" s="215">
        <f>GETPIVOTDATA("9.2. Considera que los recursos económicos son suficientes para el desarrollo de: Docencia",$A$53,"9.2. Considera que los recursos económicos son suficientes para el desarrollo de: Docencia","Medianamente de acuerdo ")/GETPIVOTDATA("9.2. Considera que los recursos económicos son suficientes para el desarrollo de: Docencia",$A$53)</f>
        <v>0.26666666666666666</v>
      </c>
      <c r="E56" s="215">
        <f>GETPIVOTDATA("9.2. Considera que los recursos económicos son suficientes para el desarrollo de: Docencia",$A$53,"9.2. Considera que los recursos económicos son suficientes para el desarrollo de: Docencia","De acuerdo")/GETPIVOTDATA("9.2. Considera que los recursos económicos son suficientes para el desarrollo de: Docencia",$A$53)</f>
        <v>0.2</v>
      </c>
      <c r="F56" s="215">
        <f>GETPIVOTDATA("9.2. Considera que los recursos económicos son suficientes para el desarrollo de: Docencia",$A$53,"9.2. Considera que los recursos económicos son suficientes para el desarrollo de: Docencia","No sabe / No puede opinar al respecto")/GETPIVOTDATA("9.2. Considera que los recursos económicos son suficientes para el desarrollo de: Docencia",$A$53)</f>
        <v>0.13333333333333333</v>
      </c>
      <c r="I56" s="215">
        <f>SUM(B56:H56)</f>
        <v>1</v>
      </c>
    </row>
    <row r="57" spans="1:9" x14ac:dyDescent="0.25">
      <c r="B57" s="164" t="s">
        <v>2816</v>
      </c>
      <c r="D57"/>
    </row>
    <row r="58" spans="1:9" x14ac:dyDescent="0.25">
      <c r="B58" t="s">
        <v>0</v>
      </c>
      <c r="C58" t="s">
        <v>1</v>
      </c>
      <c r="D58" t="s">
        <v>2791</v>
      </c>
      <c r="E58" t="s">
        <v>3</v>
      </c>
      <c r="F58" t="s">
        <v>4</v>
      </c>
      <c r="G58" t="s">
        <v>5</v>
      </c>
      <c r="H58" t="s">
        <v>1358</v>
      </c>
      <c r="I58" t="s">
        <v>1096</v>
      </c>
    </row>
    <row r="59" spans="1:9" x14ac:dyDescent="0.25">
      <c r="A59" t="s">
        <v>2806</v>
      </c>
      <c r="B59" s="165">
        <v>1</v>
      </c>
      <c r="C59" s="165">
        <v>5</v>
      </c>
      <c r="D59" s="165">
        <v>4</v>
      </c>
      <c r="E59" s="165">
        <v>2</v>
      </c>
      <c r="F59" s="165">
        <v>1</v>
      </c>
      <c r="G59" s="165">
        <v>2</v>
      </c>
      <c r="H59" s="165"/>
      <c r="I59" s="165">
        <v>15</v>
      </c>
    </row>
    <row r="60" spans="1:9" x14ac:dyDescent="0.25">
      <c r="B60" s="215">
        <f>GETPIVOTDATA("9.3. Considera que los recursos económicos son suficientes para el desarrollo de: - Extensión y proyección social",$A$57,"9.3. Considera que los recursos económicos son suficientes para el desarrollo de: - Extensión y proyección social","Totalmente en desacuerdo")/GETPIVOTDATA("9.3. Considera que los recursos económicos son suficientes para el desarrollo de: - Extensión y proyección social",$A$57)</f>
        <v>6.6666666666666666E-2</v>
      </c>
      <c r="C60" s="215">
        <f>GETPIVOTDATA("9.3. Considera que los recursos económicos son suficientes para el desarrollo de: - Extensión y proyección social",$A$57,"9.3. Considera que los recursos económicos son suficientes para el desarrollo de: - Extensión y proyección social","En desacuerdo")/GETPIVOTDATA("9.3. Considera que los recursos económicos son suficientes para el desarrollo de: - Extensión y proyección social",$A$57)</f>
        <v>0.33333333333333331</v>
      </c>
      <c r="D60" s="215">
        <f>GETPIVOTDATA("9.3. Considera que los recursos económicos son suficientes para el desarrollo de: - Extensión y proyección social",$A$57,"9.3. Considera que los recursos económicos son suficientes para el desarrollo de: - Extensión y proyección social","Medianamente de acuerdo ")/GETPIVOTDATA("9.3. Considera que los recursos económicos son suficientes para el desarrollo de: - Extensión y proyección social",$A$57)</f>
        <v>0.26666666666666666</v>
      </c>
      <c r="E60" s="215">
        <f>GETPIVOTDATA("9.3. Considera que los recursos económicos son suficientes para el desarrollo de: - Extensión y proyección social",$A$57,"9.3. Considera que los recursos económicos son suficientes para el desarrollo de: - Extensión y proyección social","De acuerdo")/GETPIVOTDATA("9.3. Considera que los recursos económicos son suficientes para el desarrollo de: - Extensión y proyección social",$A$57)</f>
        <v>0.13333333333333333</v>
      </c>
      <c r="F60" s="215">
        <f>GETPIVOTDATA("9.3. Considera que los recursos económicos son suficientes para el desarrollo de: - Extensión y proyección social",$A$57,"9.3. Considera que los recursos económicos son suficientes para el desarrollo de: - Extensión y proyección social","Totalmente de acuerdo")/GETPIVOTDATA("9.3. Considera que los recursos económicos son suficientes para el desarrollo de: - Extensión y proyección social",$A$57)</f>
        <v>6.6666666666666666E-2</v>
      </c>
      <c r="G60" s="215">
        <f>GETPIVOTDATA("9.3. Considera que los recursos económicos son suficientes para el desarrollo de: - Extensión y proyección social",$A$57,"9.3. Considera que los recursos económicos son suficientes para el desarrollo de: - Extensión y proyección social","No sabe / No puede opinar al respecto")/GETPIVOTDATA("9.3. Considera que los recursos económicos son suficientes para el desarrollo de: - Extensión y proyección social",$A$57)</f>
        <v>0.13333333333333333</v>
      </c>
      <c r="I60" s="215">
        <f>SUM(B60:H60)</f>
        <v>0.99999999999999989</v>
      </c>
    </row>
    <row r="61" spans="1:9" x14ac:dyDescent="0.25">
      <c r="B61" s="164" t="s">
        <v>2816</v>
      </c>
      <c r="D61"/>
    </row>
    <row r="62" spans="1:9" x14ac:dyDescent="0.25">
      <c r="B62" t="s">
        <v>1</v>
      </c>
      <c r="C62" t="s">
        <v>2791</v>
      </c>
      <c r="D62" t="s">
        <v>3</v>
      </c>
      <c r="E62" t="s">
        <v>4</v>
      </c>
      <c r="F62" t="s">
        <v>5</v>
      </c>
      <c r="G62" t="s">
        <v>1358</v>
      </c>
      <c r="H62" t="s">
        <v>1096</v>
      </c>
    </row>
    <row r="63" spans="1:9" x14ac:dyDescent="0.25">
      <c r="A63" t="s">
        <v>2807</v>
      </c>
      <c r="B63" s="165">
        <v>2</v>
      </c>
      <c r="C63" s="165">
        <v>1</v>
      </c>
      <c r="D63" s="165">
        <v>4</v>
      </c>
      <c r="E63" s="165">
        <v>6</v>
      </c>
      <c r="F63" s="165">
        <v>2</v>
      </c>
      <c r="G63" s="165"/>
      <c r="H63" s="165">
        <v>15</v>
      </c>
    </row>
    <row r="64" spans="1:9" x14ac:dyDescent="0.25">
      <c r="B64" s="215">
        <f>GETPIVOTDATA("10.1. Menciona convenios y fuentes de financiación externa (local o extrajera), para el desarrollo de: Investigación",$A$61,"10.1. Menciona convenios y fuentes de financiación externa (local o extrajera), para el desarrollo de: Investigación","En desacuerdo")/GETPIVOTDATA("10.1. Menciona convenios y fuentes de financiación externa (local o extrajera), para el desarrollo de: Investigación",$A$61)</f>
        <v>0.13333333333333333</v>
      </c>
      <c r="C64" s="215">
        <f>GETPIVOTDATA("10.1. Menciona convenios y fuentes de financiación externa (local o extrajera), para el desarrollo de: Investigación",$A$61,"10.1. Menciona convenios y fuentes de financiación externa (local o extrajera), para el desarrollo de: Investigación","Medianamente de acuerdo ")/GETPIVOTDATA("10.1. Menciona convenios y fuentes de financiación externa (local o extrajera), para el desarrollo de: Investigación",$A$61)</f>
        <v>6.6666666666666666E-2</v>
      </c>
      <c r="D64" s="215">
        <f>GETPIVOTDATA("10.1. Menciona convenios y fuentes de financiación externa (local o extrajera), para el desarrollo de: Investigación",$A$61,"10.1. Menciona convenios y fuentes de financiación externa (local o extrajera), para el desarrollo de: Investigación","De acuerdo")/GETPIVOTDATA("10.1. Menciona convenios y fuentes de financiación externa (local o extrajera), para el desarrollo de: Investigación",$A$61)</f>
        <v>0.26666666666666666</v>
      </c>
      <c r="E64" s="215">
        <f>GETPIVOTDATA("10.1. Menciona convenios y fuentes de financiación externa (local o extrajera), para el desarrollo de: Investigación",$A$61,"10.1. Menciona convenios y fuentes de financiación externa (local o extrajera), para el desarrollo de: Investigación","Totalmente de acuerdo")/GETPIVOTDATA("10.1. Menciona convenios y fuentes de financiación externa (local o extrajera), para el desarrollo de: Investigación",$A$61)</f>
        <v>0.4</v>
      </c>
      <c r="F64" s="215">
        <f>GETPIVOTDATA("10.1. Menciona convenios y fuentes de financiación externa (local o extrajera), para el desarrollo de: Investigación",$A$61,"10.1. Menciona convenios y fuentes de financiación externa (local o extrajera), para el desarrollo de: Investigación","No sabe / No puede opinar al respecto")/GETPIVOTDATA("10.1. Menciona convenios y fuentes de financiación externa (local o extrajera), para el desarrollo de: Investigación",$A$61)</f>
        <v>0.13333333333333333</v>
      </c>
      <c r="I64" s="215">
        <f>SUM(B64:H64)</f>
        <v>1</v>
      </c>
    </row>
    <row r="65" spans="1:9" x14ac:dyDescent="0.25">
      <c r="B65" s="164" t="s">
        <v>2816</v>
      </c>
      <c r="D65"/>
    </row>
    <row r="66" spans="1:9" x14ac:dyDescent="0.25">
      <c r="B66" t="s">
        <v>1</v>
      </c>
      <c r="C66" t="s">
        <v>2791</v>
      </c>
      <c r="D66" t="s">
        <v>3</v>
      </c>
      <c r="E66" t="s">
        <v>4</v>
      </c>
      <c r="F66" t="s">
        <v>5</v>
      </c>
      <c r="G66" t="s">
        <v>1358</v>
      </c>
      <c r="H66" t="s">
        <v>1096</v>
      </c>
    </row>
    <row r="67" spans="1:9" x14ac:dyDescent="0.25">
      <c r="A67" t="s">
        <v>2808</v>
      </c>
      <c r="B67" s="165">
        <v>4</v>
      </c>
      <c r="C67" s="165">
        <v>3</v>
      </c>
      <c r="D67" s="165">
        <v>3</v>
      </c>
      <c r="E67" s="165">
        <v>4</v>
      </c>
      <c r="F67" s="165">
        <v>1</v>
      </c>
      <c r="G67" s="165"/>
      <c r="H67" s="165">
        <v>15</v>
      </c>
    </row>
    <row r="68" spans="1:9" x14ac:dyDescent="0.25">
      <c r="B68" s="215">
        <f>GETPIVOTDATA("10.2. Menciona convenios y fuentes de financiación externa (local o extrajera), para el desarrollo de: Formación docente ",$A$65,"10.2. Menciona convenios y fuentes de financiación externa (local o extrajera), para el desarrollo de: Formación docente ","En desacuerdo")/GETPIVOTDATA("10.2. Menciona convenios y fuentes de financiación externa (local o extrajera), para el desarrollo de: Formación docente ",$A$65)</f>
        <v>0.26666666666666666</v>
      </c>
      <c r="C68" s="215">
        <f>GETPIVOTDATA("10.2. Menciona convenios y fuentes de financiación externa (local o extrajera), para el desarrollo de: Formación docente ",$A$65,"10.2. Menciona convenios y fuentes de financiación externa (local o extrajera), para el desarrollo de: Formación docente ","Medianamente de acuerdo ")/GETPIVOTDATA("10.2. Menciona convenios y fuentes de financiación externa (local o extrajera), para el desarrollo de: Formación docente ",$A$65)</f>
        <v>0.2</v>
      </c>
      <c r="D68" s="215">
        <f>GETPIVOTDATA("10.2. Menciona convenios y fuentes de financiación externa (local o extrajera), para el desarrollo de: Formación docente ",$A$65,"10.2. Menciona convenios y fuentes de financiación externa (local o extrajera), para el desarrollo de: Formación docente ","De acuerdo")/GETPIVOTDATA("10.2. Menciona convenios y fuentes de financiación externa (local o extrajera), para el desarrollo de: Formación docente ",$A$65)</f>
        <v>0.2</v>
      </c>
      <c r="E68" s="215">
        <f>GETPIVOTDATA("10.2. Menciona convenios y fuentes de financiación externa (local o extrajera), para el desarrollo de: Formación docente ",$A$65,"10.2. Menciona convenios y fuentes de financiación externa (local o extrajera), para el desarrollo de: Formación docente ","Totalmente de acuerdo")/GETPIVOTDATA("10.2. Menciona convenios y fuentes de financiación externa (local o extrajera), para el desarrollo de: Formación docente ",$A$65)</f>
        <v>0.26666666666666666</v>
      </c>
      <c r="F68" s="215">
        <f>GETPIVOTDATA("10.2. Menciona convenios y fuentes de financiación externa (local o extrajera), para el desarrollo de: Formación docente ",$A$65,"10.2. Menciona convenios y fuentes de financiación externa (local o extrajera), para el desarrollo de: Formación docente ","No sabe / No puede opinar al respecto")/GETPIVOTDATA("10.2. Menciona convenios y fuentes de financiación externa (local o extrajera), para el desarrollo de: Formación docente ",$A$65)</f>
        <v>6.6666666666666666E-2</v>
      </c>
      <c r="I68" s="215">
        <f>SUM(B68:H68)</f>
        <v>1</v>
      </c>
    </row>
    <row r="69" spans="1:9" x14ac:dyDescent="0.25">
      <c r="B69" s="164" t="s">
        <v>2816</v>
      </c>
      <c r="D69"/>
    </row>
    <row r="70" spans="1:9" x14ac:dyDescent="0.25">
      <c r="B70" t="s">
        <v>1</v>
      </c>
      <c r="C70" t="s">
        <v>2791</v>
      </c>
      <c r="D70" t="s">
        <v>3</v>
      </c>
      <c r="E70" t="s">
        <v>4</v>
      </c>
      <c r="F70" t="s">
        <v>5</v>
      </c>
      <c r="G70" t="s">
        <v>1358</v>
      </c>
      <c r="H70" t="s">
        <v>1096</v>
      </c>
    </row>
    <row r="71" spans="1:9" x14ac:dyDescent="0.25">
      <c r="A71" t="s">
        <v>2809</v>
      </c>
      <c r="B71" s="165">
        <v>2</v>
      </c>
      <c r="C71" s="165">
        <v>2</v>
      </c>
      <c r="D71" s="165">
        <v>2</v>
      </c>
      <c r="E71" s="165">
        <v>6</v>
      </c>
      <c r="F71" s="165">
        <v>3</v>
      </c>
      <c r="G71" s="165"/>
      <c r="H71" s="165">
        <v>15</v>
      </c>
    </row>
    <row r="72" spans="1:9" x14ac:dyDescent="0.25">
      <c r="B72" s="215">
        <f>GETPIVOTDATA("10.3. Menciona convenios y fuentes de financiación externa (local o extrajera), para el desarrollo de: Extensión y proyección social ",$A$69,"10.3. Menciona convenios y fuentes de financiación externa (local o extrajera), para el desarrollo de: Extensión y proyección social ","En desacuerdo")/GETPIVOTDATA("10.3. Menciona convenios y fuentes de financiación externa (local o extrajera), para el desarrollo de: Extensión y proyección social ",$A$69)</f>
        <v>0.13333333333333333</v>
      </c>
      <c r="C72" s="215">
        <f>GETPIVOTDATA("10.3. Menciona convenios y fuentes de financiación externa (local o extrajera), para el desarrollo de: Extensión y proyección social ",$A$69,"10.3. Menciona convenios y fuentes de financiación externa (local o extrajera), para el desarrollo de: Extensión y proyección social ","Medianamente de acuerdo ")/GETPIVOTDATA("10.3. Menciona convenios y fuentes de financiación externa (local o extrajera), para el desarrollo de: Extensión y proyección social ",$A$69)</f>
        <v>0.13333333333333333</v>
      </c>
      <c r="D72" s="215">
        <f>GETPIVOTDATA("10.3. Menciona convenios y fuentes de financiación externa (local o extrajera), para el desarrollo de: Extensión y proyección social ",$A$69,"10.3. Menciona convenios y fuentes de financiación externa (local o extrajera), para el desarrollo de: Extensión y proyección social ","De acuerdo")/GETPIVOTDATA("10.3. Menciona convenios y fuentes de financiación externa (local o extrajera), para el desarrollo de: Extensión y proyección social ",$A$69)</f>
        <v>0.13333333333333333</v>
      </c>
      <c r="E72" s="215">
        <f>GETPIVOTDATA("10.3. Menciona convenios y fuentes de financiación externa (local o extrajera), para el desarrollo de: Extensión y proyección social ",$A$69,"10.3. Menciona convenios y fuentes de financiación externa (local o extrajera), para el desarrollo de: Extensión y proyección social ","Totalmente de acuerdo")/GETPIVOTDATA("10.3. Menciona convenios y fuentes de financiación externa (local o extrajera), para el desarrollo de: Extensión y proyección social ",$A$69)</f>
        <v>0.4</v>
      </c>
      <c r="F72" s="215">
        <f>GETPIVOTDATA("10.3. Menciona convenios y fuentes de financiación externa (local o extrajera), para el desarrollo de: Extensión y proyección social ",$A$69,"10.3. Menciona convenios y fuentes de financiación externa (local o extrajera), para el desarrollo de: Extensión y proyección social ","No sabe / No puede opinar al respecto")/GETPIVOTDATA("10.3. Menciona convenios y fuentes de financiación externa (local o extrajera), para el desarrollo de: Extensión y proyección social ",$A$69)</f>
        <v>0.2</v>
      </c>
      <c r="I72" s="215">
        <f>SUM(B72:H72)</f>
        <v>1</v>
      </c>
    </row>
    <row r="73" spans="1:9" x14ac:dyDescent="0.25">
      <c r="B73" s="164" t="s">
        <v>2816</v>
      </c>
      <c r="D73"/>
    </row>
    <row r="74" spans="1:9" x14ac:dyDescent="0.25">
      <c r="B74" t="s">
        <v>1</v>
      </c>
      <c r="C74" t="s">
        <v>2791</v>
      </c>
      <c r="D74" t="s">
        <v>3</v>
      </c>
      <c r="E74" t="s">
        <v>4</v>
      </c>
      <c r="F74" t="s">
        <v>5</v>
      </c>
      <c r="G74" t="s">
        <v>1358</v>
      </c>
      <c r="H74" t="s">
        <v>1096</v>
      </c>
    </row>
    <row r="75" spans="1:9" x14ac:dyDescent="0.25">
      <c r="A75" t="s">
        <v>2810</v>
      </c>
      <c r="B75" s="165">
        <v>1</v>
      </c>
      <c r="C75" s="165">
        <v>2</v>
      </c>
      <c r="D75" s="165">
        <v>4</v>
      </c>
      <c r="E75" s="165">
        <v>6</v>
      </c>
      <c r="F75" s="165">
        <v>2</v>
      </c>
      <c r="G75" s="165"/>
      <c r="H75" s="165">
        <v>15</v>
      </c>
    </row>
    <row r="76" spans="1:9" x14ac:dyDescent="0.25">
      <c r="B76" s="215">
        <f>GETPIVOTDATA("11. Tiene conocimiento del impacto que genera el modelo de formación por ciclos",$A$73,"11. Tiene conocimiento del impacto que genera el modelo de formación por ciclos","En desacuerdo")/GETPIVOTDATA("11. Tiene conocimiento del impacto que genera el modelo de formación por ciclos",$A$73)</f>
        <v>6.6666666666666666E-2</v>
      </c>
      <c r="C76" s="215">
        <f>GETPIVOTDATA("11. Tiene conocimiento del impacto que genera el modelo de formación por ciclos",$A$73,"11. Tiene conocimiento del impacto que genera el modelo de formación por ciclos","Medianamente de acuerdo ")/GETPIVOTDATA("11. Tiene conocimiento del impacto que genera el modelo de formación por ciclos",$A$73)</f>
        <v>0.13333333333333333</v>
      </c>
      <c r="D76" s="215">
        <f>GETPIVOTDATA("11. Tiene conocimiento del impacto que genera el modelo de formación por ciclos",$A$73,"11. Tiene conocimiento del impacto que genera el modelo de formación por ciclos","De acuerdo")/GETPIVOTDATA("11. Tiene conocimiento del impacto que genera el modelo de formación por ciclos",$A$73)</f>
        <v>0.26666666666666666</v>
      </c>
      <c r="E76" s="215">
        <f>GETPIVOTDATA("11. Tiene conocimiento del impacto que genera el modelo de formación por ciclos",$A$73,"11. Tiene conocimiento del impacto que genera el modelo de formación por ciclos","Totalmente de acuerdo")/GETPIVOTDATA("11. Tiene conocimiento del impacto que genera el modelo de formación por ciclos",$A$73)</f>
        <v>0.4</v>
      </c>
      <c r="F76" s="215">
        <f>GETPIVOTDATA("11. Tiene conocimiento del impacto que genera el modelo de formación por ciclos",$A$73,"11. Tiene conocimiento del impacto que genera el modelo de formación por ciclos","No sabe / No puede opinar al respecto")/GETPIVOTDATA("11. Tiene conocimiento del impacto que genera el modelo de formación por ciclos",$A$73)</f>
        <v>0.13333333333333333</v>
      </c>
      <c r="I76" s="215">
        <f>SUM(B76:H76)</f>
        <v>1</v>
      </c>
    </row>
    <row r="77" spans="1:9" x14ac:dyDescent="0.25">
      <c r="B77" s="164" t="s">
        <v>2816</v>
      </c>
      <c r="D77"/>
    </row>
    <row r="78" spans="1:9" x14ac:dyDescent="0.25">
      <c r="B78" t="s">
        <v>1</v>
      </c>
      <c r="C78" t="s">
        <v>2791</v>
      </c>
      <c r="D78" t="s">
        <v>3</v>
      </c>
      <c r="E78" t="s">
        <v>4</v>
      </c>
      <c r="F78" t="s">
        <v>5</v>
      </c>
      <c r="G78" t="s">
        <v>1358</v>
      </c>
      <c r="H78" t="s">
        <v>1096</v>
      </c>
    </row>
    <row r="79" spans="1:9" x14ac:dyDescent="0.25">
      <c r="A79" t="s">
        <v>2811</v>
      </c>
      <c r="B79" s="165">
        <v>1</v>
      </c>
      <c r="C79" s="165">
        <v>1</v>
      </c>
      <c r="D79" s="165">
        <v>11</v>
      </c>
      <c r="E79" s="165">
        <v>1</v>
      </c>
      <c r="F79" s="165">
        <v>1</v>
      </c>
      <c r="G79" s="165"/>
      <c r="H79" s="165">
        <v>15</v>
      </c>
    </row>
    <row r="80" spans="1:9" x14ac:dyDescent="0.25">
      <c r="B80" s="215">
        <f>GETPIVOTDATA("12.1. Menciona las acciones que brindan posibilidades a los estudiantes para: Desarrollar procesos de investigación",$A$77,"12.1. Menciona las acciones que brindan posibilidades a los estudiantes para: Desarrollar procesos de investigación","En desacuerdo")/GETPIVOTDATA("12.1. Menciona las acciones que brindan posibilidades a los estudiantes para: Desarrollar procesos de investigación",$A$77)</f>
        <v>6.6666666666666666E-2</v>
      </c>
      <c r="C80" s="215">
        <f>GETPIVOTDATA("12.1. Menciona las acciones que brindan posibilidades a los estudiantes para: Desarrollar procesos de investigación",$A$77,"12.1. Menciona las acciones que brindan posibilidades a los estudiantes para: Desarrollar procesos de investigación","Medianamente de acuerdo ")/GETPIVOTDATA("12.1. Menciona las acciones que brindan posibilidades a los estudiantes para: Desarrollar procesos de investigación",$A$77)</f>
        <v>6.6666666666666666E-2</v>
      </c>
      <c r="D80" s="215">
        <f>+GETPIVOTDATA("12.1. Menciona las acciones que brindan posibilidades a los estudiantes para: Desarrollar procesos de investigación",$A$77,"12.1. Menciona las acciones que brindan posibilidades a los estudiantes para: Desarrollar procesos de investigación","De acuerdo")/GETPIVOTDATA("12.1. Menciona las acciones que brindan posibilidades a los estudiantes para: Desarrollar procesos de investigación",$A$77)</f>
        <v>0.73333333333333328</v>
      </c>
      <c r="E80" s="215">
        <f>+GETPIVOTDATA("12.1. Menciona las acciones que brindan posibilidades a los estudiantes para: Desarrollar procesos de investigación",$A$77,"12.1. Menciona las acciones que brindan posibilidades a los estudiantes para: Desarrollar procesos de investigación","Totalmente de acuerdo")/GETPIVOTDATA("12.1. Menciona las acciones que brindan posibilidades a los estudiantes para: Desarrollar procesos de investigación",$A$77)</f>
        <v>6.6666666666666666E-2</v>
      </c>
      <c r="F80" s="215">
        <f>+GETPIVOTDATA("12.1. Menciona las acciones que brindan posibilidades a los estudiantes para: Desarrollar procesos de investigación",$A$77,"12.1. Menciona las acciones que brindan posibilidades a los estudiantes para: Desarrollar procesos de investigación","No sabe / No puede opinar al respecto")/GETPIVOTDATA("12.1. Menciona las acciones que brindan posibilidades a los estudiantes para: Desarrollar procesos de investigación",$A$77)</f>
        <v>6.6666666666666666E-2</v>
      </c>
      <c r="I80" s="215">
        <f>SUM(B80:H80)</f>
        <v>0.99999999999999989</v>
      </c>
    </row>
    <row r="81" spans="1:9" x14ac:dyDescent="0.25">
      <c r="B81" s="164" t="s">
        <v>2816</v>
      </c>
      <c r="D81"/>
    </row>
    <row r="82" spans="1:9" x14ac:dyDescent="0.25">
      <c r="B82" t="s">
        <v>1</v>
      </c>
      <c r="C82" t="s">
        <v>2791</v>
      </c>
      <c r="D82" t="s">
        <v>3</v>
      </c>
      <c r="E82" t="s">
        <v>5</v>
      </c>
      <c r="F82" t="s">
        <v>1358</v>
      </c>
      <c r="G82" t="s">
        <v>1096</v>
      </c>
    </row>
    <row r="83" spans="1:9" x14ac:dyDescent="0.25">
      <c r="A83" t="s">
        <v>2812</v>
      </c>
      <c r="B83" s="165">
        <v>2</v>
      </c>
      <c r="C83" s="165">
        <v>3</v>
      </c>
      <c r="D83" s="165">
        <v>9</v>
      </c>
      <c r="E83" s="165">
        <v>1</v>
      </c>
      <c r="F83" s="165"/>
      <c r="G83" s="165">
        <v>15</v>
      </c>
    </row>
    <row r="84" spans="1:9" x14ac:dyDescent="0.25">
      <c r="B84" s="215">
        <f>+GETPIVOTDATA("12.2. Menciona las acciones que brindan posibilidades a los estudiantes para: Desarrollar proyectos de extensión y proyección social a la comunidad",$A$81,"12.2. Menciona las acciones que brindan posibilidades a los estudiantes para: Desarrollar proyectos de extensión y proyección social a la comunidad","En desacuerdo")/GETPIVOTDATA("12.2. Menciona las acciones que brindan posibilidades a los estudiantes para: Desarrollar proyectos de extensión y proyección social a la comunidad",$A$81)</f>
        <v>0.13333333333333333</v>
      </c>
      <c r="C84" s="215">
        <f>+GETPIVOTDATA("12.2. Menciona las acciones que brindan posibilidades a los estudiantes para: Desarrollar proyectos de extensión y proyección social a la comunidad",$A$81,"12.2. Menciona las acciones que brindan posibilidades a los estudiantes para: Desarrollar proyectos de extensión y proyección social a la comunidad","Medianamente de acuerdo ")/GETPIVOTDATA("12.2. Menciona las acciones que brindan posibilidades a los estudiantes para: Desarrollar proyectos de extensión y proyección social a la comunidad",$A$81)</f>
        <v>0.2</v>
      </c>
      <c r="D84" s="215">
        <f>+GETPIVOTDATA("12.2. Menciona las acciones que brindan posibilidades a los estudiantes para: Desarrollar proyectos de extensión y proyección social a la comunidad",$A$81,"12.2. Menciona las acciones que brindan posibilidades a los estudiantes para: Desarrollar proyectos de extensión y proyección social a la comunidad","De acuerdo")/GETPIVOTDATA("12.2. Menciona las acciones que brindan posibilidades a los estudiantes para: Desarrollar proyectos de extensión y proyección social a la comunidad",$A$81)</f>
        <v>0.6</v>
      </c>
      <c r="E84" s="215">
        <f>+GETPIVOTDATA("12.2. Menciona las acciones que brindan posibilidades a los estudiantes para: Desarrollar proyectos de extensión y proyección social a la comunidad",$A$81,"12.2. Menciona las acciones que brindan posibilidades a los estudiantes para: Desarrollar proyectos de extensión y proyección social a la comunidad","No sabe / No puede opinar al respecto")/GETPIVOTDATA("12.2. Menciona las acciones que brindan posibilidades a los estudiantes para: Desarrollar proyectos de extensión y proyección social a la comunidad",$A$81)</f>
        <v>6.6666666666666666E-2</v>
      </c>
      <c r="I84" s="215">
        <f>SUM(B84:H84)</f>
        <v>1</v>
      </c>
    </row>
    <row r="85" spans="1:9" x14ac:dyDescent="0.25">
      <c r="B85" s="164" t="s">
        <v>2816</v>
      </c>
      <c r="D85"/>
    </row>
    <row r="86" spans="1:9" x14ac:dyDescent="0.25">
      <c r="B86" t="s">
        <v>1</v>
      </c>
      <c r="C86" t="s">
        <v>2791</v>
      </c>
      <c r="D86" t="s">
        <v>3</v>
      </c>
      <c r="E86" t="s">
        <v>4</v>
      </c>
      <c r="F86" t="s">
        <v>5</v>
      </c>
      <c r="G86" t="s">
        <v>1358</v>
      </c>
      <c r="H86" t="s">
        <v>1096</v>
      </c>
    </row>
    <row r="87" spans="1:9" x14ac:dyDescent="0.25">
      <c r="A87" t="s">
        <v>2813</v>
      </c>
      <c r="B87" s="165">
        <v>2</v>
      </c>
      <c r="C87" s="165">
        <v>2</v>
      </c>
      <c r="D87" s="165">
        <v>3</v>
      </c>
      <c r="E87" s="165">
        <v>5</v>
      </c>
      <c r="F87" s="165">
        <v>3</v>
      </c>
      <c r="G87" s="165"/>
      <c r="H87" s="165">
        <v>15</v>
      </c>
    </row>
    <row r="88" spans="1:9" x14ac:dyDescent="0.25">
      <c r="B88" s="215">
        <f>+GETPIVOTDATA("13. Menciona los planes de ejecución presupuestal para el mejoramiento de la infraestructura y equipos de apoyo",$A$85,"13. Menciona los planes de ejecución presupuestal para el mejoramiento de la infraestructura y equipos de apoyo","En desacuerdo")/GETPIVOTDATA("13. Menciona los planes de ejecución presupuestal para el mejoramiento de la infraestructura y equipos de apoyo",$A$85)</f>
        <v>0.13333333333333333</v>
      </c>
      <c r="C88" s="215">
        <f>+GETPIVOTDATA("13. Menciona los planes de ejecución presupuestal para el mejoramiento de la infraestructura y equipos de apoyo",$A$85,"13. Menciona los planes de ejecución presupuestal para el mejoramiento de la infraestructura y equipos de apoyo","Medianamente de acuerdo ")/GETPIVOTDATA("13. Menciona los planes de ejecución presupuestal para el mejoramiento de la infraestructura y equipos de apoyo",$A$85)</f>
        <v>0.13333333333333333</v>
      </c>
      <c r="D88" s="215">
        <f>+GETPIVOTDATA("13. Menciona los planes de ejecución presupuestal para el mejoramiento de la infraestructura y equipos de apoyo",$A$85,"13. Menciona los planes de ejecución presupuestal para el mejoramiento de la infraestructura y equipos de apoyo","De acuerdo")/GETPIVOTDATA("13. Menciona los planes de ejecución presupuestal para el mejoramiento de la infraestructura y equipos de apoyo",$A$85)</f>
        <v>0.2</v>
      </c>
      <c r="E88" s="215">
        <f>+GETPIVOTDATA("13. Menciona los planes de ejecución presupuestal para el mejoramiento de la infraestructura y equipos de apoyo",$A$85,"13. Menciona los planes de ejecución presupuestal para el mejoramiento de la infraestructura y equipos de apoyo","Totalmente de acuerdo")/GETPIVOTDATA("13. Menciona los planes de ejecución presupuestal para el mejoramiento de la infraestructura y equipos de apoyo",$A$85)</f>
        <v>0.33333333333333331</v>
      </c>
      <c r="F88" s="215">
        <f>+GETPIVOTDATA("13. Menciona los planes de ejecución presupuestal para el mejoramiento de la infraestructura y equipos de apoyo",$A$85,"13. Menciona los planes de ejecución presupuestal para el mejoramiento de la infraestructura y equipos de apoyo","No sabe / No puede opinar al respecto")/GETPIVOTDATA("13. Menciona los planes de ejecución presupuestal para el mejoramiento de la infraestructura y equipos de apoyo",$A$85)</f>
        <v>0.2</v>
      </c>
      <c r="I88" s="215">
        <f>SUM(B88:H88)</f>
        <v>1</v>
      </c>
    </row>
    <row r="89" spans="1:9" x14ac:dyDescent="0.25">
      <c r="B89" s="164" t="s">
        <v>2816</v>
      </c>
      <c r="D89"/>
    </row>
    <row r="90" spans="1:9" x14ac:dyDescent="0.25">
      <c r="B90" t="s">
        <v>1</v>
      </c>
      <c r="C90" t="s">
        <v>2791</v>
      </c>
      <c r="D90" t="s">
        <v>3</v>
      </c>
      <c r="E90" t="s">
        <v>4</v>
      </c>
      <c r="F90" t="s">
        <v>5</v>
      </c>
      <c r="G90" t="s">
        <v>1358</v>
      </c>
      <c r="H90" t="s">
        <v>1096</v>
      </c>
    </row>
    <row r="91" spans="1:9" x14ac:dyDescent="0.25">
      <c r="A91" t="s">
        <v>2814</v>
      </c>
      <c r="B91" s="165">
        <v>2</v>
      </c>
      <c r="C91" s="165">
        <v>2</v>
      </c>
      <c r="D91" s="165">
        <v>6</v>
      </c>
      <c r="E91" s="165">
        <v>3</v>
      </c>
      <c r="F91" s="165">
        <v>2</v>
      </c>
      <c r="G91" s="165"/>
      <c r="H91" s="165">
        <v>15</v>
      </c>
    </row>
    <row r="92" spans="1:9" x14ac:dyDescent="0.25">
      <c r="B92" s="215">
        <f>+GETPIVOTDATA("14. Menciona los medios que se utilizan para garantizar que la ejecución presupuestal sea eficaz y eficiente.",$A$89,"14. Menciona los medios que se utilizan para garantizar que la ejecución presupuestal sea eficaz y eficiente.","En desacuerdo")/GETPIVOTDATA("14. Menciona los medios que se utilizan para garantizar que la ejecución presupuestal sea eficaz y eficiente.",$A$89)</f>
        <v>0.13333333333333333</v>
      </c>
      <c r="C92" s="215">
        <f>+GETPIVOTDATA("14. Menciona los medios que se utilizan para garantizar que la ejecución presupuestal sea eficaz y eficiente.",$A$89,"14. Menciona los medios que se utilizan para garantizar que la ejecución presupuestal sea eficaz y eficiente.","Medianamente de acuerdo ")/GETPIVOTDATA("14. Menciona los medios que se utilizan para garantizar que la ejecución presupuestal sea eficaz y eficiente.",$A$89)</f>
        <v>0.13333333333333333</v>
      </c>
      <c r="D92" s="215">
        <f>+GETPIVOTDATA("14. Menciona los medios que se utilizan para garantizar que la ejecución presupuestal sea eficaz y eficiente.",$A$89,"14. Menciona los medios que se utilizan para garantizar que la ejecución presupuestal sea eficaz y eficiente.","De acuerdo")/GETPIVOTDATA("14. Menciona los medios que se utilizan para garantizar que la ejecución presupuestal sea eficaz y eficiente.",$A$89)</f>
        <v>0.4</v>
      </c>
      <c r="E92" s="215">
        <f>+GETPIVOTDATA("14. Menciona los medios que se utilizan para garantizar que la ejecución presupuestal sea eficaz y eficiente.",$A$89,"14. Menciona los medios que se utilizan para garantizar que la ejecución presupuestal sea eficaz y eficiente.","Totalmente de acuerdo")/GETPIVOTDATA("14. Menciona los medios que se utilizan para garantizar que la ejecución presupuestal sea eficaz y eficiente.",$A$89)</f>
        <v>0.2</v>
      </c>
      <c r="F92" s="215">
        <f>+GETPIVOTDATA("14. Menciona los medios que se utilizan para garantizar que la ejecución presupuestal sea eficaz y eficiente.",$A$89,"14. Menciona los medios que se utilizan para garantizar que la ejecución presupuestal sea eficaz y eficiente.","No sabe / No puede opinar al respecto")/GETPIVOTDATA("14. Menciona los medios que se utilizan para garantizar que la ejecución presupuestal sea eficaz y eficiente.",$A$89)</f>
        <v>0.13333333333333333</v>
      </c>
      <c r="I92" s="215">
        <f>SUM(B92:H92)</f>
        <v>1</v>
      </c>
    </row>
    <row r="93" spans="1:9" x14ac:dyDescent="0.25">
      <c r="B93" s="164" t="s">
        <v>2816</v>
      </c>
      <c r="D93"/>
    </row>
    <row r="94" spans="1:9" x14ac:dyDescent="0.25">
      <c r="B94" t="s">
        <v>1</v>
      </c>
      <c r="C94" t="s">
        <v>3</v>
      </c>
      <c r="D94" t="s">
        <v>4</v>
      </c>
      <c r="E94" t="s">
        <v>5</v>
      </c>
      <c r="F94" t="s">
        <v>1358</v>
      </c>
      <c r="G94" t="s">
        <v>1096</v>
      </c>
    </row>
    <row r="95" spans="1:9" x14ac:dyDescent="0.25">
      <c r="A95" t="s">
        <v>2815</v>
      </c>
      <c r="B95" s="165">
        <v>1</v>
      </c>
      <c r="C95" s="165">
        <v>5</v>
      </c>
      <c r="D95" s="165">
        <v>7</v>
      </c>
      <c r="E95" s="165">
        <v>2</v>
      </c>
      <c r="F95" s="165"/>
      <c r="G95" s="165">
        <v>15</v>
      </c>
    </row>
    <row r="96" spans="1:9" x14ac:dyDescent="0.25">
      <c r="B96" s="214">
        <f>+GETPIVOTDATA("15. Menciona aspectos que se deben fortalecerse en la formación de los estudiantes.",$A$93,"15. Menciona aspectos que se deben fortalecerse en la formación de los estudiantes.","En desacuerdo")/GETPIVOTDATA("15. Menciona aspectos que se deben fortalecerse en la formación de los estudiantes.",$A$93)</f>
        <v>6.6666666666666666E-2</v>
      </c>
      <c r="C96" s="214">
        <f>+GETPIVOTDATA("15. Menciona aspectos que se deben fortalecerse en la formación de los estudiantes.",$A$93,"15. Menciona aspectos que se deben fortalecerse en la formación de los estudiantes.","De acuerdo")/GETPIVOTDATA("15. Menciona aspectos que se deben fortalecerse en la formación de los estudiantes.",$A$93)</f>
        <v>0.33333333333333331</v>
      </c>
      <c r="D96" s="214">
        <f>+GETPIVOTDATA("15. Menciona aspectos que se deben fortalecerse en la formación de los estudiantes.",$A$93,"15. Menciona aspectos que se deben fortalecerse en la formación de los estudiantes.","Totalmente de acuerdo")/GETPIVOTDATA("15. Menciona aspectos que se deben fortalecerse en la formación de los estudiantes.",$A$93)</f>
        <v>0.46666666666666667</v>
      </c>
      <c r="E96" s="214">
        <f>+GETPIVOTDATA("15. Menciona aspectos que se deben fortalecerse en la formación de los estudiantes.",$A$93,"15. Menciona aspectos que se deben fortalecerse en la formación de los estudiantes.","No sabe / No puede opinar al respecto")/GETPIVOTDATA("15. Menciona aspectos que se deben fortalecerse en la formación de los estudiantes.",$A$93)</f>
        <v>0.13333333333333333</v>
      </c>
      <c r="I96" s="215">
        <f>SUM(B96:H96)</f>
        <v>1</v>
      </c>
    </row>
    <row r="97" spans="3:3" x14ac:dyDescent="0.25">
      <c r="C97" s="165"/>
    </row>
    <row r="98" spans="3:3" x14ac:dyDescent="0.25">
      <c r="C98" s="165"/>
    </row>
    <row r="99" spans="3:3" x14ac:dyDescent="0.25">
      <c r="C99" s="16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6"/>
  <sheetViews>
    <sheetView workbookViewId="0">
      <pane xSplit="1" ySplit="4" topLeftCell="D211" activePane="bottomRight" state="frozen"/>
      <selection pane="topRight" activeCell="E1" sqref="E1"/>
      <selection pane="bottomLeft" activeCell="A5" sqref="A5"/>
      <selection pane="bottomRight" activeCell="E225" sqref="E225:E226"/>
    </sheetView>
  </sheetViews>
  <sheetFormatPr baseColWidth="10" defaultColWidth="11.42578125" defaultRowHeight="15" x14ac:dyDescent="0.25"/>
  <cols>
    <col min="1" max="1" width="11.42578125" style="2"/>
    <col min="2" max="2" width="0" style="169" hidden="1" customWidth="1"/>
    <col min="3" max="3" width="15.140625" style="169" hidden="1" customWidth="1"/>
    <col min="4" max="4" width="9.85546875" style="131" customWidth="1"/>
    <col min="5" max="5" width="39.85546875" style="2" customWidth="1"/>
    <col min="6" max="7" width="11.42578125" style="199"/>
    <col min="8" max="12" width="11.42578125" style="197"/>
    <col min="13" max="16384" width="11.42578125" style="1"/>
  </cols>
  <sheetData>
    <row r="1" spans="1:12" ht="15" customHeight="1" x14ac:dyDescent="0.25"/>
    <row r="2" spans="1:12" ht="15" customHeight="1" x14ac:dyDescent="0.25"/>
    <row r="4" spans="1:12" ht="60" x14ac:dyDescent="0.25">
      <c r="A4" s="7" t="s">
        <v>17</v>
      </c>
      <c r="B4" s="170" t="s">
        <v>18</v>
      </c>
      <c r="C4" s="170" t="s">
        <v>21</v>
      </c>
      <c r="D4" s="8" t="s">
        <v>908</v>
      </c>
      <c r="E4" s="7" t="s">
        <v>12</v>
      </c>
      <c r="F4" s="198" t="s">
        <v>0</v>
      </c>
      <c r="G4" s="198" t="s">
        <v>1</v>
      </c>
      <c r="H4" s="198" t="s">
        <v>2</v>
      </c>
      <c r="I4" s="198" t="s">
        <v>3</v>
      </c>
      <c r="J4" s="198" t="s">
        <v>4</v>
      </c>
      <c r="K4" s="198" t="s">
        <v>5</v>
      </c>
      <c r="L4" s="198" t="s">
        <v>1193</v>
      </c>
    </row>
    <row r="5" spans="1:12" ht="25.5" customHeight="1" x14ac:dyDescent="0.25">
      <c r="A5" s="5" t="s">
        <v>22</v>
      </c>
      <c r="B5" s="171">
        <v>1</v>
      </c>
      <c r="C5" s="171">
        <v>1</v>
      </c>
      <c r="D5" s="132">
        <v>1</v>
      </c>
      <c r="E5" s="6" t="str">
        <f>'Resumen rta estudiantes'!A4</f>
        <v>Cuenta de 1. Conozco la misión de la Universidad Distrital Francisco José de Caldas</v>
      </c>
      <c r="F5" s="200">
        <f>'Resumen rta estudiantes'!B5</f>
        <v>1.7964071856287425E-2</v>
      </c>
      <c r="G5" s="200">
        <f>'Resumen rta estudiantes'!C5</f>
        <v>3.5928143712574849E-2</v>
      </c>
      <c r="H5" s="200">
        <f>'Resumen rta estudiantes'!D5</f>
        <v>0.25149700598802394</v>
      </c>
      <c r="I5" s="200">
        <f>'Resumen rta estudiantes'!E5</f>
        <v>0.40119760479041916</v>
      </c>
      <c r="J5" s="200">
        <f>'Resumen rta estudiantes'!F5</f>
        <v>0.27544910179640719</v>
      </c>
      <c r="K5" s="200">
        <f>'Resumen rta estudiantes'!G5</f>
        <v>1.7964071856287425E-2</v>
      </c>
      <c r="L5" s="197">
        <f>SUM(F5:K5)</f>
        <v>1</v>
      </c>
    </row>
    <row r="6" spans="1:12" ht="60" x14ac:dyDescent="0.25">
      <c r="A6" s="5" t="s">
        <v>22</v>
      </c>
      <c r="B6" s="171">
        <v>1</v>
      </c>
      <c r="C6" s="171">
        <v>1</v>
      </c>
      <c r="D6" s="132">
        <v>2</v>
      </c>
      <c r="E6" s="6" t="str">
        <f>'Resumen rta estudiantes'!A8</f>
        <v>Cuenta de 2. Considero que la Universidad Distrital Francisco José de Caldas es una alternativa real para acceder al conocimiento por parte de la población bogotana de menores ingresos.</v>
      </c>
      <c r="F6" s="200">
        <f>'Resumen rta estudiantes'!B9</f>
        <v>1.1976047904191617E-2</v>
      </c>
      <c r="G6" s="200">
        <f>'Resumen rta estudiantes'!C9</f>
        <v>2.9940119760479042E-2</v>
      </c>
      <c r="H6" s="200">
        <f>'Resumen rta estudiantes'!D9</f>
        <v>0.10179640718562874</v>
      </c>
      <c r="I6" s="200">
        <f>'Resumen rta estudiantes'!E9</f>
        <v>0.21556886227544911</v>
      </c>
      <c r="J6" s="200">
        <f>'Resumen rta estudiantes'!F9</f>
        <v>0.64071856287425155</v>
      </c>
      <c r="K6" s="200">
        <f>'Resumen rta estudiantes'!G9</f>
        <v>0</v>
      </c>
      <c r="L6" s="197">
        <f t="shared" ref="L6:L62" si="0">SUM(F6:K6)</f>
        <v>1</v>
      </c>
    </row>
    <row r="7" spans="1:12" ht="60" x14ac:dyDescent="0.25">
      <c r="A7" s="5" t="s">
        <v>22</v>
      </c>
      <c r="B7" s="171">
        <v>1</v>
      </c>
      <c r="C7" s="171">
        <v>1</v>
      </c>
      <c r="D7" s="132">
        <v>3</v>
      </c>
      <c r="E7" s="6" t="str">
        <f>'Resumen rta estudiantes'!A12</f>
        <v>Cuenta de 3. Considero que la Universidad Distrital Francisco José de Caldas desarrolla una educación de alta calidad con capacidad de responder a los retos del Distrito Capital y del país.</v>
      </c>
      <c r="F7" s="200">
        <f>'Resumen rta estudiantes'!B13</f>
        <v>5.9880239520958087E-3</v>
      </c>
      <c r="G7" s="200">
        <f>'Resumen rta estudiantes'!C13</f>
        <v>2.3952095808383235E-2</v>
      </c>
      <c r="H7" s="200">
        <f>'Resumen rta estudiantes'!D13</f>
        <v>8.9820359281437126E-2</v>
      </c>
      <c r="I7" s="200">
        <f>'Resumen rta estudiantes'!E13</f>
        <v>0.26946107784431139</v>
      </c>
      <c r="J7" s="200">
        <f>'Resumen rta estudiantes'!F13</f>
        <v>0.6107784431137725</v>
      </c>
      <c r="K7" s="200">
        <f>'Resumen rta estudiantes'!G13</f>
        <v>0</v>
      </c>
      <c r="L7" s="197">
        <f t="shared" si="0"/>
        <v>1</v>
      </c>
    </row>
    <row r="8" spans="1:12" ht="24.75" customHeight="1" x14ac:dyDescent="0.25">
      <c r="A8" s="5" t="s">
        <v>22</v>
      </c>
      <c r="B8" s="171">
        <v>1</v>
      </c>
      <c r="C8" s="171">
        <v>2</v>
      </c>
      <c r="D8" s="132">
        <v>4</v>
      </c>
      <c r="E8" s="6" t="str">
        <f>'Resumen rta estudiantes'!A16</f>
        <v xml:space="preserve">Cuenta de 4. Conozco el proyecto educativo de mi programa académico (PEP). </v>
      </c>
      <c r="F8" s="200">
        <f>'Resumen rta estudiantes'!B17</f>
        <v>3.5928143712574849E-2</v>
      </c>
      <c r="G8" s="200">
        <f>'Resumen rta estudiantes'!C17</f>
        <v>3.5928143712574849E-2</v>
      </c>
      <c r="H8" s="200">
        <f>'Resumen rta estudiantes'!D17</f>
        <v>0.16167664670658682</v>
      </c>
      <c r="I8" s="200">
        <f>'Resumen rta estudiantes'!E17</f>
        <v>0.3652694610778443</v>
      </c>
      <c r="J8" s="200">
        <f>'Resumen rta estudiantes'!F17</f>
        <v>0.3532934131736527</v>
      </c>
      <c r="K8" s="200">
        <f>'Resumen rta estudiantes'!G17</f>
        <v>4.790419161676647E-2</v>
      </c>
      <c r="L8" s="197">
        <f t="shared" si="0"/>
        <v>1</v>
      </c>
    </row>
    <row r="9" spans="1:12" ht="36" x14ac:dyDescent="0.25">
      <c r="A9" s="5" t="s">
        <v>22</v>
      </c>
      <c r="B9" s="171">
        <v>1</v>
      </c>
      <c r="C9" s="171">
        <v>2</v>
      </c>
      <c r="D9" s="132">
        <v>5</v>
      </c>
      <c r="E9" s="6" t="str">
        <f>'Resumen rta estudiantes'!A20</f>
        <v>Cuenta de 5. He participado en la discusión y actualización del Proyecto Educativo de Programa.</v>
      </c>
      <c r="F9" s="200">
        <f>'Resumen rta estudiantes'!B21</f>
        <v>0.32335329341317365</v>
      </c>
      <c r="G9" s="200">
        <f>'Resumen rta estudiantes'!C21</f>
        <v>0.18562874251497005</v>
      </c>
      <c r="H9" s="200">
        <f>'Resumen rta estudiantes'!D21</f>
        <v>0.20359281437125748</v>
      </c>
      <c r="I9" s="200">
        <f>'Resumen rta estudiantes'!E21</f>
        <v>0.1377245508982036</v>
      </c>
      <c r="J9" s="200">
        <f>'Resumen rta estudiantes'!F21</f>
        <v>5.3892215568862277E-2</v>
      </c>
      <c r="K9" s="200">
        <f>'Resumen rta estudiantes'!G21</f>
        <v>9.580838323353294E-2</v>
      </c>
      <c r="L9" s="197">
        <f t="shared" si="0"/>
        <v>0.99999999999999989</v>
      </c>
    </row>
    <row r="10" spans="1:12" ht="36.75" customHeight="1" x14ac:dyDescent="0.25">
      <c r="A10" s="5" t="s">
        <v>22</v>
      </c>
      <c r="B10" s="171">
        <v>1</v>
      </c>
      <c r="C10" s="171">
        <v>2</v>
      </c>
      <c r="D10" s="132">
        <v>6</v>
      </c>
      <c r="E10" s="6" t="str">
        <f>'Resumen rta estudiantes'!A24</f>
        <v>Cuenta de 6. Conozco las funciones y me entero de las decisiones del Consejo Curricular de mi programa académico.</v>
      </c>
      <c r="F10" s="200">
        <f>'Resumen rta estudiantes'!B25</f>
        <v>0.20359281437125748</v>
      </c>
      <c r="G10" s="200">
        <f>'Resumen rta estudiantes'!C25</f>
        <v>0.1497005988023952</v>
      </c>
      <c r="H10" s="200">
        <f>'Resumen rta estudiantes'!D25</f>
        <v>0.31736526946107785</v>
      </c>
      <c r="I10" s="200">
        <f>'Resumen rta estudiantes'!E25</f>
        <v>0.20359281437125748</v>
      </c>
      <c r="J10" s="200">
        <f>'Resumen rta estudiantes'!F25</f>
        <v>8.3832335329341312E-2</v>
      </c>
      <c r="K10" s="200">
        <f>'Resumen rta estudiantes'!G25</f>
        <v>4.1916167664670656E-2</v>
      </c>
      <c r="L10" s="197">
        <f t="shared" si="0"/>
        <v>1</v>
      </c>
    </row>
    <row r="11" spans="1:12" ht="48.75" customHeight="1" x14ac:dyDescent="0.25">
      <c r="A11" s="5" t="s">
        <v>22</v>
      </c>
      <c r="B11" s="171">
        <v>2</v>
      </c>
      <c r="C11" s="171">
        <v>4</v>
      </c>
      <c r="D11" s="132">
        <v>7</v>
      </c>
      <c r="E11" s="6" t="str">
        <f>'Resumen rta estudiantes'!A28</f>
        <v>Cuenta de 7. Conozco el proceso de admisiones a cada uno de los niveles de formación de los programas académicos por ciclos ofrecidos en la Facultad Tecnológica.</v>
      </c>
      <c r="F11" s="200">
        <f>'Resumen rta estudiantes'!B29</f>
        <v>2.9940119760479042E-2</v>
      </c>
      <c r="G11" s="200">
        <f>'Resumen rta estudiantes'!C29</f>
        <v>5.3892215568862277E-2</v>
      </c>
      <c r="H11" s="200">
        <f>'Resumen rta estudiantes'!D29</f>
        <v>0.23952095808383234</v>
      </c>
      <c r="I11" s="200">
        <f>'Resumen rta estudiantes'!E29</f>
        <v>0.32934131736526945</v>
      </c>
      <c r="J11" s="200">
        <f>'Resumen rta estudiantes'!F29</f>
        <v>0.33532934131736525</v>
      </c>
      <c r="K11" s="200">
        <f>'Resumen rta estudiantes'!G29</f>
        <v>1.1976047904191617E-2</v>
      </c>
      <c r="L11" s="197">
        <f t="shared" si="0"/>
        <v>0.99999999999999989</v>
      </c>
    </row>
    <row r="12" spans="1:12" ht="24.75" customHeight="1" x14ac:dyDescent="0.25">
      <c r="A12" s="5" t="s">
        <v>22</v>
      </c>
      <c r="B12" s="171">
        <v>2</v>
      </c>
      <c r="C12" s="171">
        <v>4</v>
      </c>
      <c r="D12" s="132">
        <v>8</v>
      </c>
      <c r="E12" s="6" t="str">
        <f>'Resumen rta estudiantes'!A32</f>
        <v>Cuenta de 8. Considero que el proceso admisión es transparente y equitativo.</v>
      </c>
      <c r="F12" s="200">
        <f>+'Resumen rta estudiantes'!B33</f>
        <v>3.5928143712574849E-2</v>
      </c>
      <c r="G12" s="200">
        <f>+'Resumen rta estudiantes'!C33</f>
        <v>5.3892215568862277E-2</v>
      </c>
      <c r="H12" s="200">
        <f>+'Resumen rta estudiantes'!D33</f>
        <v>0.20359281437125748</v>
      </c>
      <c r="I12" s="200">
        <f>+'Resumen rta estudiantes'!E33</f>
        <v>0.32934131736526945</v>
      </c>
      <c r="J12" s="200">
        <f>+'Resumen rta estudiantes'!F33</f>
        <v>0.31736526946107785</v>
      </c>
      <c r="K12" s="200">
        <f>+'Resumen rta estudiantes'!G33</f>
        <v>5.9880239520958084E-2</v>
      </c>
      <c r="L12" s="197">
        <f t="shared" si="0"/>
        <v>1</v>
      </c>
    </row>
    <row r="13" spans="1:12" ht="45" customHeight="1" x14ac:dyDescent="0.25">
      <c r="A13" s="5" t="s">
        <v>22</v>
      </c>
      <c r="B13" s="171">
        <v>2</v>
      </c>
      <c r="C13" s="171">
        <v>5</v>
      </c>
      <c r="D13" s="132">
        <v>9</v>
      </c>
      <c r="E13" s="6" t="str">
        <f>'Resumen rta estudiantes'!A36</f>
        <v>Cuenta de 9. Me siento a gusto con el número de estudiantes que se admiten y se inscriben en los diferentes espacios académicos.</v>
      </c>
      <c r="F13" s="200">
        <f>'Resumen rta estudiantes'!B37</f>
        <v>8.3832335329341312E-2</v>
      </c>
      <c r="G13" s="200">
        <f>'Resumen rta estudiantes'!C37</f>
        <v>8.9820359281437126E-2</v>
      </c>
      <c r="H13" s="200">
        <f>'Resumen rta estudiantes'!D37</f>
        <v>0.28143712574850299</v>
      </c>
      <c r="I13" s="200">
        <f>'Resumen rta estudiantes'!E37</f>
        <v>0.3413173652694611</v>
      </c>
      <c r="J13" s="200">
        <f>'Resumen rta estudiantes'!F37</f>
        <v>0.16766467065868262</v>
      </c>
      <c r="K13" s="200">
        <f>'Resumen rta estudiantes'!G37</f>
        <v>3.5928143712574849E-2</v>
      </c>
      <c r="L13" s="197">
        <f t="shared" si="0"/>
        <v>0.99999999999999989</v>
      </c>
    </row>
    <row r="14" spans="1:12" ht="33.75" customHeight="1" x14ac:dyDescent="0.25">
      <c r="A14" s="5" t="s">
        <v>22</v>
      </c>
      <c r="B14" s="171">
        <v>2</v>
      </c>
      <c r="C14" s="171">
        <v>7</v>
      </c>
      <c r="D14" s="132">
        <v>10</v>
      </c>
      <c r="E14" s="6" t="str">
        <f>'Resumen rta estudiantes'!A40</f>
        <v>Cuenta de 10. Considero que en mi programa académico se aplican debidamente las normas establecidas en los reglamentos estudiantil y académico.</v>
      </c>
      <c r="F14" s="200">
        <f>'Resumen rta estudiantes'!B41</f>
        <v>2.3952095808383235E-2</v>
      </c>
      <c r="G14" s="200">
        <f>'Resumen rta estudiantes'!C41</f>
        <v>5.9880239520958084E-2</v>
      </c>
      <c r="H14" s="200">
        <f>'Resumen rta estudiantes'!D41</f>
        <v>0.21556886227544911</v>
      </c>
      <c r="I14" s="200">
        <f>'Resumen rta estudiantes'!E41</f>
        <v>0.41317365269461076</v>
      </c>
      <c r="J14" s="200">
        <f>'Resumen rta estudiantes'!F41</f>
        <v>0.23952095808383234</v>
      </c>
      <c r="K14" s="200">
        <f>'Resumen rta estudiantes'!G41</f>
        <v>4.790419161676647E-2</v>
      </c>
      <c r="L14" s="197">
        <f t="shared" si="0"/>
        <v>1</v>
      </c>
    </row>
    <row r="15" spans="1:12" ht="36.75" customHeight="1" x14ac:dyDescent="0.25">
      <c r="A15" s="5" t="s">
        <v>22</v>
      </c>
      <c r="B15" s="171">
        <v>2</v>
      </c>
      <c r="C15" s="171">
        <v>7</v>
      </c>
      <c r="D15" s="132">
        <v>11</v>
      </c>
      <c r="E15" s="6" t="str">
        <f>'Resumen rta estudiantes'!A44</f>
        <v>Cuenta de 11. Conozco los procedimientos para hacer parte de los órganos de dirección de mi programa académico.</v>
      </c>
      <c r="F15" s="200">
        <f>'Resumen rta estudiantes'!B45</f>
        <v>0.24550898203592814</v>
      </c>
      <c r="G15" s="200">
        <f>'Resumen rta estudiantes'!C45</f>
        <v>0.1437125748502994</v>
      </c>
      <c r="H15" s="200">
        <f>'Resumen rta estudiantes'!D45</f>
        <v>0.22754491017964071</v>
      </c>
      <c r="I15" s="200">
        <f>'Resumen rta estudiantes'!E45</f>
        <v>0.25748502994011974</v>
      </c>
      <c r="J15" s="200">
        <f>'Resumen rta estudiantes'!F45</f>
        <v>7.7844311377245512E-2</v>
      </c>
      <c r="K15" s="200">
        <f>'Resumen rta estudiantes'!G45</f>
        <v>4.790419161676647E-2</v>
      </c>
      <c r="L15" s="197">
        <f t="shared" si="0"/>
        <v>1</v>
      </c>
    </row>
    <row r="16" spans="1:12" ht="24.75" customHeight="1" x14ac:dyDescent="0.25">
      <c r="A16" s="5" t="s">
        <v>22</v>
      </c>
      <c r="B16" s="171">
        <v>3</v>
      </c>
      <c r="C16" s="171">
        <v>8</v>
      </c>
      <c r="D16" s="132">
        <v>12</v>
      </c>
      <c r="E16" s="6" t="str">
        <f>'Resumen rta estudiantes'!A48</f>
        <v>Cuenta de 12. Conozco el proceso de selección y vinculación de los docentes.</v>
      </c>
      <c r="F16" s="200">
        <f>'Resumen rta estudiantes'!B49</f>
        <v>0.40718562874251496</v>
      </c>
      <c r="G16" s="200">
        <f>'Resumen rta estudiantes'!C49</f>
        <v>0.17365269461077845</v>
      </c>
      <c r="H16" s="200">
        <f>'Resumen rta estudiantes'!D49</f>
        <v>0.20958083832335328</v>
      </c>
      <c r="I16" s="200">
        <f>'Resumen rta estudiantes'!E49</f>
        <v>8.3832335329341312E-2</v>
      </c>
      <c r="J16" s="200">
        <f>'Resumen rta estudiantes'!F49</f>
        <v>3.5928143712574849E-2</v>
      </c>
      <c r="K16" s="200">
        <f>'Resumen rta estudiantes'!G49</f>
        <v>8.9820359281437126E-2</v>
      </c>
      <c r="L16" s="197">
        <f t="shared" si="0"/>
        <v>1</v>
      </c>
    </row>
    <row r="17" spans="1:12" ht="36.75" customHeight="1" x14ac:dyDescent="0.25">
      <c r="A17" s="5" t="s">
        <v>22</v>
      </c>
      <c r="B17" s="171">
        <v>3</v>
      </c>
      <c r="C17" s="171">
        <v>8</v>
      </c>
      <c r="D17" s="132">
        <v>13</v>
      </c>
      <c r="E17" s="6" t="str">
        <f>'Resumen rta estudiantes'!A52</f>
        <v>Cuenta de 13. Considero que la evaluación de docentes se utiliza para definir la permanencia de los docentes de mi programa académico.</v>
      </c>
      <c r="F17" s="200">
        <f>'Resumen rta estudiantes'!B53</f>
        <v>0.22754491017964071</v>
      </c>
      <c r="G17" s="200">
        <f>'Resumen rta estudiantes'!C53</f>
        <v>0.22754491017964071</v>
      </c>
      <c r="H17" s="200">
        <f>'Resumen rta estudiantes'!D53</f>
        <v>0.22155688622754491</v>
      </c>
      <c r="I17" s="200">
        <f>'Resumen rta estudiantes'!E53</f>
        <v>0.1437125748502994</v>
      </c>
      <c r="J17" s="200">
        <f>'Resumen rta estudiantes'!F53</f>
        <v>0.12574850299401197</v>
      </c>
      <c r="K17" s="200">
        <f>'Resumen rta estudiantes'!G53</f>
        <v>5.3892215568862277E-2</v>
      </c>
      <c r="L17" s="197">
        <f t="shared" si="0"/>
        <v>1</v>
      </c>
    </row>
    <row r="18" spans="1:12" ht="36" x14ac:dyDescent="0.25">
      <c r="A18" s="5" t="s">
        <v>22</v>
      </c>
      <c r="B18" s="171">
        <v>3</v>
      </c>
      <c r="C18" s="171">
        <v>10</v>
      </c>
      <c r="D18" s="132">
        <v>14</v>
      </c>
      <c r="E18" s="6" t="str">
        <f>'Resumen rta estudiantes'!A56</f>
        <v>Cuenta de 14. Considero que el número de docentes al servicio de mi programa académico es suficiente.</v>
      </c>
      <c r="F18" s="200">
        <f>'Resumen rta estudiantes'!B57</f>
        <v>0.12574850299401197</v>
      </c>
      <c r="G18" s="200">
        <f>'Resumen rta estudiantes'!C57</f>
        <v>0.19161676646706588</v>
      </c>
      <c r="H18" s="200">
        <f>'Resumen rta estudiantes'!D57</f>
        <v>0.24550898203592814</v>
      </c>
      <c r="I18" s="200">
        <f>'Resumen rta estudiantes'!E57</f>
        <v>0.26347305389221559</v>
      </c>
      <c r="J18" s="200">
        <f>'Resumen rta estudiantes'!F57</f>
        <v>0.15568862275449102</v>
      </c>
      <c r="K18" s="200">
        <f>'Resumen rta estudiantes'!G57</f>
        <v>1.7964071856287425E-2</v>
      </c>
      <c r="L18" s="197">
        <f t="shared" si="0"/>
        <v>1</v>
      </c>
    </row>
    <row r="19" spans="1:12" ht="38.25" customHeight="1" x14ac:dyDescent="0.25">
      <c r="A19" s="5" t="s">
        <v>22</v>
      </c>
      <c r="B19" s="171">
        <v>3</v>
      </c>
      <c r="C19" s="171">
        <v>10</v>
      </c>
      <c r="D19" s="132" t="s">
        <v>932</v>
      </c>
      <c r="E19" s="6" t="str">
        <f>'Resumen rta estudiantes'!A60</f>
        <v>Cuenta de 15.1. Considero que el tiempo dedicado por los docentes de mi programa académico es adecuado para: LA ENSEÑANZA.</v>
      </c>
      <c r="F19" s="200">
        <f>'Resumen rta estudiantes'!B61</f>
        <v>5.9880239520958084E-2</v>
      </c>
      <c r="G19" s="200">
        <f>'Resumen rta estudiantes'!C61</f>
        <v>7.1856287425149698E-2</v>
      </c>
      <c r="H19" s="200">
        <f>'Resumen rta estudiantes'!D61</f>
        <v>0.38323353293413176</v>
      </c>
      <c r="I19" s="200">
        <f>'Resumen rta estudiantes'!E61</f>
        <v>0.31736526946107785</v>
      </c>
      <c r="J19" s="200">
        <f>'Resumen rta estudiantes'!F61</f>
        <v>0.16167664670658682</v>
      </c>
      <c r="K19" s="200">
        <f>'Resumen rta estudiantes'!G61</f>
        <v>5.9880239520958087E-3</v>
      </c>
      <c r="L19" s="197">
        <f t="shared" si="0"/>
        <v>1</v>
      </c>
    </row>
    <row r="20" spans="1:12" ht="36.75" customHeight="1" x14ac:dyDescent="0.25">
      <c r="A20" s="5" t="s">
        <v>22</v>
      </c>
      <c r="B20" s="171">
        <v>3</v>
      </c>
      <c r="C20" s="171">
        <v>10</v>
      </c>
      <c r="D20" s="132" t="s">
        <v>933</v>
      </c>
      <c r="E20" s="6" t="str">
        <f>'Resumen rta estudiantes'!A64</f>
        <v>Cuenta de 15.2. Considero que el tiempo dedicado por los docentes de mi programa académico es adecuado para: LA INVESTIGACIÓN.</v>
      </c>
      <c r="F20" s="200">
        <f>'Resumen rta estudiantes'!B65</f>
        <v>0.12574850299401197</v>
      </c>
      <c r="G20" s="200">
        <f>'Resumen rta estudiantes'!C65</f>
        <v>0.1497005988023952</v>
      </c>
      <c r="H20" s="200">
        <f>'Resumen rta estudiantes'!D65</f>
        <v>0.3532934131736527</v>
      </c>
      <c r="I20" s="200">
        <f>'Resumen rta estudiantes'!E65</f>
        <v>0.25149700598802394</v>
      </c>
      <c r="J20" s="200">
        <f>'Resumen rta estudiantes'!F65</f>
        <v>8.9820359281437126E-2</v>
      </c>
      <c r="K20" s="200">
        <f>'Resumen rta estudiantes'!G65</f>
        <v>2.9940119760479042E-2</v>
      </c>
      <c r="L20" s="197">
        <f t="shared" si="0"/>
        <v>1</v>
      </c>
    </row>
    <row r="21" spans="1:12" ht="48.75" customHeight="1" x14ac:dyDescent="0.25">
      <c r="A21" s="5" t="s">
        <v>22</v>
      </c>
      <c r="B21" s="171">
        <v>3</v>
      </c>
      <c r="C21" s="171">
        <v>10</v>
      </c>
      <c r="D21" s="132" t="s">
        <v>934</v>
      </c>
      <c r="E21" s="6" t="str">
        <f>'Resumen rta estudiantes'!A68</f>
        <v>Cuenta de 15.3. Considero que el tiempo dedicado por los docentes de mi programa académico es adecuado para: LA PARTICIPACIÓN EN PROYECTOS DIRIGIDOS A LA COMUNIDAD.</v>
      </c>
      <c r="F21" s="200">
        <f>'Resumen rta estudiantes'!B69</f>
        <v>0.16766467065868262</v>
      </c>
      <c r="G21" s="200">
        <f>'Resumen rta estudiantes'!C69</f>
        <v>0.16766467065868262</v>
      </c>
      <c r="H21" s="200">
        <f>'Resumen rta estudiantes'!D69</f>
        <v>0.29940119760479039</v>
      </c>
      <c r="I21" s="200">
        <f>'Resumen rta estudiantes'!E69</f>
        <v>0.22155688622754491</v>
      </c>
      <c r="J21" s="200">
        <f>'Resumen rta estudiantes'!F69</f>
        <v>5.9880239520958084E-2</v>
      </c>
      <c r="K21" s="200">
        <f>'Resumen rta estudiantes'!G69</f>
        <v>8.3832335329341312E-2</v>
      </c>
      <c r="L21" s="197">
        <f t="shared" si="0"/>
        <v>0.99999999999999989</v>
      </c>
    </row>
    <row r="22" spans="1:12" ht="36.75" customHeight="1" x14ac:dyDescent="0.25">
      <c r="A22" s="5" t="s">
        <v>22</v>
      </c>
      <c r="B22" s="171">
        <v>4</v>
      </c>
      <c r="C22" s="171">
        <v>16</v>
      </c>
      <c r="D22" s="132">
        <v>16</v>
      </c>
      <c r="E22" s="6" t="str">
        <f>'Resumen rta estudiantes'!A72</f>
        <v>Cuenta de 16. El plan de estudios formulado en mi programa académico es coherente con las competencias que yo espero fortalecer.</v>
      </c>
      <c r="F22" s="200">
        <f>'Resumen rta estudiantes'!B73</f>
        <v>2.3952095808383235E-2</v>
      </c>
      <c r="G22" s="200">
        <f>'Resumen rta estudiantes'!C73</f>
        <v>4.1916167664670656E-2</v>
      </c>
      <c r="H22" s="200">
        <f>'Resumen rta estudiantes'!D73</f>
        <v>0.25149700598802394</v>
      </c>
      <c r="I22" s="200">
        <f>'Resumen rta estudiantes'!E73</f>
        <v>0.43712574850299402</v>
      </c>
      <c r="J22" s="200">
        <f>'Resumen rta estudiantes'!F73</f>
        <v>0.23952095808383234</v>
      </c>
      <c r="K22" s="200">
        <f>'Resumen rta estudiantes'!G73</f>
        <v>5.9880239520958087E-3</v>
      </c>
      <c r="L22" s="197">
        <f t="shared" si="0"/>
        <v>1</v>
      </c>
    </row>
    <row r="23" spans="1:12" ht="48" x14ac:dyDescent="0.25">
      <c r="A23" s="5" t="s">
        <v>22</v>
      </c>
      <c r="B23" s="171">
        <v>4</v>
      </c>
      <c r="C23" s="171">
        <v>16</v>
      </c>
      <c r="D23" s="132" t="s">
        <v>909</v>
      </c>
      <c r="E23" s="6" t="str">
        <f>'Resumen rta estudiantes'!A76</f>
        <v>Cuenta de 17.1. El programa académico al que pertenezco me brinda las posibilidades necesarias para: DESARROLLAR PROCESOS DE INVESTIGACIÓN.</v>
      </c>
      <c r="F23" s="200">
        <f>'Resumen rta estudiantes'!B77</f>
        <v>0.17365269461077845</v>
      </c>
      <c r="G23" s="200">
        <f>'Resumen rta estudiantes'!C77</f>
        <v>0.11976047904191617</v>
      </c>
      <c r="H23" s="200">
        <f>'Resumen rta estudiantes'!D77</f>
        <v>0.20359281437125748</v>
      </c>
      <c r="I23" s="200">
        <f>'Resumen rta estudiantes'!E77</f>
        <v>0.42514970059880242</v>
      </c>
      <c r="J23" s="200">
        <f>'Resumen rta estudiantes'!F77</f>
        <v>5.3892215568862277E-2</v>
      </c>
      <c r="K23" s="200">
        <f>'Resumen rta estudiantes'!G77</f>
        <v>2.3952095808383235E-2</v>
      </c>
      <c r="L23" s="197">
        <f t="shared" si="0"/>
        <v>0.99999999999999989</v>
      </c>
    </row>
    <row r="24" spans="1:12" ht="48" x14ac:dyDescent="0.25">
      <c r="A24" s="5" t="s">
        <v>22</v>
      </c>
      <c r="B24" s="171">
        <v>4</v>
      </c>
      <c r="C24" s="171">
        <v>16</v>
      </c>
      <c r="D24" s="132" t="s">
        <v>910</v>
      </c>
      <c r="E24" s="6" t="str">
        <f>'Resumen rta estudiantes'!A80</f>
        <v>Cuenta de 17.2. El programa académico al que pertenezco me brinda las posibilidades necesarias para: FORMAR UN PENSAMIENTO CRÍTICO Y ÉTICO.</v>
      </c>
      <c r="F24" s="200">
        <f>'Resumen rta estudiantes'!B81</f>
        <v>4.1916167664670656E-2</v>
      </c>
      <c r="G24" s="200">
        <f>'Resumen rta estudiantes'!C81</f>
        <v>2.3952095808383235E-2</v>
      </c>
      <c r="H24" s="200">
        <f>'Resumen rta estudiantes'!D81</f>
        <v>0.1497005988023952</v>
      </c>
      <c r="I24" s="200">
        <f>'Resumen rta estudiantes'!E81</f>
        <v>0.40718562874251496</v>
      </c>
      <c r="J24" s="200">
        <f>'Resumen rta estudiantes'!F81</f>
        <v>0.3712574850299401</v>
      </c>
      <c r="K24" s="200">
        <f>'Resumen rta estudiantes'!G81</f>
        <v>5.9880239520958087E-3</v>
      </c>
      <c r="L24" s="197">
        <f t="shared" si="0"/>
        <v>1</v>
      </c>
    </row>
    <row r="25" spans="1:12" ht="48.75" customHeight="1" x14ac:dyDescent="0.25">
      <c r="A25" s="5" t="s">
        <v>22</v>
      </c>
      <c r="B25" s="171">
        <v>4</v>
      </c>
      <c r="C25" s="171">
        <v>16</v>
      </c>
      <c r="D25" s="132" t="s">
        <v>911</v>
      </c>
      <c r="E25" s="6" t="str">
        <f>'Resumen rta estudiantes'!A84</f>
        <v>Cuenta de 17.3. El programa académico al que pertenezco me brinda las posibilidades necesarias para: GENERAR CONOCIMIENTO AL SERVICIO DE LA SOCIEDAD.</v>
      </c>
      <c r="F25" s="200">
        <f>'Resumen rta estudiantes'!B85</f>
        <v>2.9940119760479042E-2</v>
      </c>
      <c r="G25" s="200">
        <f>'Resumen rta estudiantes'!C85</f>
        <v>2.3952095808383235E-2</v>
      </c>
      <c r="H25" s="200">
        <f>'Resumen rta estudiantes'!D85</f>
        <v>0.16167664670658682</v>
      </c>
      <c r="I25" s="200">
        <f>'Resumen rta estudiantes'!E85</f>
        <v>0.44910179640718562</v>
      </c>
      <c r="J25" s="200">
        <f>'Resumen rta estudiantes'!F85</f>
        <v>0.32335329341317365</v>
      </c>
      <c r="K25" s="200">
        <f>'Resumen rta estudiantes'!G85</f>
        <v>1.1976047904191617E-2</v>
      </c>
      <c r="L25" s="197">
        <f t="shared" si="0"/>
        <v>1</v>
      </c>
    </row>
    <row r="26" spans="1:12" ht="48.75" customHeight="1" x14ac:dyDescent="0.25">
      <c r="A26" s="5" t="s">
        <v>22</v>
      </c>
      <c r="B26" s="171">
        <v>4</v>
      </c>
      <c r="C26" s="171">
        <v>16</v>
      </c>
      <c r="D26" s="132" t="s">
        <v>1194</v>
      </c>
      <c r="E26" s="6" t="str">
        <f>'Resumen rta estudiantes'!A88</f>
        <v>Cuenta de 17.4. El programa académico al que pertenezco me brinda las posibilidades necesarias para: SER PARTE ACTIVA Y PARTICIPATIVA EN LA CULTURA CIUDADANA.</v>
      </c>
      <c r="F26" s="200">
        <f>'Resumen rta estudiantes'!B89</f>
        <v>2.3952095808383235E-2</v>
      </c>
      <c r="G26" s="200">
        <f>'Resumen rta estudiantes'!C89</f>
        <v>6.5868263473053898E-2</v>
      </c>
      <c r="H26" s="200">
        <f>'Resumen rta estudiantes'!D89</f>
        <v>0.20359281437125748</v>
      </c>
      <c r="I26" s="200">
        <f>'Resumen rta estudiantes'!E89</f>
        <v>0.41317365269461076</v>
      </c>
      <c r="J26" s="200">
        <f>'Resumen rta estudiantes'!F89</f>
        <v>0.28143712574850299</v>
      </c>
      <c r="K26" s="200">
        <f>'Resumen rta estudiantes'!G89</f>
        <v>1.1976047904191617E-2</v>
      </c>
      <c r="L26" s="197">
        <f t="shared" si="0"/>
        <v>1</v>
      </c>
    </row>
    <row r="27" spans="1:12" ht="48.75" customHeight="1" x14ac:dyDescent="0.25">
      <c r="A27" s="5" t="s">
        <v>22</v>
      </c>
      <c r="B27" s="171">
        <v>4</v>
      </c>
      <c r="C27" s="171">
        <v>16</v>
      </c>
      <c r="D27" s="132" t="s">
        <v>1195</v>
      </c>
      <c r="E27" s="6" t="str">
        <f>'Resumen rta estudiantes'!A92</f>
        <v>Cuenta de 17.5. El programa académico al que pertenezco me brinda las posibilidades necesarias para: DESARROLLAR TEXTOS QUE ARGUMENTEN OPINIONES Y/O CONCEPTOS.</v>
      </c>
      <c r="F27" s="200">
        <f>'Resumen rta estudiantes'!B93</f>
        <v>2.3952095808383235E-2</v>
      </c>
      <c r="G27" s="200">
        <f>'Resumen rta estudiantes'!C93</f>
        <v>2.3952095808383235E-2</v>
      </c>
      <c r="H27" s="200">
        <f>'Resumen rta estudiantes'!D93</f>
        <v>0.23952095808383234</v>
      </c>
      <c r="I27" s="200">
        <f>'Resumen rta estudiantes'!E93</f>
        <v>0.46107784431137727</v>
      </c>
      <c r="J27" s="200">
        <f>'Resumen rta estudiantes'!F93</f>
        <v>0.24550898203592814</v>
      </c>
      <c r="K27" s="200">
        <f>'Resumen rta estudiantes'!G93</f>
        <v>5.9880239520958087E-3</v>
      </c>
      <c r="L27" s="197">
        <f t="shared" si="0"/>
        <v>1</v>
      </c>
    </row>
    <row r="28" spans="1:12" ht="36" x14ac:dyDescent="0.25">
      <c r="A28" s="5" t="s">
        <v>22</v>
      </c>
      <c r="B28" s="171">
        <v>4</v>
      </c>
      <c r="C28" s="171">
        <v>16</v>
      </c>
      <c r="D28" s="132">
        <v>18</v>
      </c>
      <c r="E28" s="6" t="str">
        <f>'Resumen rta estudiantes'!A96</f>
        <v xml:space="preserve">Cuenta de 18. El plan de estudios me permite cursar espacios académicos electivos en diversas áreas. </v>
      </c>
      <c r="F28" s="200">
        <f>'Resumen rta estudiantes'!B97</f>
        <v>0.10179640718562874</v>
      </c>
      <c r="G28" s="200">
        <f>'Resumen rta estudiantes'!C97</f>
        <v>0.1437125748502994</v>
      </c>
      <c r="H28" s="200">
        <f>'Resumen rta estudiantes'!D97</f>
        <v>0.27544910179640719</v>
      </c>
      <c r="I28" s="200">
        <f>'Resumen rta estudiantes'!E97</f>
        <v>0.28742514970059879</v>
      </c>
      <c r="J28" s="200">
        <f>'Resumen rta estudiantes'!F97</f>
        <v>0.16167664670658682</v>
      </c>
      <c r="K28" s="200">
        <f>'Resumen rta estudiantes'!G97</f>
        <v>2.9940119760479042E-2</v>
      </c>
      <c r="L28" s="197">
        <f t="shared" si="0"/>
        <v>1</v>
      </c>
    </row>
    <row r="29" spans="1:12" ht="24.75" customHeight="1" x14ac:dyDescent="0.25">
      <c r="A29" s="5" t="s">
        <v>22</v>
      </c>
      <c r="B29" s="171">
        <v>4</v>
      </c>
      <c r="C29" s="171">
        <v>16</v>
      </c>
      <c r="D29" s="132">
        <v>19</v>
      </c>
      <c r="E29" s="6" t="str">
        <f>'Resumen rta estudiantes'!A100</f>
        <v>Cuenta de 19. El menú de asignaturas electivas despierta en mi interés profesional y personal.</v>
      </c>
      <c r="F29" s="200">
        <f>'Resumen rta estudiantes'!B101</f>
        <v>8.3832335329341312E-2</v>
      </c>
      <c r="G29" s="200">
        <f>'Resumen rta estudiantes'!C101</f>
        <v>0.1437125748502994</v>
      </c>
      <c r="H29" s="200">
        <f>'Resumen rta estudiantes'!D101</f>
        <v>0.26946107784431139</v>
      </c>
      <c r="I29" s="200">
        <f>'Resumen rta estudiantes'!E101</f>
        <v>0.28143712574850299</v>
      </c>
      <c r="J29" s="200">
        <f>'Resumen rta estudiantes'!F101</f>
        <v>0.18562874251497005</v>
      </c>
      <c r="K29" s="200">
        <f>'Resumen rta estudiantes'!G101</f>
        <v>3.5928143712574849E-2</v>
      </c>
      <c r="L29" s="197">
        <f t="shared" si="0"/>
        <v>1</v>
      </c>
    </row>
    <row r="30" spans="1:12" ht="36.75" customHeight="1" x14ac:dyDescent="0.25">
      <c r="A30" s="5" t="s">
        <v>22</v>
      </c>
      <c r="B30" s="171">
        <v>4</v>
      </c>
      <c r="C30" s="171">
        <v>18</v>
      </c>
      <c r="D30" s="132">
        <v>20</v>
      </c>
      <c r="E30" s="6" t="str">
        <f>'Resumen rta estudiantes'!A104</f>
        <v>Cuenta de 20. En mi programa académico existe proyectos de investigación con participación de personas de distintas áreas del conocimiento.</v>
      </c>
      <c r="F30" s="200">
        <f>'Resumen rta estudiantes'!B105</f>
        <v>4.790419161676647E-2</v>
      </c>
      <c r="G30" s="200">
        <f>'Resumen rta estudiantes'!C105</f>
        <v>0.11377245508982035</v>
      </c>
      <c r="H30" s="200">
        <f>'Resumen rta estudiantes'!D105</f>
        <v>0.23952095808383234</v>
      </c>
      <c r="I30" s="200">
        <f>'Resumen rta estudiantes'!E105</f>
        <v>0.29341317365269459</v>
      </c>
      <c r="J30" s="200">
        <f>'Resumen rta estudiantes'!F105</f>
        <v>0.16167664670658682</v>
      </c>
      <c r="K30" s="200">
        <f>'Resumen rta estudiantes'!G105</f>
        <v>0.1437125748502994</v>
      </c>
      <c r="L30" s="197">
        <f t="shared" si="0"/>
        <v>1</v>
      </c>
    </row>
    <row r="31" spans="1:12" ht="36.75" customHeight="1" x14ac:dyDescent="0.25">
      <c r="A31" s="5" t="s">
        <v>22</v>
      </c>
      <c r="B31" s="171">
        <v>4</v>
      </c>
      <c r="C31" s="171">
        <v>18</v>
      </c>
      <c r="D31" s="132">
        <v>21</v>
      </c>
      <c r="E31" s="6" t="str">
        <f>'Resumen rta estudiantes'!A108</f>
        <v>Cuenta de 21. Los proyectos de grado pueden realizarse con intervención de estudiantes de diferentes programas académicos.</v>
      </c>
      <c r="F31" s="200">
        <f>'Resumen rta estudiantes'!B109</f>
        <v>5.9880239520958084E-2</v>
      </c>
      <c r="G31" s="200">
        <f>'Resumen rta estudiantes'!C109</f>
        <v>0.10179640718562874</v>
      </c>
      <c r="H31" s="200">
        <f>'Resumen rta estudiantes'!D109</f>
        <v>0.22155688622754491</v>
      </c>
      <c r="I31" s="200">
        <f>'Resumen rta estudiantes'!E109</f>
        <v>0.23353293413173654</v>
      </c>
      <c r="J31" s="200">
        <f>'Resumen rta estudiantes'!F109</f>
        <v>0.1377245508982036</v>
      </c>
      <c r="K31" s="200">
        <f>'Resumen rta estudiantes'!G109</f>
        <v>0.24550898203592814</v>
      </c>
      <c r="L31" s="197">
        <f t="shared" si="0"/>
        <v>1</v>
      </c>
    </row>
    <row r="32" spans="1:12" ht="24.75" customHeight="1" x14ac:dyDescent="0.25">
      <c r="A32" s="5" t="s">
        <v>22</v>
      </c>
      <c r="B32" s="171">
        <v>4</v>
      </c>
      <c r="C32" s="171">
        <v>17</v>
      </c>
      <c r="D32" s="132">
        <v>22</v>
      </c>
      <c r="E32" s="6" t="str">
        <f>'Resumen rta estudiantes'!A112</f>
        <v>Cuenta de 22. Puedo inscribir espacios académicos en otros programas académicos.</v>
      </c>
      <c r="F32" s="200">
        <f>'Resumen rta estudiantes'!B113</f>
        <v>5.9880239520958084E-2</v>
      </c>
      <c r="G32" s="200">
        <f>'Resumen rta estudiantes'!C113</f>
        <v>5.9880239520958084E-2</v>
      </c>
      <c r="H32" s="200">
        <f>'Resumen rta estudiantes'!D113</f>
        <v>0.1497005988023952</v>
      </c>
      <c r="I32" s="200">
        <f>'Resumen rta estudiantes'!E113</f>
        <v>0.3712574850299401</v>
      </c>
      <c r="J32" s="200">
        <f>'Resumen rta estudiantes'!F113</f>
        <v>0.29940119760479039</v>
      </c>
      <c r="K32" s="200">
        <f>'Resumen rta estudiantes'!G113</f>
        <v>5.9880239520958084E-2</v>
      </c>
      <c r="L32" s="197">
        <f t="shared" si="0"/>
        <v>1</v>
      </c>
    </row>
    <row r="33" spans="1:12" ht="36.75" customHeight="1" x14ac:dyDescent="0.25">
      <c r="A33" s="5" t="s">
        <v>22</v>
      </c>
      <c r="B33" s="171">
        <v>4</v>
      </c>
      <c r="C33" s="171">
        <v>17</v>
      </c>
      <c r="D33" s="132">
        <v>23</v>
      </c>
      <c r="E33" s="6" t="str">
        <f>'Resumen rta estudiantes'!A116</f>
        <v>Cuenta de 23. Puedo inscribir espacios académicos en otras Instituciones y homologarlas en mi programa académico.</v>
      </c>
      <c r="F33" s="200">
        <f>'Resumen rta estudiantes'!B117</f>
        <v>0.12574850299401197</v>
      </c>
      <c r="G33" s="200">
        <f>'Resumen rta estudiantes'!C117</f>
        <v>0.11976047904191617</v>
      </c>
      <c r="H33" s="200">
        <f>'Resumen rta estudiantes'!D117</f>
        <v>0.19760479041916168</v>
      </c>
      <c r="I33" s="200">
        <f>'Resumen rta estudiantes'!E117</f>
        <v>0.1377245508982036</v>
      </c>
      <c r="J33" s="200">
        <f>'Resumen rta estudiantes'!F117</f>
        <v>0.20359281437125748</v>
      </c>
      <c r="K33" s="200">
        <f>'Resumen rta estudiantes'!G117</f>
        <v>0.21556886227544911</v>
      </c>
      <c r="L33" s="197">
        <f t="shared" si="0"/>
        <v>1</v>
      </c>
    </row>
    <row r="34" spans="1:12" ht="36.75" customHeight="1" x14ac:dyDescent="0.25">
      <c r="A34" s="5" t="s">
        <v>22</v>
      </c>
      <c r="B34" s="171">
        <v>4</v>
      </c>
      <c r="C34" s="171">
        <v>17</v>
      </c>
      <c r="D34" s="132">
        <v>24</v>
      </c>
      <c r="E34" s="6" t="str">
        <f>'Resumen rta estudiantes'!A120</f>
        <v xml:space="preserve">Cuenta de 24. En mi programa académico existen espacios académicos en donde se inscriben estudiantes de diferentes programas. </v>
      </c>
      <c r="F34" s="200">
        <f>'Resumen rta estudiantes'!B121</f>
        <v>0.10179640718562874</v>
      </c>
      <c r="G34" s="200">
        <f>'Resumen rta estudiantes'!C121</f>
        <v>3.5928143712574849E-2</v>
      </c>
      <c r="H34" s="200">
        <f>'Resumen rta estudiantes'!D121</f>
        <v>0.16766467065868262</v>
      </c>
      <c r="I34" s="200">
        <f>'Resumen rta estudiantes'!E121</f>
        <v>0.3592814371257485</v>
      </c>
      <c r="J34" s="200">
        <f>'Resumen rta estudiantes'!F121</f>
        <v>0.26347305389221559</v>
      </c>
      <c r="K34" s="200">
        <f>'Resumen rta estudiantes'!G121</f>
        <v>7.1856287425149698E-2</v>
      </c>
      <c r="L34" s="197">
        <f t="shared" si="0"/>
        <v>1</v>
      </c>
    </row>
    <row r="35" spans="1:12" ht="60" x14ac:dyDescent="0.25">
      <c r="A35" s="5" t="s">
        <v>22</v>
      </c>
      <c r="B35" s="171">
        <v>4</v>
      </c>
      <c r="C35" s="171">
        <v>17</v>
      </c>
      <c r="D35" s="132">
        <v>25</v>
      </c>
      <c r="E35" s="6" t="str">
        <f>'Resumen rta estudiantes'!A124</f>
        <v>Cuenta de 25. En mi programa académico existen cursos de interés para los estudiantes de otros programas académicos de la Facultad Tecnológica y de la Universidad Distrital Francisco José de Caldas.</v>
      </c>
      <c r="F35" s="200">
        <f>'Resumen rta estudiantes'!B125</f>
        <v>6.5868263473053898E-2</v>
      </c>
      <c r="G35" s="200">
        <f>'Resumen rta estudiantes'!C125</f>
        <v>0.11976047904191617</v>
      </c>
      <c r="H35" s="200">
        <f>'Resumen rta estudiantes'!D125</f>
        <v>0.26347305389221559</v>
      </c>
      <c r="I35" s="200">
        <f>'Resumen rta estudiantes'!E125</f>
        <v>0.28742514970059879</v>
      </c>
      <c r="J35" s="200">
        <f>'Resumen rta estudiantes'!F125</f>
        <v>0.17365269461077845</v>
      </c>
      <c r="K35" s="200">
        <f>'Resumen rta estudiantes'!G125</f>
        <v>8.9820359281437126E-2</v>
      </c>
      <c r="L35" s="197">
        <f t="shared" si="0"/>
        <v>1</v>
      </c>
    </row>
    <row r="36" spans="1:12" ht="36.75" customHeight="1" x14ac:dyDescent="0.25">
      <c r="A36" s="5" t="s">
        <v>22</v>
      </c>
      <c r="B36" s="171">
        <v>4</v>
      </c>
      <c r="C36" s="171">
        <v>17</v>
      </c>
      <c r="D36" s="132">
        <v>26</v>
      </c>
      <c r="E36" s="6" t="str">
        <f>'Resumen rta estudiantes'!A128</f>
        <v xml:space="preserve">Cuenta de 26. Mi programa académico incentiva las actividades y proyectos extra clase que los estudiantes realizan. </v>
      </c>
      <c r="F36" s="200">
        <f>'Resumen rta estudiantes'!B129</f>
        <v>8.3832335329341312E-2</v>
      </c>
      <c r="G36" s="200">
        <f>'Resumen rta estudiantes'!C129</f>
        <v>0.1317365269461078</v>
      </c>
      <c r="H36" s="200">
        <f>'Resumen rta estudiantes'!D129</f>
        <v>0.28143712574850299</v>
      </c>
      <c r="I36" s="200">
        <f>'Resumen rta estudiantes'!E129</f>
        <v>0.32934131736526945</v>
      </c>
      <c r="J36" s="200">
        <f>'Resumen rta estudiantes'!F129</f>
        <v>0.15568862275449102</v>
      </c>
      <c r="K36" s="200">
        <f>'Resumen rta estudiantes'!G129</f>
        <v>1.7964071856287425E-2</v>
      </c>
      <c r="L36" s="197">
        <f t="shared" si="0"/>
        <v>1</v>
      </c>
    </row>
    <row r="37" spans="1:12" ht="48.75" customHeight="1" x14ac:dyDescent="0.25">
      <c r="A37" s="5" t="s">
        <v>22</v>
      </c>
      <c r="B37" s="171">
        <v>4</v>
      </c>
      <c r="C37" s="171">
        <v>19</v>
      </c>
      <c r="D37" s="132">
        <v>27</v>
      </c>
      <c r="E37" s="6" t="str">
        <f>'Resumen rta estudiantes'!A132</f>
        <v>Cuenta de 27. Las estrategias didácticas empleadas en mi programa académico me permiten adquirir los conocimientos característicos de la profesión que escogí.</v>
      </c>
      <c r="F37" s="200">
        <f>'Resumen rta estudiantes'!B133</f>
        <v>4.1916167664670656E-2</v>
      </c>
      <c r="G37" s="200">
        <f>'Resumen rta estudiantes'!C133</f>
        <v>9.580838323353294E-2</v>
      </c>
      <c r="H37" s="200">
        <f>'Resumen rta estudiantes'!D133</f>
        <v>0.23952095808383234</v>
      </c>
      <c r="I37" s="200">
        <f>'Resumen rta estudiantes'!E133</f>
        <v>0.3652694610778443</v>
      </c>
      <c r="J37" s="200">
        <f>'Resumen rta estudiantes'!F133</f>
        <v>0.25149700598802394</v>
      </c>
      <c r="K37" s="200">
        <f>'Resumen rta estudiantes'!G133</f>
        <v>5.9880239520958087E-3</v>
      </c>
      <c r="L37" s="197">
        <f t="shared" si="0"/>
        <v>1</v>
      </c>
    </row>
    <row r="38" spans="1:12" ht="36.75" customHeight="1" x14ac:dyDescent="0.25">
      <c r="A38" s="5" t="s">
        <v>22</v>
      </c>
      <c r="B38" s="171">
        <v>4</v>
      </c>
      <c r="C38" s="171">
        <v>19</v>
      </c>
      <c r="D38" s="132">
        <v>28</v>
      </c>
      <c r="E38" s="6" t="str">
        <f>'Resumen rta estudiantes'!A136</f>
        <v>Cuenta de 28. El plan de estudios de mi programa académico se desarrolla empleando estrategias didácticas diversas.</v>
      </c>
      <c r="F38" s="200">
        <f>'Resumen rta estudiantes'!B137</f>
        <v>5.3892215568862277E-2</v>
      </c>
      <c r="G38" s="200">
        <f>'Resumen rta estudiantes'!C137</f>
        <v>0.11976047904191617</v>
      </c>
      <c r="H38" s="200">
        <f>'Resumen rta estudiantes'!D137</f>
        <v>0.3712574850299401</v>
      </c>
      <c r="I38" s="200">
        <f>'Resumen rta estudiantes'!E137</f>
        <v>0.26946107784431139</v>
      </c>
      <c r="J38" s="200">
        <f>'Resumen rta estudiantes'!F137</f>
        <v>0.16766467065868262</v>
      </c>
      <c r="K38" s="200">
        <f>'Resumen rta estudiantes'!G137</f>
        <v>1.7964071856287425E-2</v>
      </c>
      <c r="L38" s="197">
        <f t="shared" si="0"/>
        <v>1</v>
      </c>
    </row>
    <row r="39" spans="1:12" ht="36.75" customHeight="1" x14ac:dyDescent="0.25">
      <c r="A39" s="5" t="s">
        <v>22</v>
      </c>
      <c r="B39" s="171">
        <v>4</v>
      </c>
      <c r="C39" s="171">
        <v>19</v>
      </c>
      <c r="D39" s="132">
        <v>29</v>
      </c>
      <c r="E39" s="6" t="str">
        <f>'Resumen rta estudiantes'!A140</f>
        <v>Cuenta de 29. Me siento a gusto con las estrategias de enseñanza utilizadas en mi programa académico.</v>
      </c>
      <c r="F39" s="200">
        <f>'Resumen rta estudiantes'!B141</f>
        <v>5.9880239520958084E-2</v>
      </c>
      <c r="G39" s="200">
        <f>'Resumen rta estudiantes'!C141</f>
        <v>0.11377245508982035</v>
      </c>
      <c r="H39" s="200">
        <f>'Resumen rta estudiantes'!D141</f>
        <v>0.29341317365269459</v>
      </c>
      <c r="I39" s="200">
        <f>'Resumen rta estudiantes'!E141</f>
        <v>0.39520958083832336</v>
      </c>
      <c r="J39" s="200">
        <f>'Resumen rta estudiantes'!F141</f>
        <v>0.12574850299401197</v>
      </c>
      <c r="K39" s="200">
        <f>'Resumen rta estudiantes'!G141</f>
        <v>1.1976047904191617E-2</v>
      </c>
      <c r="L39" s="197">
        <f t="shared" si="0"/>
        <v>0.99999999999999989</v>
      </c>
    </row>
    <row r="40" spans="1:12" ht="36.75" customHeight="1" x14ac:dyDescent="0.25">
      <c r="A40" s="5" t="s">
        <v>22</v>
      </c>
      <c r="B40" s="171">
        <v>4</v>
      </c>
      <c r="C40" s="171">
        <v>19</v>
      </c>
      <c r="D40" s="132">
        <v>30</v>
      </c>
      <c r="E40" s="6" t="str">
        <f>'Resumen rta estudiantes'!A144</f>
        <v>Cuenta de 30. Los docentes de mi programa académico cumplen con el contenido propuesto para los espacios académicos en cada semestre.</v>
      </c>
      <c r="F40" s="200">
        <f>'Resumen rta estudiantes'!B145</f>
        <v>4.1916167664670656E-2</v>
      </c>
      <c r="G40" s="200">
        <f>'Resumen rta estudiantes'!C145</f>
        <v>5.3892215568862277E-2</v>
      </c>
      <c r="H40" s="200">
        <f>'Resumen rta estudiantes'!D145</f>
        <v>0.24550898203592814</v>
      </c>
      <c r="I40" s="200">
        <f>'Resumen rta estudiantes'!E145</f>
        <v>0.45508982035928142</v>
      </c>
      <c r="J40" s="200">
        <f>'Resumen rta estudiantes'!F145</f>
        <v>0.20359281437125748</v>
      </c>
      <c r="K40" s="200">
        <f>'Resumen rta estudiantes'!G145</f>
        <v>0</v>
      </c>
      <c r="L40" s="197">
        <f t="shared" si="0"/>
        <v>1</v>
      </c>
    </row>
    <row r="41" spans="1:12" ht="36.75" customHeight="1" x14ac:dyDescent="0.25">
      <c r="A41" s="5" t="s">
        <v>22</v>
      </c>
      <c r="B41" s="171">
        <v>4</v>
      </c>
      <c r="C41" s="171">
        <v>19</v>
      </c>
      <c r="D41" s="132">
        <v>31</v>
      </c>
      <c r="E41" s="6" t="str">
        <f>'Resumen rta estudiantes'!A148</f>
        <v>Cuenta de 31. Me siento a gusto con las estrategias de enseñanza utilizadas en mi programa académico.</v>
      </c>
      <c r="F41" s="200">
        <f>'Resumen rta estudiantes'!B149</f>
        <v>5.3892215568862277E-2</v>
      </c>
      <c r="G41" s="200">
        <f>'Resumen rta estudiantes'!C149</f>
        <v>7.7844311377245512E-2</v>
      </c>
      <c r="H41" s="200">
        <f>'Resumen rta estudiantes'!D149</f>
        <v>0.3532934131736527</v>
      </c>
      <c r="I41" s="200">
        <f>'Resumen rta estudiantes'!E149</f>
        <v>0.3473053892215569</v>
      </c>
      <c r="J41" s="200">
        <f>'Resumen rta estudiantes'!F149</f>
        <v>0.16167664670658682</v>
      </c>
      <c r="K41" s="200">
        <f>'Resumen rta estudiantes'!G149</f>
        <v>5.9880239520958087E-3</v>
      </c>
      <c r="L41" s="197">
        <f t="shared" si="0"/>
        <v>1</v>
      </c>
    </row>
    <row r="42" spans="1:12" ht="36.75" customHeight="1" x14ac:dyDescent="0.25">
      <c r="A42" s="5" t="s">
        <v>22</v>
      </c>
      <c r="B42" s="171">
        <v>4</v>
      </c>
      <c r="C42" s="171" t="s">
        <v>27</v>
      </c>
      <c r="D42" s="132">
        <v>32</v>
      </c>
      <c r="E42" s="160" t="str">
        <f>'Resumen rta estudiantes'!A152</f>
        <v>Cuenta de 32. Conozco las diferencias entre los programas de formación en ingeniería por ciclos y los programas de ingeniería tradicional.</v>
      </c>
      <c r="F42" s="200">
        <f>'Resumen rta estudiantes'!B153</f>
        <v>5.9880239520958084E-2</v>
      </c>
      <c r="G42" s="200">
        <f>'Resumen rta estudiantes'!C153</f>
        <v>4.1916167664670656E-2</v>
      </c>
      <c r="H42" s="200">
        <f>'Resumen rta estudiantes'!D153</f>
        <v>0.15568862275449102</v>
      </c>
      <c r="I42" s="200">
        <f>'Resumen rta estudiantes'!E153</f>
        <v>0.31736526946107785</v>
      </c>
      <c r="J42" s="200">
        <f>'Resumen rta estudiantes'!F153</f>
        <v>0.3652694610778443</v>
      </c>
      <c r="K42" s="200">
        <f>'Resumen rta estudiantes'!G153</f>
        <v>5.9880239520958084E-2</v>
      </c>
      <c r="L42" s="197">
        <f t="shared" si="0"/>
        <v>1</v>
      </c>
    </row>
    <row r="43" spans="1:12" ht="36.75" customHeight="1" x14ac:dyDescent="0.25">
      <c r="A43" s="5" t="s">
        <v>22</v>
      </c>
      <c r="B43" s="171">
        <v>4</v>
      </c>
      <c r="C43" s="171" t="s">
        <v>27</v>
      </c>
      <c r="D43" s="132">
        <v>33</v>
      </c>
      <c r="E43" s="160" t="str">
        <f>'Resumen rta estudiantes'!A156</f>
        <v>Cuenta de 33. Tengo claro qué es y para qué sirve el componente propedéutico en un programa de ingeniería por ciclos.</v>
      </c>
      <c r="F43" s="200">
        <f>'Resumen rta estudiantes'!B157</f>
        <v>4.1916167664670656E-2</v>
      </c>
      <c r="G43" s="200">
        <f>'Resumen rta estudiantes'!C157</f>
        <v>5.3892215568862277E-2</v>
      </c>
      <c r="H43" s="200">
        <f>'Resumen rta estudiantes'!D157</f>
        <v>0.18562874251497005</v>
      </c>
      <c r="I43" s="200">
        <f>'Resumen rta estudiantes'!E157</f>
        <v>0.32335329341317365</v>
      </c>
      <c r="J43" s="200">
        <f>'Resumen rta estudiantes'!F157</f>
        <v>0.3592814371257485</v>
      </c>
      <c r="K43" s="200">
        <f>'Resumen rta estudiantes'!G157</f>
        <v>3.5928143712574849E-2</v>
      </c>
      <c r="L43" s="197">
        <f t="shared" si="0"/>
        <v>0.99999999999999989</v>
      </c>
    </row>
    <row r="44" spans="1:12" ht="36.75" customHeight="1" x14ac:dyDescent="0.25">
      <c r="A44" s="5" t="s">
        <v>22</v>
      </c>
      <c r="B44" s="171">
        <v>4</v>
      </c>
      <c r="C44" s="171" t="s">
        <v>27</v>
      </c>
      <c r="D44" s="132">
        <v>34</v>
      </c>
      <c r="E44" s="6" t="str">
        <f>'Resumen rta estudiantes'!A160</f>
        <v>Cuenta de 34. Considero que ser tecnólogo me brinda oportunidades para vincularme en el mercado laboral.</v>
      </c>
      <c r="F44" s="200">
        <f>'Resumen rta estudiantes'!B161</f>
        <v>5.9880239520958087E-3</v>
      </c>
      <c r="G44" s="200">
        <f>'Resumen rta estudiantes'!C161</f>
        <v>2.3952095808383235E-2</v>
      </c>
      <c r="H44" s="200">
        <f>'Resumen rta estudiantes'!D161</f>
        <v>8.9820359281437126E-2</v>
      </c>
      <c r="I44" s="200">
        <f>'Resumen rta estudiantes'!E161</f>
        <v>0.38922155688622756</v>
      </c>
      <c r="J44" s="200">
        <f>'Resumen rta estudiantes'!F161</f>
        <v>0.49101796407185627</v>
      </c>
      <c r="K44" s="200">
        <f>'Resumen rta estudiantes'!G161</f>
        <v>0</v>
      </c>
      <c r="L44" s="197">
        <f t="shared" si="0"/>
        <v>1</v>
      </c>
    </row>
    <row r="45" spans="1:12" ht="24.75" customHeight="1" x14ac:dyDescent="0.25">
      <c r="A45" s="5" t="s">
        <v>22</v>
      </c>
      <c r="B45" s="171">
        <v>4</v>
      </c>
      <c r="C45" s="171" t="s">
        <v>26</v>
      </c>
      <c r="D45" s="132">
        <v>35</v>
      </c>
      <c r="E45" s="160" t="str">
        <f>'Resumen rta estudiantes'!A164</f>
        <v xml:space="preserve">Cuenta de 35. Ser ingeniero mejora las condiciones laborales del tecnólogo. </v>
      </c>
      <c r="F45" s="200">
        <f>'Resumen rta estudiantes'!B165</f>
        <v>5.9880239520958087E-3</v>
      </c>
      <c r="G45" s="200">
        <f>'Resumen rta estudiantes'!C165</f>
        <v>5.9880239520958087E-3</v>
      </c>
      <c r="H45" s="200">
        <f>'Resumen rta estudiantes'!D165</f>
        <v>0.10778443113772455</v>
      </c>
      <c r="I45" s="200">
        <f>'Resumen rta estudiantes'!E165</f>
        <v>0.24550898203592814</v>
      </c>
      <c r="J45" s="200">
        <f>'Resumen rta estudiantes'!F165</f>
        <v>0.6107784431137725</v>
      </c>
      <c r="K45" s="200">
        <f>'Resumen rta estudiantes'!G165</f>
        <v>2.3952095808383235E-2</v>
      </c>
      <c r="L45" s="197">
        <f t="shared" si="0"/>
        <v>1</v>
      </c>
    </row>
    <row r="46" spans="1:12" ht="36" x14ac:dyDescent="0.25">
      <c r="A46" s="5" t="s">
        <v>22</v>
      </c>
      <c r="B46" s="171">
        <v>4</v>
      </c>
      <c r="C46" s="171" t="s">
        <v>26</v>
      </c>
      <c r="D46" s="132">
        <v>36</v>
      </c>
      <c r="E46" s="6" t="str">
        <f>'Resumen rta estudiantes'!A168</f>
        <v xml:space="preserve">Cuenta de 36. Mi proyecto de vida me motiva o me motivó a continuar con mis estudios de ingeniería. </v>
      </c>
      <c r="F46" s="200">
        <f>'Resumen rta estudiantes'!B169</f>
        <v>5.9880239520958087E-3</v>
      </c>
      <c r="G46" s="200">
        <f>'Resumen rta estudiantes'!C169</f>
        <v>1.1976047904191617E-2</v>
      </c>
      <c r="H46" s="200">
        <f>'Resumen rta estudiantes'!D169</f>
        <v>5.9880239520958084E-2</v>
      </c>
      <c r="I46" s="200">
        <f>'Resumen rta estudiantes'!E169</f>
        <v>0.22754491017964071</v>
      </c>
      <c r="J46" s="200">
        <f>'Resumen rta estudiantes'!F169</f>
        <v>0.67664670658682635</v>
      </c>
      <c r="K46" s="200">
        <f>'Resumen rta estudiantes'!G169</f>
        <v>1.7964071856287425E-2</v>
      </c>
      <c r="L46" s="197">
        <f t="shared" si="0"/>
        <v>1</v>
      </c>
    </row>
    <row r="47" spans="1:12" ht="36.75" customHeight="1" x14ac:dyDescent="0.25">
      <c r="A47" s="5" t="s">
        <v>22</v>
      </c>
      <c r="B47" s="171">
        <v>4</v>
      </c>
      <c r="C47" s="171" t="s">
        <v>26</v>
      </c>
      <c r="D47" s="132">
        <v>37</v>
      </c>
      <c r="E47" s="6" t="str">
        <f>'Resumen rta estudiantes'!A172</f>
        <v xml:space="preserve">Cuenta de 37. Considero o consideré atractivo la posibilidad de cursar una ingeniería en otra área del conocimiento. </v>
      </c>
      <c r="F47" s="200">
        <f>'Resumen rta estudiantes'!B173</f>
        <v>8.9820359281437126E-2</v>
      </c>
      <c r="G47" s="200">
        <f>'Resumen rta estudiantes'!C173</f>
        <v>8.3832335329341312E-2</v>
      </c>
      <c r="H47" s="200">
        <f>'Resumen rta estudiantes'!D173</f>
        <v>0.1497005988023952</v>
      </c>
      <c r="I47" s="200">
        <f>'Resumen rta estudiantes'!E173</f>
        <v>0.32335329341317365</v>
      </c>
      <c r="J47" s="200">
        <f>'Resumen rta estudiantes'!F173</f>
        <v>0.3413173652694611</v>
      </c>
      <c r="K47" s="200">
        <f>'Resumen rta estudiantes'!G173</f>
        <v>1.1976047904191617E-2</v>
      </c>
      <c r="L47" s="197">
        <f t="shared" si="0"/>
        <v>1</v>
      </c>
    </row>
    <row r="48" spans="1:12" ht="36.75" customHeight="1" x14ac:dyDescent="0.25">
      <c r="A48" s="5" t="s">
        <v>22</v>
      </c>
      <c r="B48" s="171">
        <v>4</v>
      </c>
      <c r="C48" s="171">
        <v>20</v>
      </c>
      <c r="D48" s="132">
        <v>38</v>
      </c>
      <c r="E48" s="6" t="str">
        <f>'Resumen rta estudiantes'!A176</f>
        <v>Cuenta de 38. Las evaluaciones practicadas en los diferentes espacios académicos son adecuadas e imparciales.</v>
      </c>
      <c r="F48" s="200">
        <f>'Resumen rta estudiantes'!B177</f>
        <v>6.5868263473053898E-2</v>
      </c>
      <c r="G48" s="200">
        <f>'Resumen rta estudiantes'!C177</f>
        <v>7.7844311377245512E-2</v>
      </c>
      <c r="H48" s="200">
        <f>'Resumen rta estudiantes'!D177</f>
        <v>0.29341317365269459</v>
      </c>
      <c r="I48" s="200">
        <f>'Resumen rta estudiantes'!E177</f>
        <v>0.40718562874251496</v>
      </c>
      <c r="J48" s="200">
        <f>'Resumen rta estudiantes'!F177</f>
        <v>0.1377245508982036</v>
      </c>
      <c r="K48" s="200">
        <f>'Resumen rta estudiantes'!G177</f>
        <v>1.7964071856287425E-2</v>
      </c>
      <c r="L48" s="197">
        <f t="shared" si="0"/>
        <v>1</v>
      </c>
    </row>
    <row r="49" spans="1:12" ht="24.75" customHeight="1" x14ac:dyDescent="0.25">
      <c r="A49" s="5" t="s">
        <v>22</v>
      </c>
      <c r="B49" s="171">
        <v>4</v>
      </c>
      <c r="C49" s="171">
        <v>20</v>
      </c>
      <c r="D49" s="132">
        <v>39</v>
      </c>
      <c r="E49" s="6" t="str">
        <f>'Resumen rta estudiantes'!A180</f>
        <v>Cuenta de 39. Las reglas de evaluación están claramente definidas en el estatuto estudiantil.</v>
      </c>
      <c r="F49" s="200">
        <f>'Resumen rta estudiantes'!B181</f>
        <v>2.9940119760479042E-2</v>
      </c>
      <c r="G49" s="200">
        <f>'Resumen rta estudiantes'!C181</f>
        <v>5.3892215568862277E-2</v>
      </c>
      <c r="H49" s="200">
        <f>'Resumen rta estudiantes'!D181</f>
        <v>0.19760479041916168</v>
      </c>
      <c r="I49" s="200">
        <f>'Resumen rta estudiantes'!E181</f>
        <v>0.42514970059880242</v>
      </c>
      <c r="J49" s="200">
        <f>'Resumen rta estudiantes'!F181</f>
        <v>0.21556886227544911</v>
      </c>
      <c r="K49" s="200">
        <f>'Resumen rta estudiantes'!G181</f>
        <v>7.7844311377245512E-2</v>
      </c>
      <c r="L49" s="197">
        <f t="shared" si="0"/>
        <v>1</v>
      </c>
    </row>
    <row r="50" spans="1:12" ht="36.75" customHeight="1" x14ac:dyDescent="0.25">
      <c r="A50" s="5" t="s">
        <v>22</v>
      </c>
      <c r="B50" s="171">
        <v>4</v>
      </c>
      <c r="C50" s="171">
        <v>21</v>
      </c>
      <c r="D50" s="132">
        <v>40</v>
      </c>
      <c r="E50" s="6" t="str">
        <f>'Resumen rta estudiantes'!A184</f>
        <v>Cuenta de 40. Los temas de los trabajos desarrollados en los espacios académicos despiertan mi interés personal y profesional.</v>
      </c>
      <c r="F50" s="200">
        <f>'Resumen rta estudiantes'!B185</f>
        <v>1.7964071856287425E-2</v>
      </c>
      <c r="G50" s="200">
        <f>'Resumen rta estudiantes'!C185</f>
        <v>3.5928143712574849E-2</v>
      </c>
      <c r="H50" s="200">
        <f>'Resumen rta estudiantes'!D185</f>
        <v>0.20359281437125748</v>
      </c>
      <c r="I50" s="200">
        <f>'Resumen rta estudiantes'!E185</f>
        <v>0.45508982035928142</v>
      </c>
      <c r="J50" s="200">
        <f>'Resumen rta estudiantes'!F185</f>
        <v>0.28143712574850299</v>
      </c>
      <c r="K50" s="200">
        <f>'Resumen rta estudiantes'!G185</f>
        <v>5.9880239520958087E-3</v>
      </c>
      <c r="L50" s="197">
        <f t="shared" si="0"/>
        <v>1</v>
      </c>
    </row>
    <row r="51" spans="1:12" ht="36.75" customHeight="1" x14ac:dyDescent="0.25">
      <c r="A51" s="5" t="s">
        <v>22</v>
      </c>
      <c r="B51" s="171">
        <v>4</v>
      </c>
      <c r="C51" s="171">
        <v>21</v>
      </c>
      <c r="D51" s="132">
        <v>41</v>
      </c>
      <c r="E51" s="6" t="str">
        <f>'Resumen rta estudiantes'!A188</f>
        <v>Cuenta de 41. Los objetivos de cada uno de los espacios académicos son coherentes con los trabajos de aula solicitados por los docentes.</v>
      </c>
      <c r="F51" s="200">
        <f>'Resumen rta estudiantes'!B189</f>
        <v>3.5928143712574849E-2</v>
      </c>
      <c r="G51" s="200">
        <f>'Resumen rta estudiantes'!C189</f>
        <v>4.790419161676647E-2</v>
      </c>
      <c r="H51" s="200">
        <f>'Resumen rta estudiantes'!D189</f>
        <v>0.20958083832335328</v>
      </c>
      <c r="I51" s="200">
        <f>'Resumen rta estudiantes'!E189</f>
        <v>0.52095808383233533</v>
      </c>
      <c r="J51" s="200">
        <f>'Resumen rta estudiantes'!F189</f>
        <v>0.17964071856287425</v>
      </c>
      <c r="K51" s="200">
        <f>'Resumen rta estudiantes'!G189</f>
        <v>5.9880239520958087E-3</v>
      </c>
      <c r="L51" s="197">
        <f t="shared" si="0"/>
        <v>1</v>
      </c>
    </row>
    <row r="52" spans="1:12" ht="36.75" customHeight="1" x14ac:dyDescent="0.25">
      <c r="A52" s="5" t="s">
        <v>22</v>
      </c>
      <c r="B52" s="171">
        <v>4</v>
      </c>
      <c r="C52" s="171">
        <v>22</v>
      </c>
      <c r="D52" s="132">
        <v>42</v>
      </c>
      <c r="E52" s="6" t="str">
        <f>'Resumen rta estudiantes'!A192</f>
        <v>Cuenta de 42. Conozco los procesos para la evaluación periódica de la pertinencia y calidad del programa académico al cual pertenezco.</v>
      </c>
      <c r="F52" s="200">
        <f>'Resumen rta estudiantes'!B193</f>
        <v>0.10778443113772455</v>
      </c>
      <c r="G52" s="200">
        <f>'Resumen rta estudiantes'!C193</f>
        <v>5.3892215568862277E-2</v>
      </c>
      <c r="H52" s="200">
        <f>'Resumen rta estudiantes'!D193</f>
        <v>0.22155688622754491</v>
      </c>
      <c r="I52" s="200">
        <f>'Resumen rta estudiantes'!E193</f>
        <v>0.3413173652694611</v>
      </c>
      <c r="J52" s="200">
        <f>'Resumen rta estudiantes'!F193</f>
        <v>0.17365269461077845</v>
      </c>
      <c r="K52" s="200">
        <f>'Resumen rta estudiantes'!G193</f>
        <v>0.10179640718562874</v>
      </c>
      <c r="L52" s="197">
        <f t="shared" si="0"/>
        <v>1</v>
      </c>
    </row>
    <row r="53" spans="1:12" ht="36.75" customHeight="1" x14ac:dyDescent="0.25">
      <c r="A53" s="5" t="s">
        <v>22</v>
      </c>
      <c r="B53" s="171">
        <v>4</v>
      </c>
      <c r="C53" s="171">
        <v>22</v>
      </c>
      <c r="D53" s="132">
        <v>43</v>
      </c>
      <c r="E53" s="6" t="str">
        <f>'Resumen rta estudiantes'!A196</f>
        <v>Cuenta de 43. He participado en procesos para la evaluación periódica de la pertinencia y calidad del programa académico al cual pertenezco.</v>
      </c>
      <c r="F53" s="200">
        <f>'Resumen rta estudiantes'!B197</f>
        <v>0.17365269461077845</v>
      </c>
      <c r="G53" s="200">
        <f>'Resumen rta estudiantes'!C197</f>
        <v>9.580838323353294E-2</v>
      </c>
      <c r="H53" s="200">
        <f>'Resumen rta estudiantes'!D197</f>
        <v>0.25748502994011974</v>
      </c>
      <c r="I53" s="200">
        <f>'Resumen rta estudiantes'!E197</f>
        <v>0.25149700598802394</v>
      </c>
      <c r="J53" s="200">
        <f>'Resumen rta estudiantes'!F197</f>
        <v>0.10778443113772455</v>
      </c>
      <c r="K53" s="200">
        <f>'Resumen rta estudiantes'!G197</f>
        <v>0.11377245508982035</v>
      </c>
      <c r="L53" s="197">
        <f t="shared" si="0"/>
        <v>0.99999999999999989</v>
      </c>
    </row>
    <row r="54" spans="1:12" ht="36" x14ac:dyDescent="0.25">
      <c r="A54" s="5" t="s">
        <v>22</v>
      </c>
      <c r="B54" s="171">
        <v>4</v>
      </c>
      <c r="C54" s="171">
        <v>22</v>
      </c>
      <c r="D54" s="132">
        <v>44</v>
      </c>
      <c r="E54" s="6" t="str">
        <f>'Resumen rta estudiantes'!A200</f>
        <v>Cuenta de 44. Puedo identificar mejoras realizadas  en mi programa académico durante el último año.</v>
      </c>
      <c r="F54" s="200">
        <f>'Resumen rta estudiantes'!B201</f>
        <v>0.11377245508982035</v>
      </c>
      <c r="G54" s="200">
        <f>'Resumen rta estudiantes'!C201</f>
        <v>0.11976047904191617</v>
      </c>
      <c r="H54" s="200">
        <f>'Resumen rta estudiantes'!D201</f>
        <v>0.26347305389221559</v>
      </c>
      <c r="I54" s="200">
        <f>'Resumen rta estudiantes'!E201</f>
        <v>0.19760479041916168</v>
      </c>
      <c r="J54" s="200">
        <f>'Resumen rta estudiantes'!F201</f>
        <v>0.1497005988023952</v>
      </c>
      <c r="K54" s="200">
        <f>'Resumen rta estudiantes'!G201</f>
        <v>0.15568862275449102</v>
      </c>
      <c r="L54" s="197">
        <f t="shared" si="0"/>
        <v>1</v>
      </c>
    </row>
    <row r="55" spans="1:12" ht="36" x14ac:dyDescent="0.25">
      <c r="A55" s="5" t="s">
        <v>22</v>
      </c>
      <c r="B55" s="171">
        <v>4</v>
      </c>
      <c r="C55" s="171">
        <v>23</v>
      </c>
      <c r="D55" s="132">
        <v>45</v>
      </c>
      <c r="E55" s="6" t="str">
        <f>'Resumen rta estudiantes'!A204</f>
        <v>Cuenta de 45. Conozco proyectos dirigidos a la comunidad y liderados por mi programa académico.</v>
      </c>
      <c r="F55" s="200">
        <f>'Resumen rta estudiantes'!B205</f>
        <v>0.22754491017964071</v>
      </c>
      <c r="G55" s="200">
        <f>'Resumen rta estudiantes'!C205</f>
        <v>0.1437125748502994</v>
      </c>
      <c r="H55" s="200">
        <f>'Resumen rta estudiantes'!D205</f>
        <v>0.20958083832335328</v>
      </c>
      <c r="I55" s="200">
        <f>'Resumen rta estudiantes'!E205</f>
        <v>0.16766467065868262</v>
      </c>
      <c r="J55" s="200">
        <f>'Resumen rta estudiantes'!F205</f>
        <v>8.9820359281437126E-2</v>
      </c>
      <c r="K55" s="200">
        <f>'Resumen rta estudiantes'!G205</f>
        <v>0.16167664670658682</v>
      </c>
      <c r="L55" s="197">
        <f t="shared" si="0"/>
        <v>1</v>
      </c>
    </row>
    <row r="56" spans="1:12" ht="36.75" customHeight="1" x14ac:dyDescent="0.25">
      <c r="A56" s="5" t="s">
        <v>22</v>
      </c>
      <c r="B56" s="171">
        <v>4</v>
      </c>
      <c r="C56" s="171">
        <v>23</v>
      </c>
      <c r="D56" s="132">
        <v>46</v>
      </c>
      <c r="E56" s="6" t="str">
        <f>'Resumen rta estudiantes'!A208</f>
        <v>Cuenta de 46. He participado en proyectos dirigidos a la comunidad y liderados por el programa académico.</v>
      </c>
      <c r="F56" s="200">
        <f>'Resumen rta estudiantes'!B209</f>
        <v>0.45508982035928142</v>
      </c>
      <c r="G56" s="200">
        <f>'Resumen rta estudiantes'!C209</f>
        <v>0.16167664670658682</v>
      </c>
      <c r="H56" s="200">
        <f>'Resumen rta estudiantes'!D209</f>
        <v>0.1497005988023952</v>
      </c>
      <c r="I56" s="200">
        <f>'Resumen rta estudiantes'!E209</f>
        <v>0.1437125748502994</v>
      </c>
      <c r="J56" s="200">
        <f>'Resumen rta estudiantes'!F209</f>
        <v>1.7964071856287425E-2</v>
      </c>
      <c r="K56" s="200">
        <f>'Resumen rta estudiantes'!G209</f>
        <v>7.1856287425149698E-2</v>
      </c>
      <c r="L56" s="197">
        <f t="shared" si="0"/>
        <v>1</v>
      </c>
    </row>
    <row r="57" spans="1:12" ht="24.75" customHeight="1" x14ac:dyDescent="0.25">
      <c r="A57" s="5" t="s">
        <v>22</v>
      </c>
      <c r="B57" s="171">
        <v>4</v>
      </c>
      <c r="C57" s="171">
        <v>23</v>
      </c>
      <c r="D57" s="132">
        <v>47</v>
      </c>
      <c r="E57" s="6" t="str">
        <f>'Resumen rta estudiantes'!A212</f>
        <v>Cuenta de 47. Desde mi programa académico se ayuda a resolver problemas de la comunidad.</v>
      </c>
      <c r="F57" s="200">
        <f>'Resumen rta estudiantes'!B213</f>
        <v>0.11976047904191617</v>
      </c>
      <c r="G57" s="200">
        <f>'Resumen rta estudiantes'!C213</f>
        <v>8.9820359281437126E-2</v>
      </c>
      <c r="H57" s="200">
        <f>'Resumen rta estudiantes'!D213</f>
        <v>0.22754491017964071</v>
      </c>
      <c r="I57" s="200">
        <f>'Resumen rta estudiantes'!E213</f>
        <v>0.26946107784431139</v>
      </c>
      <c r="J57" s="200">
        <f>'Resumen rta estudiantes'!F213</f>
        <v>0.19161676646706588</v>
      </c>
      <c r="K57" s="200">
        <f>'Resumen rta estudiantes'!G213</f>
        <v>0.10179640718562874</v>
      </c>
      <c r="L57" s="197">
        <f t="shared" si="0"/>
        <v>1</v>
      </c>
    </row>
    <row r="58" spans="1:12" ht="24.75" customHeight="1" x14ac:dyDescent="0.25">
      <c r="A58" s="5" t="s">
        <v>22</v>
      </c>
      <c r="B58" s="171">
        <v>4</v>
      </c>
      <c r="C58" s="171">
        <v>24</v>
      </c>
      <c r="D58" s="132" t="s">
        <v>1196</v>
      </c>
      <c r="E58" s="6" t="str">
        <f>'Resumen rta estudiantes'!A216</f>
        <v>Cuenta de 48.1. Considero que el material bibliográfico es: SUFICIENTE.</v>
      </c>
      <c r="F58" s="200">
        <f>'Resumen rta estudiantes'!B217</f>
        <v>0.10778443113772455</v>
      </c>
      <c r="G58" s="200">
        <f>'Resumen rta estudiantes'!C217</f>
        <v>0.10179640718562874</v>
      </c>
      <c r="H58" s="200">
        <f>'Resumen rta estudiantes'!D217</f>
        <v>0.26946107784431139</v>
      </c>
      <c r="I58" s="200">
        <f>'Resumen rta estudiantes'!E217</f>
        <v>0.32335329341317365</v>
      </c>
      <c r="J58" s="200">
        <f>'Resumen rta estudiantes'!F217</f>
        <v>0.1497005988023952</v>
      </c>
      <c r="K58" s="200">
        <f>'Resumen rta estudiantes'!G217</f>
        <v>4.790419161676647E-2</v>
      </c>
      <c r="L58" s="197">
        <f t="shared" si="0"/>
        <v>1</v>
      </c>
    </row>
    <row r="59" spans="1:12" ht="24.75" customHeight="1" x14ac:dyDescent="0.25">
      <c r="A59" s="5" t="s">
        <v>22</v>
      </c>
      <c r="B59" s="171">
        <v>4</v>
      </c>
      <c r="C59" s="171">
        <v>24</v>
      </c>
      <c r="D59" s="132" t="s">
        <v>1197</v>
      </c>
      <c r="E59" s="6" t="str">
        <f>'Resumen rta estudiantes'!A220</f>
        <v>Cuenta de 48.2. Considero que el material bibliográfico es: ADECUADO.</v>
      </c>
      <c r="F59" s="200">
        <f>'Resumen rta estudiantes'!B221</f>
        <v>5.9880239520958084E-2</v>
      </c>
      <c r="G59" s="200">
        <f>'Resumen rta estudiantes'!C221</f>
        <v>4.790419161676647E-2</v>
      </c>
      <c r="H59" s="200">
        <f>'Resumen rta estudiantes'!D221</f>
        <v>0.29940119760479039</v>
      </c>
      <c r="I59" s="200">
        <f>'Resumen rta estudiantes'!E221</f>
        <v>0.3772455089820359</v>
      </c>
      <c r="J59" s="200">
        <f>'Resumen rta estudiantes'!F221</f>
        <v>0.17964071856287425</v>
      </c>
      <c r="K59" s="200">
        <f>'Resumen rta estudiantes'!G221</f>
        <v>3.5928143712574849E-2</v>
      </c>
      <c r="L59" s="197">
        <f t="shared" si="0"/>
        <v>0.99999999999999989</v>
      </c>
    </row>
    <row r="60" spans="1:12" ht="24.75" customHeight="1" x14ac:dyDescent="0.25">
      <c r="A60" s="5" t="s">
        <v>22</v>
      </c>
      <c r="B60" s="171">
        <v>4</v>
      </c>
      <c r="C60" s="171">
        <v>24</v>
      </c>
      <c r="D60" s="132" t="s">
        <v>1198</v>
      </c>
      <c r="E60" s="6" t="str">
        <f>'Resumen rta estudiantes'!A224</f>
        <v>Cuenta de 48.3. Considero que el material bibliográfico es: ACTUALIZADO.</v>
      </c>
      <c r="F60" s="200">
        <f>'Resumen rta estudiantes'!B225</f>
        <v>5.9880239520958084E-2</v>
      </c>
      <c r="G60" s="200">
        <f>'Resumen rta estudiantes'!C225</f>
        <v>8.3832335329341312E-2</v>
      </c>
      <c r="H60" s="200">
        <f>'Resumen rta estudiantes'!D225</f>
        <v>0.3473053892215569</v>
      </c>
      <c r="I60" s="200">
        <f>'Resumen rta estudiantes'!E225</f>
        <v>0.31137724550898205</v>
      </c>
      <c r="J60" s="200">
        <f>'Resumen rta estudiantes'!F225</f>
        <v>0.1317365269461078</v>
      </c>
      <c r="K60" s="200">
        <f>'Resumen rta estudiantes'!G225</f>
        <v>6.5868263473053898E-2</v>
      </c>
      <c r="L60" s="197">
        <f t="shared" si="0"/>
        <v>1</v>
      </c>
    </row>
    <row r="61" spans="1:12" ht="36.75" customHeight="1" x14ac:dyDescent="0.25">
      <c r="A61" s="5" t="s">
        <v>22</v>
      </c>
      <c r="B61" s="171">
        <v>4</v>
      </c>
      <c r="C61" s="171">
        <v>25</v>
      </c>
      <c r="D61" s="132" t="s">
        <v>1199</v>
      </c>
      <c r="E61" s="6" t="str">
        <f>'Resumen rta estudiantes'!A228</f>
        <v>Cuenta de 49.1. Considero que los computadores y software disponibles en mi programa académico son: SUFICIENTE.</v>
      </c>
      <c r="F61" s="200">
        <f>'Resumen rta estudiantes'!B229</f>
        <v>0.10179640718562874</v>
      </c>
      <c r="G61" s="200">
        <f>'Resumen rta estudiantes'!C229</f>
        <v>0.12574850299401197</v>
      </c>
      <c r="H61" s="200">
        <f>'Resumen rta estudiantes'!D229</f>
        <v>0.31137724550898205</v>
      </c>
      <c r="I61" s="200">
        <f>'Resumen rta estudiantes'!E229</f>
        <v>0.25748502994011974</v>
      </c>
      <c r="J61" s="200">
        <f>'Resumen rta estudiantes'!F229</f>
        <v>0.18562874251497005</v>
      </c>
      <c r="K61" s="200">
        <f>'Resumen rta estudiantes'!G229</f>
        <v>1.7964071856287425E-2</v>
      </c>
      <c r="L61" s="197">
        <f t="shared" si="0"/>
        <v>1</v>
      </c>
    </row>
    <row r="62" spans="1:12" ht="36.75" customHeight="1" x14ac:dyDescent="0.25">
      <c r="A62" s="5" t="s">
        <v>22</v>
      </c>
      <c r="B62" s="171">
        <v>4</v>
      </c>
      <c r="C62" s="171">
        <v>25</v>
      </c>
      <c r="D62" s="132" t="s">
        <v>1200</v>
      </c>
      <c r="E62" s="6" t="str">
        <f>'Resumen rta estudiantes'!A232</f>
        <v>Cuenta de 49.2. Considero que los computadores y software disponibles en mi programa académico son: ADECUADO.</v>
      </c>
      <c r="F62" s="200">
        <f>'Resumen rta estudiantes'!B233</f>
        <v>5.9880239520958084E-2</v>
      </c>
      <c r="G62" s="200">
        <f>'Resumen rta estudiantes'!C233</f>
        <v>6.5868263473053898E-2</v>
      </c>
      <c r="H62" s="200">
        <f>'Resumen rta estudiantes'!D233</f>
        <v>0.22754491017964071</v>
      </c>
      <c r="I62" s="200">
        <f>'Resumen rta estudiantes'!E233</f>
        <v>0.39520958083832336</v>
      </c>
      <c r="J62" s="200">
        <f>'Resumen rta estudiantes'!F233</f>
        <v>0.23353293413173654</v>
      </c>
      <c r="K62" s="200">
        <f>'Resumen rta estudiantes'!G233</f>
        <v>1.7964071856287425E-2</v>
      </c>
      <c r="L62" s="197">
        <f t="shared" si="0"/>
        <v>1</v>
      </c>
    </row>
    <row r="63" spans="1:12" ht="36.75" customHeight="1" x14ac:dyDescent="0.25">
      <c r="A63" s="5" t="s">
        <v>22</v>
      </c>
      <c r="B63" s="171">
        <v>4</v>
      </c>
      <c r="C63" s="171">
        <v>25</v>
      </c>
      <c r="D63" s="132" t="s">
        <v>1201</v>
      </c>
      <c r="E63" s="6" t="str">
        <f>'Resumen rta estudiantes'!A236</f>
        <v>Cuenta de 49.3. Considero que los computadores y software disponibles en mi programa académico son: ACTUALIZADO.</v>
      </c>
      <c r="F63" s="200">
        <f>'Resumen rta estudiantes'!B237</f>
        <v>5.9880239520958084E-2</v>
      </c>
      <c r="G63" s="200">
        <f>'Resumen rta estudiantes'!C237</f>
        <v>5.9880239520958084E-2</v>
      </c>
      <c r="H63" s="200">
        <f>'Resumen rta estudiantes'!D237</f>
        <v>0.20359281437125748</v>
      </c>
      <c r="I63" s="200">
        <f>'Resumen rta estudiantes'!E237</f>
        <v>0.45508982035928142</v>
      </c>
      <c r="J63" s="200">
        <f>'Resumen rta estudiantes'!F237</f>
        <v>0.19760479041916168</v>
      </c>
      <c r="K63" s="200">
        <f>'Resumen rta estudiantes'!G237</f>
        <v>2.3952095808383235E-2</v>
      </c>
      <c r="L63" s="197">
        <f t="shared" ref="L63:L101" si="1">SUM(F63:K63)</f>
        <v>0.99999999999999989</v>
      </c>
    </row>
    <row r="64" spans="1:12" ht="60" x14ac:dyDescent="0.25">
      <c r="A64" s="5" t="s">
        <v>22</v>
      </c>
      <c r="B64" s="171">
        <v>4</v>
      </c>
      <c r="C64" s="171">
        <v>26</v>
      </c>
      <c r="D64" s="132">
        <v>50</v>
      </c>
      <c r="E64" s="6" t="str">
        <f>'Resumen rta estudiantes'!A240</f>
        <v>Cuenta de 50. Durante el desarrollo de las clases se hace un adecuado uso de las herramientas poseídas por la Universidad Distrital Francisco José de Caldas tales como: laboratorios, talleres y medios audiovisuales.</v>
      </c>
      <c r="F64" s="200">
        <f>'Resumen rta estudiantes'!B241</f>
        <v>2.9940119760479042E-2</v>
      </c>
      <c r="G64" s="200">
        <f>'Resumen rta estudiantes'!C241</f>
        <v>4.790419161676647E-2</v>
      </c>
      <c r="H64" s="200">
        <f>'Resumen rta estudiantes'!D241</f>
        <v>0.23952095808383234</v>
      </c>
      <c r="I64" s="200">
        <f>'Resumen rta estudiantes'!E241</f>
        <v>0.42514970059880242</v>
      </c>
      <c r="J64" s="200">
        <f>'Resumen rta estudiantes'!F241</f>
        <v>0.25748502994011974</v>
      </c>
      <c r="K64" s="200">
        <f>'Resumen rta estudiantes'!G241</f>
        <v>0</v>
      </c>
      <c r="L64" s="197">
        <f t="shared" si="1"/>
        <v>1</v>
      </c>
    </row>
    <row r="65" spans="1:12" ht="36.75" customHeight="1" x14ac:dyDescent="0.25">
      <c r="A65" s="5" t="s">
        <v>22</v>
      </c>
      <c r="B65" s="171">
        <v>4</v>
      </c>
      <c r="C65" s="171">
        <v>26</v>
      </c>
      <c r="D65" s="132" t="s">
        <v>1202</v>
      </c>
      <c r="E65" s="6" t="str">
        <f>'Resumen rta estudiantes'!A244</f>
        <v>Cuenta de 51.1. Considero que los laboratorios y talleres disponibles en mi programa académico son: SUFICIENTES.</v>
      </c>
      <c r="F65" s="200">
        <f>'Resumen rta estudiantes'!B245</f>
        <v>0.10778443113772455</v>
      </c>
      <c r="G65" s="200">
        <f>'Resumen rta estudiantes'!C245</f>
        <v>0.12574850299401197</v>
      </c>
      <c r="H65" s="200">
        <f>'Resumen rta estudiantes'!D245</f>
        <v>0.31137724550898205</v>
      </c>
      <c r="I65" s="200">
        <f>'Resumen rta estudiantes'!E245</f>
        <v>0.26347305389221559</v>
      </c>
      <c r="J65" s="200">
        <f>'Resumen rta estudiantes'!F245</f>
        <v>0.17964071856287425</v>
      </c>
      <c r="K65" s="200">
        <f>'Resumen rta estudiantes'!G245</f>
        <v>1.1976047904191617E-2</v>
      </c>
      <c r="L65" s="197">
        <f t="shared" si="1"/>
        <v>1</v>
      </c>
    </row>
    <row r="66" spans="1:12" ht="36.75" customHeight="1" x14ac:dyDescent="0.25">
      <c r="A66" s="5" t="s">
        <v>22</v>
      </c>
      <c r="B66" s="171">
        <v>4</v>
      </c>
      <c r="C66" s="171">
        <v>26</v>
      </c>
      <c r="D66" s="132" t="s">
        <v>1203</v>
      </c>
      <c r="E66" s="6" t="str">
        <f>'Resumen rta estudiantes'!A248</f>
        <v>Cuenta de 51.2. Considero que los laboratorios y talleres disponibles en mi programa académico son: ADECUADOS.</v>
      </c>
      <c r="F66" s="200">
        <f>'Resumen rta estudiantes'!B249</f>
        <v>5.9880239520958084E-2</v>
      </c>
      <c r="G66" s="200">
        <f>'Resumen rta estudiantes'!C249</f>
        <v>5.9880239520958084E-2</v>
      </c>
      <c r="H66" s="200">
        <f>'Resumen rta estudiantes'!D249</f>
        <v>0.30538922155688625</v>
      </c>
      <c r="I66" s="200">
        <f>'Resumen rta estudiantes'!E249</f>
        <v>0.3772455089820359</v>
      </c>
      <c r="J66" s="200">
        <f>'Resumen rta estudiantes'!F249</f>
        <v>0.18562874251497005</v>
      </c>
      <c r="K66" s="200">
        <f>'Resumen rta estudiantes'!G249</f>
        <v>1.1976047904191617E-2</v>
      </c>
      <c r="L66" s="197">
        <f t="shared" si="1"/>
        <v>1</v>
      </c>
    </row>
    <row r="67" spans="1:12" ht="36.75" customHeight="1" x14ac:dyDescent="0.25">
      <c r="A67" s="5" t="s">
        <v>22</v>
      </c>
      <c r="B67" s="171">
        <v>4</v>
      </c>
      <c r="C67" s="171">
        <v>26</v>
      </c>
      <c r="D67" s="132" t="s">
        <v>1204</v>
      </c>
      <c r="E67" s="6" t="str">
        <f>'Resumen rta estudiantes'!A252</f>
        <v>Cuenta de 51.3. Considero que los laboratorios y talleres disponibles en mi programa académico son: ACTUALIZADOS.</v>
      </c>
      <c r="F67" s="200">
        <f>'Resumen rta estudiantes'!B253</f>
        <v>9.580838323353294E-2</v>
      </c>
      <c r="G67" s="200">
        <f>'Resumen rta estudiantes'!C253</f>
        <v>8.3832335329341312E-2</v>
      </c>
      <c r="H67" s="200">
        <f>'Resumen rta estudiantes'!D253</f>
        <v>0.31137724550898205</v>
      </c>
      <c r="I67" s="200">
        <f>'Resumen rta estudiantes'!E253</f>
        <v>0.32335329341317365</v>
      </c>
      <c r="J67" s="200">
        <f>'Resumen rta estudiantes'!F253</f>
        <v>0.1437125748502994</v>
      </c>
      <c r="K67" s="200">
        <f>'Resumen rta estudiantes'!G253</f>
        <v>4.1916167664670656E-2</v>
      </c>
      <c r="L67" s="197">
        <f t="shared" si="1"/>
        <v>1</v>
      </c>
    </row>
    <row r="68" spans="1:12" ht="48.75" customHeight="1" x14ac:dyDescent="0.25">
      <c r="A68" s="5" t="s">
        <v>22</v>
      </c>
      <c r="B68" s="171">
        <v>4</v>
      </c>
      <c r="C68" s="171">
        <v>26</v>
      </c>
      <c r="D68" s="132" t="s">
        <v>1205</v>
      </c>
      <c r="E68" s="6" t="str">
        <f>'Resumen rta estudiantes'!A256</f>
        <v>Cuenta de 51.4. Considero que los laboratorios y talleres disponibles en mi programa académico son: APOYADOS POR PERSONAL DEBIDAMENTE CAPACITADO.</v>
      </c>
      <c r="F68" s="200">
        <f>'Resumen rta estudiantes'!B257</f>
        <v>7.7844311377245512E-2</v>
      </c>
      <c r="G68" s="200">
        <f>'Resumen rta estudiantes'!C257</f>
        <v>4.1916167664670656E-2</v>
      </c>
      <c r="H68" s="200">
        <f>'Resumen rta estudiantes'!D257</f>
        <v>0.25149700598802394</v>
      </c>
      <c r="I68" s="200">
        <f>'Resumen rta estudiantes'!E257</f>
        <v>0.3712574850299401</v>
      </c>
      <c r="J68" s="200">
        <f>'Resumen rta estudiantes'!F257</f>
        <v>0.24550898203592814</v>
      </c>
      <c r="K68" s="200">
        <f>'Resumen rta estudiantes'!G257</f>
        <v>1.1976047904191617E-2</v>
      </c>
      <c r="L68" s="197">
        <f t="shared" si="1"/>
        <v>0.99999999999999989</v>
      </c>
    </row>
    <row r="69" spans="1:12" ht="36.75" customHeight="1" x14ac:dyDescent="0.25">
      <c r="A69" s="5" t="s">
        <v>22</v>
      </c>
      <c r="B69" s="171">
        <v>4</v>
      </c>
      <c r="C69" s="171">
        <v>26</v>
      </c>
      <c r="D69" s="132" t="s">
        <v>1206</v>
      </c>
      <c r="E69" s="6" t="str">
        <f>'Resumen rta estudiantes'!A260</f>
        <v>Cuenta de 51.5. Considero que los laboratorios y talleres disponibles en mi programa académico son: VENTILADOS.</v>
      </c>
      <c r="F69" s="200">
        <f>'Resumen rta estudiantes'!B261</f>
        <v>5.9880239520958084E-2</v>
      </c>
      <c r="G69" s="200">
        <f>'Resumen rta estudiantes'!C261</f>
        <v>6.5868263473053898E-2</v>
      </c>
      <c r="H69" s="200">
        <f>'Resumen rta estudiantes'!D261</f>
        <v>0.3592814371257485</v>
      </c>
      <c r="I69" s="200">
        <f>'Resumen rta estudiantes'!E261</f>
        <v>0.31137724550898205</v>
      </c>
      <c r="J69" s="200">
        <f>'Resumen rta estudiantes'!F261</f>
        <v>0.17365269461077845</v>
      </c>
      <c r="K69" s="200">
        <f>'Resumen rta estudiantes'!G261</f>
        <v>2.9940119760479042E-2</v>
      </c>
      <c r="L69" s="197">
        <f t="shared" si="1"/>
        <v>1</v>
      </c>
    </row>
    <row r="70" spans="1:12" ht="36.75" customHeight="1" x14ac:dyDescent="0.25">
      <c r="A70" s="5" t="s">
        <v>22</v>
      </c>
      <c r="B70" s="171">
        <v>4</v>
      </c>
      <c r="C70" s="171">
        <v>26</v>
      </c>
      <c r="D70" s="132" t="s">
        <v>1207</v>
      </c>
      <c r="E70" s="168" t="str">
        <f>'Resumen rta estudiantes'!A264</f>
        <v>Cuenta de 51.6. Considero que los laboratorios y talleres disponibles en mi programa académico son: ILUMINADOS.</v>
      </c>
      <c r="F70" s="200">
        <f>'Resumen rta estudiantes'!B265</f>
        <v>4.1916167664670656E-2</v>
      </c>
      <c r="G70" s="200">
        <f>'Resumen rta estudiantes'!C265</f>
        <v>3.5928143712574849E-2</v>
      </c>
      <c r="H70" s="200">
        <f>'Resumen rta estudiantes'!D265</f>
        <v>0.20359281437125748</v>
      </c>
      <c r="I70" s="200">
        <f>'Resumen rta estudiantes'!E265</f>
        <v>0.39520958083832336</v>
      </c>
      <c r="J70" s="200">
        <f>'Resumen rta estudiantes'!F265</f>
        <v>0.31137724550898205</v>
      </c>
      <c r="K70" s="200">
        <f>'Resumen rta estudiantes'!G265</f>
        <v>1.1976047904191617E-2</v>
      </c>
      <c r="L70" s="197">
        <f t="shared" si="1"/>
        <v>1</v>
      </c>
    </row>
    <row r="71" spans="1:12" ht="36.75" customHeight="1" x14ac:dyDescent="0.25">
      <c r="A71" s="5" t="s">
        <v>22</v>
      </c>
      <c r="B71" s="171">
        <v>4</v>
      </c>
      <c r="C71" s="171">
        <v>26</v>
      </c>
      <c r="D71" s="132" t="s">
        <v>1208</v>
      </c>
      <c r="E71" s="6" t="str">
        <f>'Resumen rta estudiantes'!A268</f>
        <v>Cuenta de 51.7. Considero que los laboratorios y talleres disponibles en mi programa académico son: DISEÑADOS SEGÚN NORMAS DE SEGURIDAD.</v>
      </c>
      <c r="F71" s="200">
        <f>'Resumen rta estudiantes'!B269</f>
        <v>4.790419161676647E-2</v>
      </c>
      <c r="G71" s="200">
        <f>'Resumen rta estudiantes'!C269</f>
        <v>5.3892215568862277E-2</v>
      </c>
      <c r="H71" s="200">
        <f>'Resumen rta estudiantes'!D269</f>
        <v>0.26347305389221559</v>
      </c>
      <c r="I71" s="200">
        <f>'Resumen rta estudiantes'!E269</f>
        <v>0.3532934131736527</v>
      </c>
      <c r="J71" s="200">
        <f>'Resumen rta estudiantes'!F269</f>
        <v>0.23952095808383234</v>
      </c>
      <c r="K71" s="200">
        <f>'Resumen rta estudiantes'!G269</f>
        <v>4.1916167664670656E-2</v>
      </c>
      <c r="L71" s="197">
        <f t="shared" si="1"/>
        <v>1</v>
      </c>
    </row>
    <row r="72" spans="1:12" ht="24.75" customHeight="1" x14ac:dyDescent="0.25">
      <c r="A72" s="5" t="s">
        <v>22</v>
      </c>
      <c r="B72" s="171">
        <v>4</v>
      </c>
      <c r="C72" s="171">
        <v>26</v>
      </c>
      <c r="D72" s="132" t="s">
        <v>1209</v>
      </c>
      <c r="E72" s="6" t="str">
        <f>'Resumen rta estudiantes'!A272</f>
        <v>Cuenta de 52.1. Considero que los materiales de apoyo audiovisual son: SUFICIENTES.</v>
      </c>
      <c r="F72" s="200">
        <f>'Resumen rta estudiantes'!B273</f>
        <v>7.1856287425149698E-2</v>
      </c>
      <c r="G72" s="200">
        <f>'Resumen rta estudiantes'!C273</f>
        <v>0.16167664670658682</v>
      </c>
      <c r="H72" s="200">
        <f>'Resumen rta estudiantes'!D273</f>
        <v>0.32934131736526945</v>
      </c>
      <c r="I72" s="200">
        <f>'Resumen rta estudiantes'!E273</f>
        <v>0.27544910179640719</v>
      </c>
      <c r="J72" s="200">
        <f>'Resumen rta estudiantes'!F273</f>
        <v>0.1437125748502994</v>
      </c>
      <c r="K72" s="200">
        <f>'Resumen rta estudiantes'!G273</f>
        <v>1.7964071856287425E-2</v>
      </c>
      <c r="L72" s="197">
        <f t="shared" si="1"/>
        <v>1</v>
      </c>
    </row>
    <row r="73" spans="1:12" ht="24.75" customHeight="1" x14ac:dyDescent="0.25">
      <c r="A73" s="5" t="s">
        <v>22</v>
      </c>
      <c r="B73" s="171">
        <v>4</v>
      </c>
      <c r="C73" s="171">
        <v>26</v>
      </c>
      <c r="D73" s="132" t="s">
        <v>1210</v>
      </c>
      <c r="E73" s="6" t="str">
        <f>'Resumen rta estudiantes'!A276</f>
        <v>Cuenta de 52.2. Considero que los materiales de apoyo audiovisual son: ADECUADOS.</v>
      </c>
      <c r="F73" s="200">
        <f>'Resumen rta estudiantes'!B277</f>
        <v>5.9880239520958084E-2</v>
      </c>
      <c r="G73" s="200">
        <f>'Resumen rta estudiantes'!C277</f>
        <v>0.10778443113772455</v>
      </c>
      <c r="H73" s="200">
        <f>'Resumen rta estudiantes'!D277</f>
        <v>0.3413173652694611</v>
      </c>
      <c r="I73" s="200">
        <f>'Resumen rta estudiantes'!E277</f>
        <v>0.3413173652694611</v>
      </c>
      <c r="J73" s="200">
        <f>'Resumen rta estudiantes'!F277</f>
        <v>0.1437125748502994</v>
      </c>
      <c r="K73" s="200">
        <f>'Resumen rta estudiantes'!G277</f>
        <v>5.9880239520958087E-3</v>
      </c>
      <c r="L73" s="197">
        <f t="shared" si="1"/>
        <v>1</v>
      </c>
    </row>
    <row r="74" spans="1:12" ht="24.75" customHeight="1" x14ac:dyDescent="0.25">
      <c r="A74" s="5" t="s">
        <v>22</v>
      </c>
      <c r="B74" s="171">
        <v>4</v>
      </c>
      <c r="C74" s="171">
        <v>26</v>
      </c>
      <c r="D74" s="132" t="s">
        <v>1211</v>
      </c>
      <c r="E74" s="6" t="str">
        <f>'Resumen rta estudiantes'!A280</f>
        <v>Cuenta de 52.3. Considero que los materiales de apoyo audiovisual son: ACTUALIZADOS.</v>
      </c>
      <c r="F74" s="200">
        <f>'Resumen rta estudiantes'!B281</f>
        <v>4.790419161676647E-2</v>
      </c>
      <c r="G74" s="200">
        <f>'Resumen rta estudiantes'!C281</f>
        <v>7.7844311377245512E-2</v>
      </c>
      <c r="H74" s="200">
        <f>'Resumen rta estudiantes'!D281</f>
        <v>0.3652694610778443</v>
      </c>
      <c r="I74" s="200">
        <f>'Resumen rta estudiantes'!E281</f>
        <v>0.30538922155688625</v>
      </c>
      <c r="J74" s="200">
        <f>'Resumen rta estudiantes'!F281</f>
        <v>0.17964071856287425</v>
      </c>
      <c r="K74" s="200">
        <f>'Resumen rta estudiantes'!G281</f>
        <v>2.3952095808383235E-2</v>
      </c>
      <c r="L74" s="197">
        <f t="shared" si="1"/>
        <v>0.99999999999999989</v>
      </c>
    </row>
    <row r="75" spans="1:12" ht="36.75" customHeight="1" x14ac:dyDescent="0.25">
      <c r="A75" s="5" t="s">
        <v>22</v>
      </c>
      <c r="B75" s="171">
        <v>4</v>
      </c>
      <c r="C75" s="171">
        <v>26</v>
      </c>
      <c r="D75" s="132" t="s">
        <v>1212</v>
      </c>
      <c r="E75" s="6" t="str">
        <f>'Resumen rta estudiantes'!A284</f>
        <v>Cuenta de 52.4. Considero que los materiales de apoyo audiovisual son: SOPORTADOS POR PERSONAL DEBIDAMENTE CAPACITADO.</v>
      </c>
      <c r="F75" s="200">
        <f>'Resumen rta estudiantes'!B285</f>
        <v>4.790419161676647E-2</v>
      </c>
      <c r="G75" s="200">
        <f>'Resumen rta estudiantes'!C285</f>
        <v>5.9880239520958084E-2</v>
      </c>
      <c r="H75" s="200">
        <f>'Resumen rta estudiantes'!D285</f>
        <v>0.26946107784431139</v>
      </c>
      <c r="I75" s="200">
        <f>'Resumen rta estudiantes'!E285</f>
        <v>0.3712574850299401</v>
      </c>
      <c r="J75" s="200">
        <f>'Resumen rta estudiantes'!F285</f>
        <v>0.18562874251497005</v>
      </c>
      <c r="K75" s="200">
        <f>'Resumen rta estudiantes'!G285</f>
        <v>6.5868263473053898E-2</v>
      </c>
      <c r="L75" s="197">
        <f t="shared" si="1"/>
        <v>1</v>
      </c>
    </row>
    <row r="76" spans="1:12" ht="24.75" customHeight="1" x14ac:dyDescent="0.25">
      <c r="A76" s="5" t="s">
        <v>22</v>
      </c>
      <c r="B76" s="171">
        <v>6</v>
      </c>
      <c r="C76" s="171">
        <v>29</v>
      </c>
      <c r="D76" s="132">
        <v>53</v>
      </c>
      <c r="E76" s="6" t="str">
        <f>'Resumen rta estudiantes'!A288</f>
        <v>Cuenta de 53. Mi programa académico promueve la participación en proyectos de investigación.</v>
      </c>
      <c r="F76" s="200">
        <f>'Resumen rta estudiantes'!B289</f>
        <v>8.9820359281437126E-2</v>
      </c>
      <c r="G76" s="200">
        <f>'Resumen rta estudiantes'!C289</f>
        <v>7.7844311377245512E-2</v>
      </c>
      <c r="H76" s="200">
        <f>'Resumen rta estudiantes'!D289</f>
        <v>0.27544910179640719</v>
      </c>
      <c r="I76" s="200">
        <f>'Resumen rta estudiantes'!E289</f>
        <v>0.32335329341317365</v>
      </c>
      <c r="J76" s="200">
        <f>'Resumen rta estudiantes'!F289</f>
        <v>0.19760479041916168</v>
      </c>
      <c r="K76" s="200">
        <f>'Resumen rta estudiantes'!G289</f>
        <v>3.5928143712574849E-2</v>
      </c>
      <c r="L76" s="197">
        <f t="shared" si="1"/>
        <v>1</v>
      </c>
    </row>
    <row r="77" spans="1:12" ht="36.75" customHeight="1" x14ac:dyDescent="0.25">
      <c r="A77" s="5" t="s">
        <v>22</v>
      </c>
      <c r="B77" s="171">
        <v>6</v>
      </c>
      <c r="C77" s="171">
        <v>29</v>
      </c>
      <c r="D77" s="132">
        <v>54</v>
      </c>
      <c r="E77" s="6" t="str">
        <f>'Resumen rta estudiantes'!A292</f>
        <v xml:space="preserve">Cuenta de 54. Mi programa académico dispone de los recursos que necesito para desarrollar mis trabajos de investigación. </v>
      </c>
      <c r="F77" s="200">
        <f>'Resumen rta estudiantes'!B293</f>
        <v>8.9820359281437126E-2</v>
      </c>
      <c r="G77" s="200">
        <f>'Resumen rta estudiantes'!C293</f>
        <v>8.9820359281437126E-2</v>
      </c>
      <c r="H77" s="200">
        <f>'Resumen rta estudiantes'!D293</f>
        <v>0.29341317365269459</v>
      </c>
      <c r="I77" s="200">
        <f>'Resumen rta estudiantes'!E293</f>
        <v>0.27544910179640719</v>
      </c>
      <c r="J77" s="200">
        <f>'Resumen rta estudiantes'!F293</f>
        <v>0.11377245508982035</v>
      </c>
      <c r="K77" s="200">
        <f>'Resumen rta estudiantes'!G293</f>
        <v>0.1377245508982036</v>
      </c>
      <c r="L77" s="197">
        <f t="shared" si="1"/>
        <v>1</v>
      </c>
    </row>
    <row r="78" spans="1:12" ht="36" x14ac:dyDescent="0.25">
      <c r="A78" s="5" t="s">
        <v>22</v>
      </c>
      <c r="B78" s="171">
        <v>6</v>
      </c>
      <c r="C78" s="171">
        <v>29</v>
      </c>
      <c r="D78" s="132">
        <v>55</v>
      </c>
      <c r="E78" s="6" t="str">
        <f>'Resumen rta estudiantes'!A296</f>
        <v>Cuenta de 55. Participo o he participado en grupos y redes académicas externas a la Universidad Distrital Francisco José de Caldas.</v>
      </c>
      <c r="F78" s="200">
        <f>'Resumen rta estudiantes'!B297</f>
        <v>0.39520958083832336</v>
      </c>
      <c r="G78" s="200">
        <f>'Resumen rta estudiantes'!C297</f>
        <v>0.1377245508982036</v>
      </c>
      <c r="H78" s="200">
        <f>'Resumen rta estudiantes'!D297</f>
        <v>0.15568862275449102</v>
      </c>
      <c r="I78" s="200">
        <f>'Resumen rta estudiantes'!E297</f>
        <v>0.11377245508982035</v>
      </c>
      <c r="J78" s="200">
        <f>'Resumen rta estudiantes'!F297</f>
        <v>7.7844311377245512E-2</v>
      </c>
      <c r="K78" s="200">
        <f>'Resumen rta estudiantes'!G297</f>
        <v>0.11976047904191617</v>
      </c>
      <c r="L78" s="197">
        <f t="shared" si="1"/>
        <v>1</v>
      </c>
    </row>
    <row r="79" spans="1:12" ht="48.75" customHeight="1" x14ac:dyDescent="0.25">
      <c r="A79" s="5" t="s">
        <v>22</v>
      </c>
      <c r="B79" s="171">
        <v>7</v>
      </c>
      <c r="C79" s="171">
        <v>31</v>
      </c>
      <c r="D79" s="132">
        <v>56</v>
      </c>
      <c r="E79" s="6" t="str">
        <f>'Resumen rta estudiantes'!A300</f>
        <v>Cuenta de 56. Considero que los servicios o actividades ofrecidas por Bienestar Institucional contribuyen a mi desarrollo personal y profesional.</v>
      </c>
      <c r="F79" s="200">
        <f>'Resumen rta estudiantes'!B301</f>
        <v>8.3832335329341312E-2</v>
      </c>
      <c r="G79" s="200">
        <f>'Resumen rta estudiantes'!C301</f>
        <v>6.5868263473053898E-2</v>
      </c>
      <c r="H79" s="200">
        <f>'Resumen rta estudiantes'!D301</f>
        <v>0.25748502994011974</v>
      </c>
      <c r="I79" s="200">
        <f>'Resumen rta estudiantes'!E301</f>
        <v>0.3473053892215569</v>
      </c>
      <c r="J79" s="200">
        <f>'Resumen rta estudiantes'!F301</f>
        <v>0.19760479041916168</v>
      </c>
      <c r="K79" s="200">
        <f>'Resumen rta estudiantes'!G301</f>
        <v>4.790419161676647E-2</v>
      </c>
      <c r="L79" s="197">
        <f t="shared" si="1"/>
        <v>1</v>
      </c>
    </row>
    <row r="80" spans="1:12" ht="24.75" customHeight="1" x14ac:dyDescent="0.25">
      <c r="A80" s="5" t="s">
        <v>22</v>
      </c>
      <c r="B80" s="171">
        <v>7</v>
      </c>
      <c r="C80" s="171">
        <v>31</v>
      </c>
      <c r="D80" s="132" t="s">
        <v>921</v>
      </c>
      <c r="E80" s="6" t="str">
        <f>'Resumen rta estudiantes'!A304</f>
        <v>Cuenta de 57.1. Considero que los servicios de bienestar son: SUFICIENTE.</v>
      </c>
      <c r="F80" s="200">
        <f>'Resumen rta estudiantes'!B305</f>
        <v>0.1317365269461078</v>
      </c>
      <c r="G80" s="200">
        <f>'Resumen rta estudiantes'!C305</f>
        <v>0.12574850299401197</v>
      </c>
      <c r="H80" s="200">
        <f>'Resumen rta estudiantes'!D305</f>
        <v>0.33532934131736525</v>
      </c>
      <c r="I80" s="200">
        <f>'Resumen rta estudiantes'!E305</f>
        <v>0.23952095808383234</v>
      </c>
      <c r="J80" s="200">
        <f>'Resumen rta estudiantes'!F305</f>
        <v>0.11377245508982035</v>
      </c>
      <c r="K80" s="200">
        <f>'Resumen rta estudiantes'!G305</f>
        <v>5.3892215568862277E-2</v>
      </c>
      <c r="L80" s="197">
        <f t="shared" si="1"/>
        <v>1</v>
      </c>
    </row>
    <row r="81" spans="1:12" ht="24.75" customHeight="1" x14ac:dyDescent="0.25">
      <c r="A81" s="5" t="s">
        <v>22</v>
      </c>
      <c r="B81" s="171">
        <v>7</v>
      </c>
      <c r="C81" s="171">
        <v>31</v>
      </c>
      <c r="D81" s="132" t="s">
        <v>922</v>
      </c>
      <c r="E81" s="6" t="str">
        <f>'Resumen rta estudiantes'!A308</f>
        <v>Cuenta de 57.2. Considero que los servicios de bienestar son: ADECUADO.</v>
      </c>
      <c r="F81" s="200">
        <f>'Resumen rta estudiantes'!B309</f>
        <v>8.3832335329341312E-2</v>
      </c>
      <c r="G81" s="200">
        <f>'Resumen rta estudiantes'!C309</f>
        <v>6.5868263473053898E-2</v>
      </c>
      <c r="H81" s="200">
        <f>'Resumen rta estudiantes'!D309</f>
        <v>0.33532934131736525</v>
      </c>
      <c r="I81" s="200">
        <f>'Resumen rta estudiantes'!E309</f>
        <v>0.32335329341317365</v>
      </c>
      <c r="J81" s="200">
        <f>'Resumen rta estudiantes'!F309</f>
        <v>0.1377245508982036</v>
      </c>
      <c r="K81" s="200">
        <f>'Resumen rta estudiantes'!G309</f>
        <v>5.3892215568862277E-2</v>
      </c>
      <c r="L81" s="197">
        <f t="shared" si="1"/>
        <v>1</v>
      </c>
    </row>
    <row r="82" spans="1:12" ht="24.75" customHeight="1" x14ac:dyDescent="0.25">
      <c r="A82" s="5" t="s">
        <v>22</v>
      </c>
      <c r="B82" s="171">
        <v>7</v>
      </c>
      <c r="C82" s="171">
        <v>31</v>
      </c>
      <c r="D82" s="132" t="s">
        <v>923</v>
      </c>
      <c r="E82" s="168" t="str">
        <f>'Resumen rta estudiantes'!A312</f>
        <v>Cuenta de 57.3. Considero que los servicios de bienestar son: ACCESIBLES.</v>
      </c>
      <c r="F82" s="200">
        <f>'Resumen rta estudiantes'!B313</f>
        <v>9.580838323353294E-2</v>
      </c>
      <c r="G82" s="200">
        <f>'Resumen rta estudiantes'!C313</f>
        <v>9.580838323353294E-2</v>
      </c>
      <c r="H82" s="200">
        <f>'Resumen rta estudiantes'!D313</f>
        <v>0.26946107784431139</v>
      </c>
      <c r="I82" s="200">
        <f>'Resumen rta estudiantes'!E313</f>
        <v>0.32335329341317365</v>
      </c>
      <c r="J82" s="200">
        <f>'Resumen rta estudiantes'!F313</f>
        <v>0.17964071856287425</v>
      </c>
      <c r="K82" s="200">
        <f>'Resumen rta estudiantes'!G313</f>
        <v>3.5928143712574849E-2</v>
      </c>
      <c r="L82" s="197">
        <f t="shared" si="1"/>
        <v>1</v>
      </c>
    </row>
    <row r="83" spans="1:12" ht="36" x14ac:dyDescent="0.25">
      <c r="A83" s="5" t="s">
        <v>22</v>
      </c>
      <c r="B83" s="171">
        <v>7</v>
      </c>
      <c r="C83" s="171">
        <v>32</v>
      </c>
      <c r="D83" s="132">
        <v>58</v>
      </c>
      <c r="E83" s="6" t="str">
        <f>'Resumen rta estudiantes'!A316</f>
        <v xml:space="preserve">Cuenta de 58. Mi experiencia en éste programa académico me motiva a continuar en mi programa académico.  </v>
      </c>
      <c r="F83" s="200">
        <f>'Resumen rta estudiantes'!B317</f>
        <v>3.5928143712574849E-2</v>
      </c>
      <c r="G83" s="200">
        <f>'Resumen rta estudiantes'!C317</f>
        <v>3.5928143712574849E-2</v>
      </c>
      <c r="H83" s="200">
        <f>'Resumen rta estudiantes'!D317</f>
        <v>0.17964071856287425</v>
      </c>
      <c r="I83" s="200">
        <f>'Resumen rta estudiantes'!E317</f>
        <v>0.27544910179640719</v>
      </c>
      <c r="J83" s="200">
        <f>'Resumen rta estudiantes'!F317</f>
        <v>0.45508982035928142</v>
      </c>
      <c r="K83" s="200">
        <f>'Resumen rta estudiantes'!G317</f>
        <v>1.7964071856287425E-2</v>
      </c>
      <c r="L83" s="197">
        <f t="shared" si="1"/>
        <v>1</v>
      </c>
    </row>
    <row r="84" spans="1:12" ht="24.75" customHeight="1" x14ac:dyDescent="0.25">
      <c r="A84" s="5" t="s">
        <v>22</v>
      </c>
      <c r="B84" s="171">
        <v>7</v>
      </c>
      <c r="C84" s="171">
        <v>32</v>
      </c>
      <c r="D84" s="132">
        <v>59</v>
      </c>
      <c r="E84" s="6" t="str">
        <f>'Resumen rta estudiantes'!A320</f>
        <v xml:space="preserve">Cuenta de 59. Puedo terminar mi pregrado en el tiempo establecido por mi programa académico. </v>
      </c>
      <c r="F84" s="200">
        <f>'Resumen rta estudiantes'!B321</f>
        <v>0.30538922155688625</v>
      </c>
      <c r="G84" s="200">
        <f>'Resumen rta estudiantes'!C321</f>
        <v>0.12574850299401197</v>
      </c>
      <c r="H84" s="200">
        <f>'Resumen rta estudiantes'!D321</f>
        <v>0.20359281437125748</v>
      </c>
      <c r="I84" s="200">
        <f>'Resumen rta estudiantes'!E321</f>
        <v>0.17964071856287425</v>
      </c>
      <c r="J84" s="200">
        <f>'Resumen rta estudiantes'!F321</f>
        <v>0.1497005988023952</v>
      </c>
      <c r="K84" s="200">
        <f>'Resumen rta estudiantes'!G321</f>
        <v>3.5928143712574849E-2</v>
      </c>
      <c r="L84" s="197">
        <f t="shared" si="1"/>
        <v>0.99999999999999989</v>
      </c>
    </row>
    <row r="85" spans="1:12" ht="36.75" customHeight="1" x14ac:dyDescent="0.25">
      <c r="A85" s="5" t="s">
        <v>22</v>
      </c>
      <c r="B85" s="171">
        <v>7</v>
      </c>
      <c r="C85" s="171">
        <v>32</v>
      </c>
      <c r="D85" s="132">
        <v>60</v>
      </c>
      <c r="E85" s="6" t="str">
        <f>'Resumen rta estudiantes'!A324</f>
        <v xml:space="preserve">Cuenta de 60. Las alternativas de grado actuales me permitirán terminar mis estudios en el tiempo previsto. </v>
      </c>
      <c r="F85" s="200">
        <f>'Resumen rta estudiantes'!B325</f>
        <v>0.22155688622754491</v>
      </c>
      <c r="G85" s="200">
        <f>'Resumen rta estudiantes'!C325</f>
        <v>0.12574850299401197</v>
      </c>
      <c r="H85" s="200">
        <f>'Resumen rta estudiantes'!D325</f>
        <v>0.22754491017964071</v>
      </c>
      <c r="I85" s="200">
        <f>'Resumen rta estudiantes'!E325</f>
        <v>0.27544910179640719</v>
      </c>
      <c r="J85" s="200">
        <f>'Resumen rta estudiantes'!F325</f>
        <v>0.10179640718562874</v>
      </c>
      <c r="K85" s="200">
        <f>'Resumen rta estudiantes'!G325</f>
        <v>4.790419161676647E-2</v>
      </c>
      <c r="L85" s="197">
        <f t="shared" si="1"/>
        <v>1</v>
      </c>
    </row>
    <row r="86" spans="1:12" ht="36.75" customHeight="1" x14ac:dyDescent="0.25">
      <c r="A86" s="5" t="s">
        <v>22</v>
      </c>
      <c r="B86" s="171">
        <v>8</v>
      </c>
      <c r="C86" s="171">
        <v>33</v>
      </c>
      <c r="D86" s="132">
        <v>61</v>
      </c>
      <c r="E86" s="6" t="str">
        <f>'Resumen rta estudiantes'!A328</f>
        <v xml:space="preserve">Cuenta de 61. Considero que la atención por parte del personal administrativo de mi programa académico es idónea. </v>
      </c>
      <c r="F86" s="200">
        <f>'Resumen rta estudiantes'!B329</f>
        <v>9.580838323353294E-2</v>
      </c>
      <c r="G86" s="200">
        <f>'Resumen rta estudiantes'!C329</f>
        <v>5.9880239520958084E-2</v>
      </c>
      <c r="H86" s="200">
        <f>'Resumen rta estudiantes'!D329</f>
        <v>0.31736526946107785</v>
      </c>
      <c r="I86" s="200">
        <f>'Resumen rta estudiantes'!E329</f>
        <v>0.32335329341317365</v>
      </c>
      <c r="J86" s="200">
        <f>'Resumen rta estudiantes'!F329</f>
        <v>0.16167664670658682</v>
      </c>
      <c r="K86" s="200">
        <f>'Resumen rta estudiantes'!G329</f>
        <v>4.1916167664670656E-2</v>
      </c>
      <c r="L86" s="197">
        <f t="shared" si="1"/>
        <v>1</v>
      </c>
    </row>
    <row r="87" spans="1:12" ht="48.75" customHeight="1" x14ac:dyDescent="0.25">
      <c r="A87" s="5" t="s">
        <v>22</v>
      </c>
      <c r="B87" s="171">
        <v>8</v>
      </c>
      <c r="C87" s="171">
        <v>33</v>
      </c>
      <c r="D87" s="132" t="s">
        <v>1213</v>
      </c>
      <c r="E87" s="6" t="str">
        <f>'Resumen rta estudiantes'!A332</f>
        <v>Cuenta de 62.1. La organización, administración y gestión de mi programa académico permite cumplir los objetivos de: DESARROLLO REGULAR DE LOS ESPACIOS Y DE LOS SEMESTRES ACADÉMICOS.</v>
      </c>
      <c r="F87" s="200">
        <f>'Resumen rta estudiantes'!B333</f>
        <v>9.580838323353294E-2</v>
      </c>
      <c r="G87" s="200">
        <f>'Resumen rta estudiantes'!C333</f>
        <v>3.5928143712574849E-2</v>
      </c>
      <c r="H87" s="200">
        <f>'Resumen rta estudiantes'!D333</f>
        <v>0.28742514970059879</v>
      </c>
      <c r="I87" s="200">
        <f>'Resumen rta estudiantes'!E333</f>
        <v>0.39520958083832336</v>
      </c>
      <c r="J87" s="200">
        <f>'Resumen rta estudiantes'!F333</f>
        <v>0.1317365269461078</v>
      </c>
      <c r="K87" s="200">
        <f>'Resumen rta estudiantes'!G333</f>
        <v>5.3892215568862277E-2</v>
      </c>
      <c r="L87" s="197">
        <f t="shared" si="1"/>
        <v>1</v>
      </c>
    </row>
    <row r="88" spans="1:12" ht="48.75" customHeight="1" x14ac:dyDescent="0.25">
      <c r="A88" s="5" t="s">
        <v>22</v>
      </c>
      <c r="B88" s="171">
        <v>8</v>
      </c>
      <c r="C88" s="171">
        <v>33</v>
      </c>
      <c r="D88" s="132" t="s">
        <v>1214</v>
      </c>
      <c r="E88" s="6" t="str">
        <f>'Resumen rta estudiantes'!A336</f>
        <v>Cuenta de 62.2. La organización, administración y gestión de mi programa académico permite cumplir los objetivos de: PROMOCIÓN DE LA CULTURA DE LA INVESTIGACIÓN.</v>
      </c>
      <c r="F88" s="200">
        <f>'Resumen rta estudiantes'!B337</f>
        <v>8.3832335329341312E-2</v>
      </c>
      <c r="G88" s="200">
        <f>'Resumen rta estudiantes'!C337</f>
        <v>0.10179640718562874</v>
      </c>
      <c r="H88" s="200">
        <f>'Resumen rta estudiantes'!D337</f>
        <v>0.29341317365269459</v>
      </c>
      <c r="I88" s="200">
        <f>'Resumen rta estudiantes'!E337</f>
        <v>0.3592814371257485</v>
      </c>
      <c r="J88" s="200">
        <f>'Resumen rta estudiantes'!F337</f>
        <v>0.11377245508982035</v>
      </c>
      <c r="K88" s="200">
        <f>'Resumen rta estudiantes'!G337</f>
        <v>4.790419161676647E-2</v>
      </c>
      <c r="L88" s="197">
        <f t="shared" si="1"/>
        <v>1</v>
      </c>
    </row>
    <row r="89" spans="1:12" ht="48.75" customHeight="1" x14ac:dyDescent="0.25">
      <c r="A89" s="5" t="s">
        <v>22</v>
      </c>
      <c r="B89" s="171">
        <v>8</v>
      </c>
      <c r="C89" s="171">
        <v>33</v>
      </c>
      <c r="D89" s="132" t="s">
        <v>1215</v>
      </c>
      <c r="E89" s="6" t="str">
        <f>'Resumen rta estudiantes'!A340</f>
        <v>Cuenta de 62.3. La organización, administración y gestión de mi programa académico permite cumplir los objetivos de: INTEGRACIÓN CON LA COMUNIDAD Y CON EL ENTORNO.</v>
      </c>
      <c r="F89" s="200">
        <f>'Resumen rta estudiantes'!B341</f>
        <v>8.9820359281437126E-2</v>
      </c>
      <c r="G89" s="200">
        <f>'Resumen rta estudiantes'!C341</f>
        <v>0.1377245508982036</v>
      </c>
      <c r="H89" s="200">
        <f>'Resumen rta estudiantes'!D341</f>
        <v>0.22754491017964071</v>
      </c>
      <c r="I89" s="200">
        <f>'Resumen rta estudiantes'!E341</f>
        <v>0.3413173652694611</v>
      </c>
      <c r="J89" s="200">
        <f>'Resumen rta estudiantes'!F341</f>
        <v>0.11976047904191617</v>
      </c>
      <c r="K89" s="200">
        <f>'Resumen rta estudiantes'!G341</f>
        <v>8.3832335329341312E-2</v>
      </c>
      <c r="L89" s="197">
        <f t="shared" si="1"/>
        <v>1</v>
      </c>
    </row>
    <row r="90" spans="1:12" ht="36.75" customHeight="1" x14ac:dyDescent="0.25">
      <c r="A90" s="5" t="s">
        <v>22</v>
      </c>
      <c r="B90" s="171">
        <v>8</v>
      </c>
      <c r="C90" s="171">
        <v>33</v>
      </c>
      <c r="D90" s="132">
        <v>63</v>
      </c>
      <c r="E90" s="6" t="str">
        <f>'Resumen rta estudiantes'!A344</f>
        <v xml:space="preserve">Cuenta de 63. Puedo identificar las personas que desarrollan la representación estudiantil en mi programa académico. </v>
      </c>
      <c r="F90" s="200">
        <f>'Resumen rta estudiantes'!B345</f>
        <v>0.19161676646706588</v>
      </c>
      <c r="G90" s="200">
        <f>'Resumen rta estudiantes'!C345</f>
        <v>0.1377245508982036</v>
      </c>
      <c r="H90" s="200">
        <f>'Resumen rta estudiantes'!D345</f>
        <v>0.23952095808383234</v>
      </c>
      <c r="I90" s="200">
        <f>'Resumen rta estudiantes'!E345</f>
        <v>0.23353293413173654</v>
      </c>
      <c r="J90" s="200">
        <f>'Resumen rta estudiantes'!F345</f>
        <v>0.11976047904191617</v>
      </c>
      <c r="K90" s="200">
        <f>'Resumen rta estudiantes'!G345</f>
        <v>7.7844311377245512E-2</v>
      </c>
      <c r="L90" s="197">
        <f t="shared" si="1"/>
        <v>1.0000000000000002</v>
      </c>
    </row>
    <row r="91" spans="1:12" ht="36.75" customHeight="1" x14ac:dyDescent="0.25">
      <c r="A91" s="5" t="s">
        <v>22</v>
      </c>
      <c r="B91" s="171">
        <v>8</v>
      </c>
      <c r="C91" s="171">
        <v>33</v>
      </c>
      <c r="D91" s="132">
        <v>64</v>
      </c>
      <c r="E91" s="6" t="str">
        <f>'Resumen rta estudiantes'!A348</f>
        <v>Cuenta de 64. Considero que la representación estudiantil cumple su papel de comunicación entre los directivos y los estudiantes.</v>
      </c>
      <c r="F91" s="200">
        <f>'Resumen rta estudiantes'!B349</f>
        <v>0.15568862275449102</v>
      </c>
      <c r="G91" s="200">
        <f>'Resumen rta estudiantes'!C349</f>
        <v>0.1377245508982036</v>
      </c>
      <c r="H91" s="200">
        <f>'Resumen rta estudiantes'!D349</f>
        <v>0.24550898203592814</v>
      </c>
      <c r="I91" s="200">
        <f>'Resumen rta estudiantes'!E349</f>
        <v>0.18562874251497005</v>
      </c>
      <c r="J91" s="200">
        <f>'Resumen rta estudiantes'!F349</f>
        <v>0.12574850299401197</v>
      </c>
      <c r="K91" s="200">
        <f>'Resumen rta estudiantes'!G349</f>
        <v>0.1497005988023952</v>
      </c>
      <c r="L91" s="197">
        <f t="shared" si="1"/>
        <v>1</v>
      </c>
    </row>
    <row r="92" spans="1:12" ht="36.75" customHeight="1" x14ac:dyDescent="0.25">
      <c r="A92" s="5" t="s">
        <v>22</v>
      </c>
      <c r="B92" s="171">
        <v>8</v>
      </c>
      <c r="C92" s="171">
        <v>33</v>
      </c>
      <c r="D92" s="132">
        <v>65</v>
      </c>
      <c r="E92" s="6" t="str">
        <f>'Resumen rta estudiantes'!A352</f>
        <v xml:space="preserve">Cuenta de 65. Los representantes estudiantiles han liderado propuestas para el mejoramiento de mi programa académico. </v>
      </c>
      <c r="F92" s="200">
        <f>'Resumen rta estudiantes'!B353</f>
        <v>0.1497005988023952</v>
      </c>
      <c r="G92" s="200">
        <f>'Resumen rta estudiantes'!C353</f>
        <v>9.580838323353294E-2</v>
      </c>
      <c r="H92" s="200">
        <f>'Resumen rta estudiantes'!D353</f>
        <v>0.25748502994011974</v>
      </c>
      <c r="I92" s="200">
        <f>'Resumen rta estudiantes'!E353</f>
        <v>0.20359281437125748</v>
      </c>
      <c r="J92" s="200">
        <f>'Resumen rta estudiantes'!F353</f>
        <v>5.9880239520958084E-2</v>
      </c>
      <c r="K92" s="200">
        <f>'Resumen rta estudiantes'!G353</f>
        <v>0.23353293413173654</v>
      </c>
      <c r="L92" s="197">
        <f t="shared" si="1"/>
        <v>1</v>
      </c>
    </row>
    <row r="93" spans="1:12" ht="36.75" customHeight="1" x14ac:dyDescent="0.25">
      <c r="A93" s="5" t="s">
        <v>22</v>
      </c>
      <c r="B93" s="171">
        <v>8</v>
      </c>
      <c r="C93" s="171">
        <v>34</v>
      </c>
      <c r="D93" s="132" t="s">
        <v>1216</v>
      </c>
      <c r="E93" s="6" t="str">
        <f>'Resumen rta estudiantes'!A356</f>
        <v>Cuenta de 66.1. Considero que los sistemas de información empleados por mi programa académico son: VERACES.</v>
      </c>
      <c r="F93" s="200">
        <f>'Resumen rta estudiantes'!B357</f>
        <v>5.3892215568862277E-2</v>
      </c>
      <c r="G93" s="200">
        <f>'Resumen rta estudiantes'!C357</f>
        <v>7.1856287425149698E-2</v>
      </c>
      <c r="H93" s="200">
        <f>'Resumen rta estudiantes'!D357</f>
        <v>0.31137724550898205</v>
      </c>
      <c r="I93" s="200">
        <f>'Resumen rta estudiantes'!E357</f>
        <v>0.32934131736526945</v>
      </c>
      <c r="J93" s="200">
        <f>'Resumen rta estudiantes'!F357</f>
        <v>0.11377245508982035</v>
      </c>
      <c r="K93" s="200">
        <f>'Resumen rta estudiantes'!G357</f>
        <v>0.11976047904191617</v>
      </c>
      <c r="L93" s="197">
        <f t="shared" si="1"/>
        <v>1</v>
      </c>
    </row>
    <row r="94" spans="1:12" ht="36.75" customHeight="1" x14ac:dyDescent="0.25">
      <c r="A94" s="5" t="s">
        <v>22</v>
      </c>
      <c r="B94" s="171">
        <v>8</v>
      </c>
      <c r="C94" s="171">
        <v>34</v>
      </c>
      <c r="D94" s="132" t="s">
        <v>1217</v>
      </c>
      <c r="E94" s="6" t="str">
        <f>'Resumen rta estudiantes'!A360</f>
        <v>Cuenta de 66.2. Considero que los sistemas de información empleados por mi programa académico son: OPORTUNOS.</v>
      </c>
      <c r="F94" s="200">
        <f>'Resumen rta estudiantes'!B361</f>
        <v>6.5868263473053898E-2</v>
      </c>
      <c r="G94" s="200">
        <f>'Resumen rta estudiantes'!C361</f>
        <v>6.5868263473053898E-2</v>
      </c>
      <c r="H94" s="200">
        <f>'Resumen rta estudiantes'!D361</f>
        <v>0.32335329341317365</v>
      </c>
      <c r="I94" s="200">
        <f>'Resumen rta estudiantes'!E361</f>
        <v>0.3652694610778443</v>
      </c>
      <c r="J94" s="200">
        <f>'Resumen rta estudiantes'!F361</f>
        <v>0.12574850299401197</v>
      </c>
      <c r="K94" s="200">
        <f>'Resumen rta estudiantes'!G361</f>
        <v>5.3892215568862277E-2</v>
      </c>
      <c r="L94" s="197">
        <f t="shared" si="1"/>
        <v>1</v>
      </c>
    </row>
    <row r="95" spans="1:12" ht="36.75" customHeight="1" x14ac:dyDescent="0.25">
      <c r="A95" s="5" t="s">
        <v>22</v>
      </c>
      <c r="B95" s="171">
        <v>8</v>
      </c>
      <c r="C95" s="171">
        <v>34</v>
      </c>
      <c r="D95" s="132" t="s">
        <v>924</v>
      </c>
      <c r="E95" s="6" t="str">
        <f>'Resumen rta estudiantes'!A364</f>
        <v>Cuenta de 67.1. Considero que los medios empleados para la difusión de información de mi programa académico son: VERACES.</v>
      </c>
      <c r="F95" s="200">
        <f>'Resumen rta estudiantes'!B365</f>
        <v>5.3892215568862277E-2</v>
      </c>
      <c r="G95" s="200">
        <f>'Resumen rta estudiantes'!C365</f>
        <v>5.9880239520958084E-2</v>
      </c>
      <c r="H95" s="200">
        <f>'Resumen rta estudiantes'!D365</f>
        <v>0.32335329341317365</v>
      </c>
      <c r="I95" s="200">
        <f>'Resumen rta estudiantes'!E365</f>
        <v>0.3712574850299401</v>
      </c>
      <c r="J95" s="200">
        <f>'Resumen rta estudiantes'!F365</f>
        <v>0.1377245508982036</v>
      </c>
      <c r="K95" s="200">
        <f>'Resumen rta estudiantes'!G365</f>
        <v>5.3892215568862277E-2</v>
      </c>
      <c r="L95" s="197">
        <f t="shared" si="1"/>
        <v>1</v>
      </c>
    </row>
    <row r="96" spans="1:12" ht="36.75" customHeight="1" x14ac:dyDescent="0.25">
      <c r="A96" s="5" t="s">
        <v>22</v>
      </c>
      <c r="B96" s="171">
        <v>8</v>
      </c>
      <c r="C96" s="171">
        <v>34</v>
      </c>
      <c r="D96" s="132" t="s">
        <v>925</v>
      </c>
      <c r="E96" s="6" t="str">
        <f>'Resumen rta estudiantes'!A368</f>
        <v>Cuenta de 67.2. Considero que los medios empleados para la difusión de información de mi programa académico son: OPORTUNOS.</v>
      </c>
      <c r="F96" s="200">
        <f>'Resumen rta estudiantes'!B369</f>
        <v>6.5868263473053898E-2</v>
      </c>
      <c r="G96" s="200">
        <f>'Resumen rta estudiantes'!C369</f>
        <v>8.3832335329341312E-2</v>
      </c>
      <c r="H96" s="200">
        <f>'Resumen rta estudiantes'!D369</f>
        <v>0.3413173652694611</v>
      </c>
      <c r="I96" s="200">
        <f>'Resumen rta estudiantes'!E369</f>
        <v>0.3532934131736527</v>
      </c>
      <c r="J96" s="200">
        <f>'Resumen rta estudiantes'!F369</f>
        <v>0.10778443113772455</v>
      </c>
      <c r="K96" s="200">
        <f>'Resumen rta estudiantes'!G369</f>
        <v>4.790419161676647E-2</v>
      </c>
      <c r="L96" s="197">
        <f t="shared" si="1"/>
        <v>1</v>
      </c>
    </row>
    <row r="97" spans="1:12" ht="36.75" customHeight="1" x14ac:dyDescent="0.25">
      <c r="A97" s="5" t="s">
        <v>22</v>
      </c>
      <c r="B97" s="171">
        <v>8</v>
      </c>
      <c r="C97" s="171">
        <v>35</v>
      </c>
      <c r="D97" s="132">
        <v>68</v>
      </c>
      <c r="E97" s="6" t="str">
        <f>'Resumen rta estudiantes'!A372</f>
        <v xml:space="preserve">Cuenta de 68. Considero que las orientaciones de los directivos de mi programa académico son adecuadas. </v>
      </c>
      <c r="F97" s="200">
        <f>'Resumen rta estudiantes'!B373</f>
        <v>5.9880239520958084E-2</v>
      </c>
      <c r="G97" s="200">
        <f>'Resumen rta estudiantes'!C373</f>
        <v>7.1856287425149698E-2</v>
      </c>
      <c r="H97" s="200">
        <f>'Resumen rta estudiantes'!D373</f>
        <v>0.29940119760479039</v>
      </c>
      <c r="I97" s="200">
        <f>'Resumen rta estudiantes'!E373</f>
        <v>0.38922155688622756</v>
      </c>
      <c r="J97" s="200">
        <f>'Resumen rta estudiantes'!F373</f>
        <v>0.11976047904191617</v>
      </c>
      <c r="K97" s="200">
        <f>'Resumen rta estudiantes'!G373</f>
        <v>5.9880239520958084E-2</v>
      </c>
      <c r="L97" s="197">
        <f t="shared" si="1"/>
        <v>1</v>
      </c>
    </row>
    <row r="98" spans="1:12" ht="36" x14ac:dyDescent="0.25">
      <c r="A98" s="5" t="s">
        <v>22</v>
      </c>
      <c r="B98" s="171">
        <v>8</v>
      </c>
      <c r="C98" s="171">
        <v>35</v>
      </c>
      <c r="D98" s="132">
        <v>69</v>
      </c>
      <c r="E98" s="6" t="str">
        <f>'Resumen rta estudiantes'!A376</f>
        <v>Cuenta de 69. Considero que el liderazgo ejercido por los directivos de mi programa académico es idóneo.</v>
      </c>
      <c r="F98" s="200">
        <f>'Resumen rta estudiantes'!B377</f>
        <v>6.5868263473053898E-2</v>
      </c>
      <c r="G98" s="200">
        <f>'Resumen rta estudiantes'!C377</f>
        <v>9.580838323353294E-2</v>
      </c>
      <c r="H98" s="200">
        <f>'Resumen rta estudiantes'!D377</f>
        <v>0.31137724550898205</v>
      </c>
      <c r="I98" s="200">
        <f>'Resumen rta estudiantes'!E377</f>
        <v>0.31736526946107785</v>
      </c>
      <c r="J98" s="200">
        <f>'Resumen rta estudiantes'!F377</f>
        <v>0.11377245508982035</v>
      </c>
      <c r="K98" s="200">
        <f>'Resumen rta estudiantes'!G377</f>
        <v>9.580838323353294E-2</v>
      </c>
      <c r="L98" s="197">
        <f t="shared" si="1"/>
        <v>1</v>
      </c>
    </row>
    <row r="99" spans="1:12" ht="24.75" customHeight="1" x14ac:dyDescent="0.25">
      <c r="A99" s="5" t="s">
        <v>22</v>
      </c>
      <c r="B99" s="171">
        <v>10</v>
      </c>
      <c r="C99" s="171">
        <v>38</v>
      </c>
      <c r="D99" s="132" t="s">
        <v>1218</v>
      </c>
      <c r="E99" s="6" t="str">
        <f>'Resumen rta estudiantes'!A380</f>
        <v>Cuenta de 70.1. Considero que la planta física de mi programa académico es: ADECUADA.</v>
      </c>
      <c r="F99" s="200">
        <f>'Resumen rta estudiantes'!B381</f>
        <v>0.10179640718562874</v>
      </c>
      <c r="G99" s="200">
        <f>'Resumen rta estudiantes'!C381</f>
        <v>7.1856287425149698E-2</v>
      </c>
      <c r="H99" s="200">
        <f>'Resumen rta estudiantes'!D381</f>
        <v>0.31736526946107785</v>
      </c>
      <c r="I99" s="200">
        <f>'Resumen rta estudiantes'!E381</f>
        <v>0.31736526946107785</v>
      </c>
      <c r="J99" s="200">
        <f>'Resumen rta estudiantes'!F381</f>
        <v>0.16766467065868262</v>
      </c>
      <c r="K99" s="200">
        <f>'Resumen rta estudiantes'!G381</f>
        <v>2.3952095808383235E-2</v>
      </c>
      <c r="L99" s="197">
        <f t="shared" si="1"/>
        <v>1</v>
      </c>
    </row>
    <row r="100" spans="1:12" ht="24.75" customHeight="1" x14ac:dyDescent="0.25">
      <c r="A100" s="5" t="s">
        <v>22</v>
      </c>
      <c r="B100" s="171">
        <v>10</v>
      </c>
      <c r="C100" s="171">
        <v>38</v>
      </c>
      <c r="D100" s="132" t="s">
        <v>1219</v>
      </c>
      <c r="E100" s="6" t="str">
        <f>'Resumen rta estudiantes'!A384</f>
        <v>Cuenta de 70.2. Considero que la planta física de mi programa académico es: SUFICIENTE.</v>
      </c>
      <c r="F100" s="200">
        <f>'Resumen rta estudiantes'!B385</f>
        <v>0.12574850299401197</v>
      </c>
      <c r="G100" s="200">
        <f>'Resumen rta estudiantes'!C385</f>
        <v>0.11976047904191617</v>
      </c>
      <c r="H100" s="200">
        <f>'Resumen rta estudiantes'!D385</f>
        <v>0.32335329341317365</v>
      </c>
      <c r="I100" s="200">
        <f>'Resumen rta estudiantes'!E385</f>
        <v>0.26946107784431139</v>
      </c>
      <c r="J100" s="200">
        <f>'Resumen rta estudiantes'!F385</f>
        <v>0.12574850299401197</v>
      </c>
      <c r="K100" s="200">
        <f>'Resumen rta estudiantes'!G385</f>
        <v>3.5928143712574849E-2</v>
      </c>
      <c r="L100" s="197">
        <f t="shared" si="1"/>
        <v>0.99999999999999989</v>
      </c>
    </row>
    <row r="101" spans="1:12" ht="24.75" customHeight="1" x14ac:dyDescent="0.25">
      <c r="A101" s="5" t="s">
        <v>22</v>
      </c>
      <c r="B101" s="171">
        <v>10</v>
      </c>
      <c r="C101" s="171">
        <v>38</v>
      </c>
      <c r="D101" s="132" t="s">
        <v>1220</v>
      </c>
      <c r="E101" s="6" t="str">
        <f>'Resumen rta estudiantes'!A388</f>
        <v>Cuenta de 70.3. Considero que la planta física de mi programa académico es: CONSERVADA.</v>
      </c>
      <c r="F101" s="200">
        <f>'Resumen rta estudiantes'!B389</f>
        <v>8.3832335329341312E-2</v>
      </c>
      <c r="G101" s="200">
        <f>'Resumen rta estudiantes'!C389</f>
        <v>4.790419161676647E-2</v>
      </c>
      <c r="H101" s="200">
        <f>'Resumen rta estudiantes'!D389</f>
        <v>0.3532934131736527</v>
      </c>
      <c r="I101" s="200">
        <f>'Resumen rta estudiantes'!E389</f>
        <v>0.32335329341317365</v>
      </c>
      <c r="J101" s="200">
        <f>'Resumen rta estudiantes'!F389</f>
        <v>0.15568862275449102</v>
      </c>
      <c r="K101" s="200">
        <f>'Resumen rta estudiantes'!G389</f>
        <v>3.5928143712574849E-2</v>
      </c>
      <c r="L101" s="197">
        <f t="shared" si="1"/>
        <v>1</v>
      </c>
    </row>
    <row r="102" spans="1:12" ht="27" customHeight="1" x14ac:dyDescent="0.25">
      <c r="A102" s="5" t="s">
        <v>23</v>
      </c>
      <c r="B102" s="132">
        <v>1</v>
      </c>
      <c r="C102" s="132">
        <v>1</v>
      </c>
      <c r="D102" s="132">
        <v>1</v>
      </c>
      <c r="E102" s="6" t="str">
        <f>'Resumen rta docentes'!A4</f>
        <v>Cuenta de 1. Conozco la misión de la Universidad Distrital Francisco José de Caldas.</v>
      </c>
      <c r="F102" s="200">
        <v>0</v>
      </c>
      <c r="G102" s="200">
        <v>0</v>
      </c>
      <c r="H102" s="200">
        <f>'Resumen rta docentes'!D5</f>
        <v>0</v>
      </c>
      <c r="I102" s="200">
        <f>'Resumen rta docentes'!B5</f>
        <v>0.29629629629629628</v>
      </c>
      <c r="J102" s="200">
        <f>'Resumen rta docentes'!C5</f>
        <v>0.70370370370370372</v>
      </c>
      <c r="K102" s="200">
        <f>'Resumen rta docentes'!G5</f>
        <v>0</v>
      </c>
      <c r="L102" s="197">
        <f>SUM(F102:K102)</f>
        <v>1</v>
      </c>
    </row>
    <row r="103" spans="1:12" ht="36" x14ac:dyDescent="0.25">
      <c r="A103" s="5" t="s">
        <v>23</v>
      </c>
      <c r="B103" s="132">
        <v>1</v>
      </c>
      <c r="C103" s="132">
        <v>1</v>
      </c>
      <c r="D103" s="132">
        <v>2</v>
      </c>
      <c r="E103" s="6" t="str">
        <f>'Resumen rta docentes'!A8</f>
        <v>Cuenta de 2. Me siento identificado con la misión de la Universidad Distrital Francisco José de Caldas.</v>
      </c>
      <c r="F103" s="200">
        <v>0</v>
      </c>
      <c r="G103" s="200">
        <f>'Resumen rta docentes'!B9</f>
        <v>3.7037037037037035E-2</v>
      </c>
      <c r="H103" s="197">
        <v>0</v>
      </c>
      <c r="I103" s="200">
        <f>'Resumen rta docentes'!C9</f>
        <v>0.25925925925925924</v>
      </c>
      <c r="J103" s="200">
        <f>'Resumen rta docentes'!D9</f>
        <v>0.70370370370370372</v>
      </c>
      <c r="K103" s="200">
        <f>'Resumen rta docentes'!G9</f>
        <v>0</v>
      </c>
      <c r="L103" s="197">
        <f t="shared" ref="L103:L166" si="2">SUM(F103:K103)</f>
        <v>1</v>
      </c>
    </row>
    <row r="104" spans="1:12" ht="60" x14ac:dyDescent="0.25">
      <c r="A104" s="5" t="s">
        <v>23</v>
      </c>
      <c r="B104" s="132">
        <v>1</v>
      </c>
      <c r="C104" s="132">
        <v>1</v>
      </c>
      <c r="D104" s="132">
        <v>3</v>
      </c>
      <c r="E104" s="6" t="str">
        <f>'Resumen rta docentes'!A12</f>
        <v>Cuenta de 3. Considero que la Universidad Distrital Francisco José de Caldas es una alternativa real para acceder al conocimiento por parte de la población bogotana de menores ingresos.</v>
      </c>
      <c r="F104" s="200">
        <v>0</v>
      </c>
      <c r="G104" s="200">
        <f>'Resumen rta docentes'!B13</f>
        <v>3.7037037037037035E-2</v>
      </c>
      <c r="H104" s="200">
        <f>'Resumen rta docentes'!C13</f>
        <v>3.7037037037037035E-2</v>
      </c>
      <c r="I104" s="200">
        <f>'Resumen rta docentes'!D13</f>
        <v>0.14814814814814814</v>
      </c>
      <c r="J104" s="200">
        <f>'Resumen rta docentes'!E13</f>
        <v>0.77777777777777779</v>
      </c>
      <c r="K104" s="200">
        <f>'Resumen rta docentes'!G13</f>
        <v>0</v>
      </c>
      <c r="L104" s="197">
        <f t="shared" si="2"/>
        <v>1</v>
      </c>
    </row>
    <row r="105" spans="1:12" ht="60" x14ac:dyDescent="0.25">
      <c r="A105" s="5" t="s">
        <v>23</v>
      </c>
      <c r="B105" s="132">
        <v>1</v>
      </c>
      <c r="C105" s="132">
        <v>1</v>
      </c>
      <c r="D105" s="132">
        <v>4</v>
      </c>
      <c r="E105" s="6" t="str">
        <f>'Resumen rta docentes'!A16</f>
        <v>Cuenta de 4. Considero que la Universidad Distrital Francisco José de Caldas desarrolla una educación de alta calidad con capacidad de responder a los retos del Distrito Capital y del país.</v>
      </c>
      <c r="F105" s="199">
        <v>0</v>
      </c>
      <c r="G105" s="200">
        <f>'Resumen rta docentes'!B17</f>
        <v>7.407407407407407E-2</v>
      </c>
      <c r="H105" s="200">
        <f>'Resumen rta docentes'!C17</f>
        <v>3.7037037037037035E-2</v>
      </c>
      <c r="I105" s="200">
        <f>'Resumen rta docentes'!D17</f>
        <v>0.37037037037037035</v>
      </c>
      <c r="J105" s="200">
        <f>'Resumen rta docentes'!E17</f>
        <v>0.51851851851851849</v>
      </c>
      <c r="K105" s="200">
        <f>'Resumen rta docentes'!G17</f>
        <v>0</v>
      </c>
      <c r="L105" s="197">
        <f t="shared" si="2"/>
        <v>1</v>
      </c>
    </row>
    <row r="106" spans="1:12" ht="24.75" customHeight="1" x14ac:dyDescent="0.25">
      <c r="A106" s="5" t="s">
        <v>23</v>
      </c>
      <c r="B106" s="132">
        <v>1</v>
      </c>
      <c r="C106" s="132">
        <v>2</v>
      </c>
      <c r="D106" s="132">
        <v>5</v>
      </c>
      <c r="E106" s="6" t="str">
        <f>'Resumen rta docentes'!A20</f>
        <v>Cuenta de 5. Conozco el proyecto educativo (PEP) del programa académico al cual pertenezco.</v>
      </c>
      <c r="F106" s="200">
        <f>'Resumen rta docentes'!B21</f>
        <v>3.7037037037037035E-2</v>
      </c>
      <c r="G106" s="200">
        <v>0</v>
      </c>
      <c r="H106" s="200">
        <f>'Resumen rta docentes'!C21</f>
        <v>0.18518518518518517</v>
      </c>
      <c r="I106" s="200">
        <f>'Resumen rta docentes'!D21</f>
        <v>0.33333333333333331</v>
      </c>
      <c r="J106" s="200">
        <f>'Resumen rta docentes'!E21</f>
        <v>0.44444444444444442</v>
      </c>
      <c r="K106" s="200">
        <f>'Resumen rta docentes'!G21</f>
        <v>0</v>
      </c>
      <c r="L106" s="197">
        <f t="shared" si="2"/>
        <v>1</v>
      </c>
    </row>
    <row r="107" spans="1:12" ht="36.75" customHeight="1" x14ac:dyDescent="0.25">
      <c r="A107" s="5" t="s">
        <v>23</v>
      </c>
      <c r="B107" s="132">
        <v>1</v>
      </c>
      <c r="C107" s="132">
        <v>2</v>
      </c>
      <c r="D107" s="132">
        <v>6</v>
      </c>
      <c r="E107" s="6" t="str">
        <f>'Resumen rta docentes'!A24</f>
        <v>Cuenta de 6. He participado en la elaboración, discusión y actualización del Proyecto Educativo de Programa.</v>
      </c>
      <c r="F107" s="200">
        <f>'Resumen rta docentes'!B25</f>
        <v>0.14814814814814814</v>
      </c>
      <c r="G107" s="200">
        <v>0</v>
      </c>
      <c r="H107" s="200">
        <f>'Resumen rta docentes'!C25</f>
        <v>0.18518518518518517</v>
      </c>
      <c r="I107" s="200">
        <f>'Resumen rta docentes'!D25</f>
        <v>0.1111111111111111</v>
      </c>
      <c r="J107" s="200">
        <f>'Resumen rta docentes'!E25</f>
        <v>0.51851851851851849</v>
      </c>
      <c r="K107" s="200">
        <f>'Resumen rta docentes'!F25</f>
        <v>3.7037037037037035E-2</v>
      </c>
      <c r="L107" s="197">
        <f t="shared" si="2"/>
        <v>1</v>
      </c>
    </row>
    <row r="108" spans="1:12" ht="48.75" customHeight="1" x14ac:dyDescent="0.25">
      <c r="A108" s="5" t="s">
        <v>23</v>
      </c>
      <c r="B108" s="132">
        <v>2</v>
      </c>
      <c r="C108" s="132">
        <v>4</v>
      </c>
      <c r="D108" s="132">
        <v>7</v>
      </c>
      <c r="E108" s="6" t="str">
        <f>'Resumen rta docentes'!A28</f>
        <v>Cuenta de 7. Considero que el proceso de admisión a cada uno de los niveles de formación de los programas académicos por ciclos es el apropiado.</v>
      </c>
      <c r="F108" s="200">
        <v>0</v>
      </c>
      <c r="G108" s="200">
        <f>'Resumen rta docentes'!B29</f>
        <v>0.14814814814814814</v>
      </c>
      <c r="H108" s="200">
        <f>'Resumen rta docentes'!C29</f>
        <v>0.14814814814814814</v>
      </c>
      <c r="I108" s="200">
        <f>'Resumen rta docentes'!D29</f>
        <v>0.37037037037037035</v>
      </c>
      <c r="J108" s="200">
        <f>'Resumen rta docentes'!E29</f>
        <v>0.33333333333333331</v>
      </c>
      <c r="K108" s="200">
        <f>'Resumen rta docentes'!G29</f>
        <v>0</v>
      </c>
      <c r="L108" s="197">
        <f t="shared" si="2"/>
        <v>1</v>
      </c>
    </row>
    <row r="109" spans="1:12" ht="48" x14ac:dyDescent="0.25">
      <c r="A109" s="5" t="s">
        <v>23</v>
      </c>
      <c r="B109" s="132">
        <v>2</v>
      </c>
      <c r="C109" s="132">
        <v>4</v>
      </c>
      <c r="D109" s="132">
        <v>8</v>
      </c>
      <c r="E109" s="6" t="str">
        <f>'Resumen rta docentes'!A32</f>
        <v>Cuenta de 8. Considero que el proceso de admisión de estudiantes a los programas de la Facultad Tecnológica es transparente y equitativo.</v>
      </c>
      <c r="F109" s="200">
        <v>0</v>
      </c>
      <c r="G109" s="200">
        <f>'Resumen rta docentes'!B33</f>
        <v>3.7037037037037035E-2</v>
      </c>
      <c r="H109" s="200">
        <f>'Resumen rta docentes'!C33</f>
        <v>3.7037037037037035E-2</v>
      </c>
      <c r="I109" s="200">
        <f>'Resumen rta docentes'!D33</f>
        <v>0.25925925925925924</v>
      </c>
      <c r="J109" s="200">
        <f>'Resumen rta docentes'!E33</f>
        <v>0.66666666666666663</v>
      </c>
      <c r="K109" s="200">
        <f>'Resumen rta docentes'!G33</f>
        <v>0</v>
      </c>
      <c r="L109" s="197">
        <f t="shared" si="2"/>
        <v>1</v>
      </c>
    </row>
    <row r="110" spans="1:12" ht="36.75" customHeight="1" x14ac:dyDescent="0.25">
      <c r="A110" s="5" t="s">
        <v>23</v>
      </c>
      <c r="B110" s="132">
        <v>2</v>
      </c>
      <c r="C110" s="132">
        <v>5</v>
      </c>
      <c r="D110" s="132">
        <v>9</v>
      </c>
      <c r="E110" s="6" t="str">
        <f>'Resumen rta docentes'!A36</f>
        <v>Cuenta de 9. Me siento cómodo con el número de estudiantes que se inscriben en los diferentes espacios académicos que lidero.</v>
      </c>
      <c r="F110" s="200">
        <f>'Resumen rta docentes'!B37</f>
        <v>3.7037037037037035E-2</v>
      </c>
      <c r="G110" s="200">
        <f>'Resumen rta docentes'!C37</f>
        <v>7.407407407407407E-2</v>
      </c>
      <c r="H110" s="200">
        <f>'Resumen rta docentes'!D37</f>
        <v>0.1111111111111111</v>
      </c>
      <c r="I110" s="200">
        <f>'Resumen rta docentes'!E37</f>
        <v>0.37037037037037035</v>
      </c>
      <c r="J110" s="200">
        <f>'Resumen rta docentes'!F37</f>
        <v>0.40740740740740738</v>
      </c>
      <c r="K110" s="200">
        <f>'Resumen rta docentes'!G37</f>
        <v>0</v>
      </c>
      <c r="L110" s="197">
        <f t="shared" si="2"/>
        <v>1</v>
      </c>
    </row>
    <row r="111" spans="1:12" ht="36" x14ac:dyDescent="0.25">
      <c r="A111" s="5" t="s">
        <v>23</v>
      </c>
      <c r="B111" s="132">
        <v>2</v>
      </c>
      <c r="C111" s="132">
        <v>7</v>
      </c>
      <c r="D111" s="132">
        <v>10</v>
      </c>
      <c r="E111" s="6" t="str">
        <f>'Resumen rta docentes'!A40</f>
        <v>Cuenta de 10. Considero que los principales reglamentos de la Universidad Distrital son apropiados.</v>
      </c>
      <c r="F111" s="200">
        <f>'Resumen rta docentes'!B41</f>
        <v>3.7037037037037035E-2</v>
      </c>
      <c r="G111" s="200"/>
      <c r="H111" s="200">
        <f>'Resumen rta docentes'!C41</f>
        <v>0.29629629629629628</v>
      </c>
      <c r="I111" s="200">
        <f>'Resumen rta docentes'!D41</f>
        <v>0.40740740740740738</v>
      </c>
      <c r="J111" s="200">
        <f>'Resumen rta docentes'!E41</f>
        <v>0.25925925925925924</v>
      </c>
      <c r="K111" s="200">
        <f>'Resumen rta docentes'!G41</f>
        <v>0</v>
      </c>
      <c r="L111" s="197">
        <f t="shared" si="2"/>
        <v>1</v>
      </c>
    </row>
    <row r="112" spans="1:12" ht="48.75" customHeight="1" x14ac:dyDescent="0.25">
      <c r="A112" s="5" t="s">
        <v>23</v>
      </c>
      <c r="B112" s="132">
        <v>2</v>
      </c>
      <c r="C112" s="132">
        <v>7</v>
      </c>
      <c r="D112" s="132">
        <v>11</v>
      </c>
      <c r="E112" s="6" t="str">
        <f>'Resumen rta docentes'!A44</f>
        <v>Cuenta de 11. Considero que en el programa académico al cual pertenezco se aplican debidamente las normas establecidas en los reglamentos estudiantil y académico.</v>
      </c>
      <c r="F112" s="200">
        <v>0</v>
      </c>
      <c r="G112" s="200">
        <v>0</v>
      </c>
      <c r="H112" s="200">
        <f>'Resumen rta docentes'!B45</f>
        <v>0.1111111111111111</v>
      </c>
      <c r="I112" s="200">
        <f>'Resumen rta docentes'!C45</f>
        <v>0.29629629629629628</v>
      </c>
      <c r="J112" s="200">
        <f>'Resumen rta docentes'!D45</f>
        <v>0.59259259259259256</v>
      </c>
      <c r="K112" s="200">
        <f>'Resumen rta docentes'!G45</f>
        <v>0</v>
      </c>
      <c r="L112" s="197">
        <f t="shared" si="2"/>
        <v>1</v>
      </c>
    </row>
    <row r="113" spans="1:12" ht="48" x14ac:dyDescent="0.25">
      <c r="A113" s="5" t="s">
        <v>23</v>
      </c>
      <c r="B113" s="132">
        <v>3</v>
      </c>
      <c r="C113" s="132">
        <v>8</v>
      </c>
      <c r="D113" s="132">
        <v>12</v>
      </c>
      <c r="E113" s="6" t="str">
        <f>'Resumen rta docentes'!A48</f>
        <v>Cuenta de 12. Considero que el proceso de selección y vinculación de docentes DE PLANTA a la Universidad Distrital Francisco José de Caldas es trasparente y equitativo.</v>
      </c>
      <c r="F113" s="200">
        <f>'Resumen rta docentes'!B49</f>
        <v>0.1111111111111111</v>
      </c>
      <c r="G113" s="200">
        <f>'Resumen rta docentes'!C49</f>
        <v>0.1111111111111111</v>
      </c>
      <c r="H113" s="200">
        <f>'Resumen rta docentes'!D49</f>
        <v>7.407407407407407E-2</v>
      </c>
      <c r="I113" s="200">
        <f>'Resumen rta docentes'!E49</f>
        <v>0.33333333333333331</v>
      </c>
      <c r="J113" s="200">
        <f>'Resumen rta docentes'!F49</f>
        <v>0.33333333333333331</v>
      </c>
      <c r="K113" s="200">
        <f>'Resumen rta docentes'!G49</f>
        <v>3.7037037037037035E-2</v>
      </c>
      <c r="L113" s="197">
        <f t="shared" si="2"/>
        <v>0.99999999999999978</v>
      </c>
    </row>
    <row r="114" spans="1:12" ht="48" x14ac:dyDescent="0.25">
      <c r="A114" s="5" t="s">
        <v>23</v>
      </c>
      <c r="B114" s="132">
        <v>3</v>
      </c>
      <c r="C114" s="132">
        <v>8</v>
      </c>
      <c r="D114" s="132">
        <v>13</v>
      </c>
      <c r="E114" s="6" t="str">
        <f>'Resumen rta docentes'!A52</f>
        <v>Cuenta de 13. Considero que el proceso de selección y vinculación de docentes OCASIONALES a la Universidad Distrital Francisco José de Caldas es trasparente y equitativo.</v>
      </c>
      <c r="F114" s="200">
        <f>'Resumen rta docentes'!B53</f>
        <v>3.7037037037037035E-2</v>
      </c>
      <c r="G114" s="200">
        <f>'Resumen rta docentes'!C53</f>
        <v>0.1111111111111111</v>
      </c>
      <c r="H114" s="200">
        <f>'Resumen rta docentes'!D53</f>
        <v>0.1111111111111111</v>
      </c>
      <c r="I114" s="200">
        <f>'Resumen rta docentes'!E53</f>
        <v>0.40740740740740738</v>
      </c>
      <c r="J114" s="200">
        <f>'Resumen rta docentes'!F53</f>
        <v>0.29629629629629628</v>
      </c>
      <c r="K114" s="200">
        <f>'Resumen rta docentes'!G53</f>
        <v>3.7037037037037035E-2</v>
      </c>
      <c r="L114" s="197">
        <f t="shared" si="2"/>
        <v>1</v>
      </c>
    </row>
    <row r="115" spans="1:12" ht="48" x14ac:dyDescent="0.25">
      <c r="A115" s="5" t="s">
        <v>23</v>
      </c>
      <c r="B115" s="132">
        <v>3</v>
      </c>
      <c r="C115" s="132">
        <v>8</v>
      </c>
      <c r="D115" s="132">
        <v>14</v>
      </c>
      <c r="E115" s="6" t="str">
        <f>'Resumen rta docentes'!A56</f>
        <v>Cuenta de 14. Conozco los criterios académicos establecidos para definir la permanencia de los docentes en la Universidad Distrital Francisco José de Caldas.</v>
      </c>
      <c r="F115" s="200">
        <f>'Resumen rta docentes'!B57</f>
        <v>7.407407407407407E-2</v>
      </c>
      <c r="G115" s="200">
        <v>0</v>
      </c>
      <c r="H115" s="200">
        <f>'Resumen rta docentes'!C57</f>
        <v>0.1111111111111111</v>
      </c>
      <c r="I115" s="200">
        <f>'Resumen rta docentes'!D57</f>
        <v>0.18518518518518517</v>
      </c>
      <c r="J115" s="200">
        <f>'Resumen rta docentes'!E57</f>
        <v>0.59259259259259256</v>
      </c>
      <c r="K115" s="200">
        <f>'Resumen rta docentes'!F57</f>
        <v>3.7037037037037035E-2</v>
      </c>
      <c r="L115" s="197">
        <f t="shared" si="2"/>
        <v>1</v>
      </c>
    </row>
    <row r="116" spans="1:12" ht="48" x14ac:dyDescent="0.25">
      <c r="A116" s="5" t="s">
        <v>23</v>
      </c>
      <c r="B116" s="132">
        <v>3</v>
      </c>
      <c r="C116" s="132">
        <v>9</v>
      </c>
      <c r="D116" s="132">
        <v>15</v>
      </c>
      <c r="E116" s="6" t="str">
        <f>'Resumen rta docentes'!A60</f>
        <v>Cuenta de 15. Considero que en el programa académico al cual pertenezco se aplican debidamente las normas establecidas en el estatuto docente.</v>
      </c>
      <c r="F116" s="200">
        <v>0</v>
      </c>
      <c r="G116" s="200">
        <v>0</v>
      </c>
      <c r="H116" s="200">
        <f>'Resumen rta docentes'!B61</f>
        <v>0.1111111111111111</v>
      </c>
      <c r="I116" s="200">
        <f>'Resumen rta docentes'!C61</f>
        <v>0.22222222222222221</v>
      </c>
      <c r="J116" s="200">
        <f>'Resumen rta docentes'!D61</f>
        <v>0.62962962962962965</v>
      </c>
      <c r="K116" s="200">
        <f>'Resumen rta docentes'!E61</f>
        <v>3.7037037037037035E-2</v>
      </c>
      <c r="L116" s="197">
        <f t="shared" si="2"/>
        <v>1</v>
      </c>
    </row>
    <row r="117" spans="1:12" ht="24.75" customHeight="1" x14ac:dyDescent="0.25">
      <c r="A117" s="5" t="s">
        <v>23</v>
      </c>
      <c r="B117" s="132">
        <v>3</v>
      </c>
      <c r="C117" s="132">
        <v>9</v>
      </c>
      <c r="D117" s="132">
        <v>16</v>
      </c>
      <c r="E117" s="6" t="str">
        <f>'Resumen rta docentes'!A64</f>
        <v>Cuenta de 16. Considero que el estatuto docente es pertinente y es vigente.</v>
      </c>
      <c r="F117" s="200">
        <f>'Resumen rta docentes'!B65</f>
        <v>7.407407407407407E-2</v>
      </c>
      <c r="G117" s="200">
        <f>'Resumen rta docentes'!C65</f>
        <v>0.18518518518518517</v>
      </c>
      <c r="H117" s="200">
        <f>'Resumen rta docentes'!D65</f>
        <v>0.18518518518518517</v>
      </c>
      <c r="I117" s="200">
        <f>'Resumen rta docentes'!E65</f>
        <v>0.37037037037037035</v>
      </c>
      <c r="J117" s="200">
        <f>'Resumen rta docentes'!F65</f>
        <v>0.18518518518518517</v>
      </c>
      <c r="K117" s="200">
        <f>'Resumen rta docentes'!G65</f>
        <v>0</v>
      </c>
      <c r="L117" s="197">
        <f t="shared" si="2"/>
        <v>1</v>
      </c>
    </row>
    <row r="118" spans="1:12" ht="60" x14ac:dyDescent="0.25">
      <c r="A118" s="5" t="s">
        <v>23</v>
      </c>
      <c r="B118" s="132">
        <v>3</v>
      </c>
      <c r="C118" s="132">
        <v>9</v>
      </c>
      <c r="D118" s="132">
        <v>17</v>
      </c>
      <c r="E118" s="6" t="str">
        <f>'Resumen rta docentes'!A68</f>
        <v>Cuenta de 17. Conozco los procedimientos para hacer parte de los órganos de dirección del programa académico al cual pertenezco, de la Facultad Tecnológica y de la Universidad Distrital Francisco José de Caldas.</v>
      </c>
      <c r="F118" s="200">
        <f>'Resumen rta docentes'!B69</f>
        <v>0.1111111111111111</v>
      </c>
      <c r="G118" s="199">
        <v>0</v>
      </c>
      <c r="H118" s="200">
        <f>'Resumen rta docentes'!C69</f>
        <v>0.22222222222222221</v>
      </c>
      <c r="I118" s="200">
        <f>'Resumen rta docentes'!D69</f>
        <v>0.22222222222222221</v>
      </c>
      <c r="J118" s="200">
        <f>'Resumen rta docentes'!E69</f>
        <v>0.44444444444444442</v>
      </c>
      <c r="K118" s="200">
        <f>'Resumen rta docentes'!G69</f>
        <v>0</v>
      </c>
      <c r="L118" s="197">
        <f t="shared" si="2"/>
        <v>1</v>
      </c>
    </row>
    <row r="119" spans="1:12" ht="48" x14ac:dyDescent="0.25">
      <c r="A119" s="5" t="s">
        <v>23</v>
      </c>
      <c r="B119" s="132">
        <v>3</v>
      </c>
      <c r="C119" s="132">
        <v>10</v>
      </c>
      <c r="D119" s="132">
        <v>18</v>
      </c>
      <c r="E119" s="6" t="str">
        <f>'Resumen rta docentes'!A72</f>
        <v>Cuenta de 18. Considero que el número de docentes de tiempo completo al servicio del programa académico al cual pertenezco es suficiente.</v>
      </c>
      <c r="F119" s="200">
        <f>'Resumen rta docentes'!B73</f>
        <v>0.33333333333333331</v>
      </c>
      <c r="G119" s="200">
        <f>'Resumen rta docentes'!C73</f>
        <v>0.18518518518518517</v>
      </c>
      <c r="H119" s="200">
        <f>'Resumen rta docentes'!D73</f>
        <v>0.37037037037037035</v>
      </c>
      <c r="I119" s="200">
        <f>'Resumen rta docentes'!E73</f>
        <v>3.7037037037037035E-2</v>
      </c>
      <c r="J119" s="200">
        <f>'Resumen rta docentes'!F73</f>
        <v>7.407407407407407E-2</v>
      </c>
      <c r="K119" s="200">
        <f>'Resumen rta docentes'!G73</f>
        <v>0</v>
      </c>
      <c r="L119" s="197">
        <f t="shared" si="2"/>
        <v>0.99999999999999989</v>
      </c>
    </row>
    <row r="120" spans="1:12" ht="36.75" customHeight="1" x14ac:dyDescent="0.25">
      <c r="A120" s="5" t="s">
        <v>23</v>
      </c>
      <c r="B120" s="132">
        <v>3</v>
      </c>
      <c r="C120" s="132">
        <v>10</v>
      </c>
      <c r="D120" s="132" t="s">
        <v>915</v>
      </c>
      <c r="E120" s="6" t="str">
        <f>'Resumen rta docentes'!A76</f>
        <v>Cuenta de 19.1. Considero que el tiempo que dedico a las siguientes actividades es suficiente: A LA DOCENCIA</v>
      </c>
      <c r="F120" s="200">
        <f>'Resumen rta docentes'!B77</f>
        <v>3.7037037037037035E-2</v>
      </c>
      <c r="G120" s="200">
        <f>'Resumen rta docentes'!C77</f>
        <v>0.1111111111111111</v>
      </c>
      <c r="H120" s="200">
        <f>'Resumen rta docentes'!D77</f>
        <v>7.407407407407407E-2</v>
      </c>
      <c r="I120" s="200">
        <f>'Resumen rta docentes'!E77</f>
        <v>0.1111111111111111</v>
      </c>
      <c r="J120" s="200">
        <f>'Resumen rta docentes'!F77</f>
        <v>0.66666666666666663</v>
      </c>
      <c r="K120" s="200">
        <f>'Resumen rta docentes'!G77</f>
        <v>0</v>
      </c>
      <c r="L120" s="197">
        <f t="shared" si="2"/>
        <v>1</v>
      </c>
    </row>
    <row r="121" spans="1:12" ht="36.75" customHeight="1" x14ac:dyDescent="0.25">
      <c r="A121" s="5" t="s">
        <v>23</v>
      </c>
      <c r="B121" s="132">
        <v>3</v>
      </c>
      <c r="C121" s="132">
        <v>10</v>
      </c>
      <c r="D121" s="132" t="s">
        <v>916</v>
      </c>
      <c r="E121" s="6" t="str">
        <f>'Resumen rta docentes'!A80</f>
        <v>Cuenta de 19.2. Considero que el tiempo que dedico a las siguientes actividades es suficiente: A LA INVESTIGACIÓN</v>
      </c>
      <c r="F121" s="200">
        <f>'Resumen rta docentes'!B81</f>
        <v>0.25925925925925924</v>
      </c>
      <c r="G121" s="200">
        <f>'Resumen rta docentes'!C81</f>
        <v>7.407407407407407E-2</v>
      </c>
      <c r="H121" s="200">
        <f>'Resumen rta docentes'!D81</f>
        <v>0.22222222222222221</v>
      </c>
      <c r="I121" s="200">
        <f>'Resumen rta docentes'!E81</f>
        <v>7.407407407407407E-2</v>
      </c>
      <c r="J121" s="200">
        <f>'Resumen rta docentes'!F81</f>
        <v>0.18518518518518517</v>
      </c>
      <c r="K121" s="200">
        <f>'Resumen rta docentes'!G81</f>
        <v>0.18518518518518517</v>
      </c>
      <c r="L121" s="197">
        <f t="shared" si="2"/>
        <v>1</v>
      </c>
    </row>
    <row r="122" spans="1:12" ht="36.75" customHeight="1" x14ac:dyDescent="0.25">
      <c r="A122" s="5" t="s">
        <v>23</v>
      </c>
      <c r="B122" s="132">
        <v>3</v>
      </c>
      <c r="C122" s="132">
        <v>10</v>
      </c>
      <c r="D122" s="132" t="s">
        <v>917</v>
      </c>
      <c r="E122" s="6" t="str">
        <f>'Resumen rta docentes'!A84</f>
        <v>Cuenta de 19.3. Considero que el tiempo que dedico a las siguientes actividades es suficiente: A LA PARTICIPACIÓN EN PROYECTOS DE EXTENSIÓN.</v>
      </c>
      <c r="F122" s="200">
        <f>'Resumen rta docentes'!B85</f>
        <v>0.37037037037037035</v>
      </c>
      <c r="G122" s="200">
        <f>'Resumen rta docentes'!C85</f>
        <v>7.407407407407407E-2</v>
      </c>
      <c r="H122" s="200">
        <f>'Resumen rta docentes'!D85</f>
        <v>0.25925925925925924</v>
      </c>
      <c r="I122" s="200">
        <f>'Resumen rta docentes'!E85</f>
        <v>3.7037037037037035E-2</v>
      </c>
      <c r="J122" s="200">
        <f>'Resumen rta docentes'!F85</f>
        <v>3.7037037037037035E-2</v>
      </c>
      <c r="K122" s="200">
        <f>'Resumen rta docentes'!G85</f>
        <v>0.22222222222222221</v>
      </c>
      <c r="L122" s="197">
        <f t="shared" si="2"/>
        <v>0.99999999999999989</v>
      </c>
    </row>
    <row r="123" spans="1:12" ht="60.75" customHeight="1" x14ac:dyDescent="0.25">
      <c r="A123" s="5" t="s">
        <v>23</v>
      </c>
      <c r="B123" s="132">
        <v>3</v>
      </c>
      <c r="C123" s="132">
        <v>10</v>
      </c>
      <c r="D123" s="132">
        <v>20</v>
      </c>
      <c r="E123" s="6" t="str">
        <f>'Resumen rta docentes'!A88</f>
        <v>Cuenta de 20. Considero que el tiempo de dedicación que los profesores de vinculación especial (TCO, MTO y HC) en actividades de consejería, atención a estudiantes y corrección de trabajos de grado es adecuado.</v>
      </c>
      <c r="F123" s="200">
        <f>'Resumen rta docentes'!B89</f>
        <v>0.33333333333333331</v>
      </c>
      <c r="G123" s="200">
        <f>'Resumen rta docentes'!C89</f>
        <v>0.22222222222222221</v>
      </c>
      <c r="H123" s="200">
        <f>'Resumen rta docentes'!D89</f>
        <v>7.407407407407407E-2</v>
      </c>
      <c r="I123" s="200">
        <f>'Resumen rta docentes'!E89</f>
        <v>0.25925925925925924</v>
      </c>
      <c r="J123" s="200">
        <f>'Resumen rta docentes'!F89</f>
        <v>3.7037037037037035E-2</v>
      </c>
      <c r="K123" s="200">
        <f>'Resumen rta docentes'!G89</f>
        <v>7.407407407407407E-2</v>
      </c>
      <c r="L123" s="197">
        <f t="shared" si="2"/>
        <v>0.99999999999999989</v>
      </c>
    </row>
    <row r="124" spans="1:12" ht="48.75" customHeight="1" x14ac:dyDescent="0.25">
      <c r="A124" s="5" t="s">
        <v>23</v>
      </c>
      <c r="B124" s="132">
        <v>3</v>
      </c>
      <c r="C124" s="132">
        <v>11</v>
      </c>
      <c r="D124" s="132">
        <v>21</v>
      </c>
      <c r="E124" s="6" t="str">
        <f>'Resumen rta docentes'!A92</f>
        <v>Cuenta de 21. Conozco los procedimientos para acceder a los apoyos económicos institucionales para participar en actividades de formación o actualización.</v>
      </c>
      <c r="F124" s="200">
        <f>'Resumen rta docentes'!B93</f>
        <v>0.27777777777777779</v>
      </c>
      <c r="G124" s="199">
        <v>0</v>
      </c>
      <c r="H124" s="200">
        <f>'Resumen rta docentes'!C93</f>
        <v>0.1111111111111111</v>
      </c>
      <c r="I124" s="200">
        <f>'Resumen rta docentes'!D93</f>
        <v>0.27777777777777779</v>
      </c>
      <c r="J124" s="200">
        <f>'Resumen rta docentes'!E93</f>
        <v>0.33333333333333331</v>
      </c>
      <c r="K124" s="200">
        <f>'Resumen rta docentes'!G93</f>
        <v>0</v>
      </c>
      <c r="L124" s="197">
        <f t="shared" si="2"/>
        <v>1</v>
      </c>
    </row>
    <row r="125" spans="1:12" ht="60.75" customHeight="1" x14ac:dyDescent="0.25">
      <c r="A125" s="5" t="s">
        <v>23</v>
      </c>
      <c r="B125" s="132">
        <v>3</v>
      </c>
      <c r="C125" s="132">
        <v>11</v>
      </c>
      <c r="D125" s="132">
        <v>22</v>
      </c>
      <c r="E125" s="6" t="str">
        <f>'Resumen rta docentes'!A96</f>
        <v>Cuenta de 22. Considero que el programa académico al cual pertenezco controla la participación de los docentes en actividades de actualización o capacitación acordes con las necesidades y objetivos colectivos.</v>
      </c>
      <c r="F125" s="200">
        <f>'Resumen rta docentes'!B97</f>
        <v>0.14814814814814814</v>
      </c>
      <c r="G125" s="200">
        <f>'Resumen rta docentes'!C97</f>
        <v>0.1111111111111111</v>
      </c>
      <c r="H125" s="200">
        <f>'Resumen rta docentes'!D97</f>
        <v>0.14814814814814814</v>
      </c>
      <c r="I125" s="200">
        <f>'Resumen rta docentes'!E97</f>
        <v>0.22222222222222221</v>
      </c>
      <c r="J125" s="200">
        <f>'Resumen rta docentes'!F97</f>
        <v>0.22222222222222221</v>
      </c>
      <c r="K125" s="200">
        <f>'Resumen rta docentes'!G97</f>
        <v>0.14814814814814814</v>
      </c>
      <c r="L125" s="197">
        <f t="shared" si="2"/>
        <v>0.99999999999999989</v>
      </c>
    </row>
    <row r="126" spans="1:12" ht="48" x14ac:dyDescent="0.25">
      <c r="A126" s="5" t="s">
        <v>23</v>
      </c>
      <c r="B126" s="132">
        <v>3</v>
      </c>
      <c r="C126" s="132">
        <v>12</v>
      </c>
      <c r="D126" s="132">
        <v>23</v>
      </c>
      <c r="E126" s="6" t="str">
        <f>'Resumen rta docentes'!A100</f>
        <v>Cuenta de 23. Considero que el sistema de bonificaciones y el de asignación de puntos salariales para los profesores de planta es transparente.</v>
      </c>
      <c r="F126" s="200">
        <f>'Resumen rta docentes'!B101</f>
        <v>0.1111111111111111</v>
      </c>
      <c r="G126" s="200">
        <f>'Resumen rta docentes'!C101</f>
        <v>5.5555555555555552E-2</v>
      </c>
      <c r="H126" s="200">
        <f>'Resumen rta docentes'!D101</f>
        <v>0.1111111111111111</v>
      </c>
      <c r="I126" s="200">
        <f>'Resumen rta docentes'!E101</f>
        <v>0.3888888888888889</v>
      </c>
      <c r="J126" s="200">
        <f>'Resumen rta docentes'!F101</f>
        <v>0.1111111111111111</v>
      </c>
      <c r="K126" s="200">
        <f>'Resumen rta docentes'!G101</f>
        <v>0.22222222222222221</v>
      </c>
      <c r="L126" s="197">
        <f t="shared" si="2"/>
        <v>1</v>
      </c>
    </row>
    <row r="127" spans="1:12" ht="72" x14ac:dyDescent="0.25">
      <c r="A127" s="5" t="s">
        <v>23</v>
      </c>
      <c r="B127" s="132">
        <v>3</v>
      </c>
      <c r="C127" s="132">
        <v>13</v>
      </c>
      <c r="D127" s="132">
        <v>24</v>
      </c>
      <c r="E127" s="6" t="str">
        <f>'Resumen rta docentes'!A104</f>
        <v>Cuenta de 24. Considero que la Universidad Distrital Francisco José de Caldas y el programa académico al cual pertenezco incentivan la producción de material de enseñanza (libros de texto, objetos de aprendizaje, material didáctico).</v>
      </c>
      <c r="F127" s="200">
        <f>'Resumen rta docentes'!B105</f>
        <v>0.18518518518518517</v>
      </c>
      <c r="G127" s="200">
        <f>'Resumen rta docentes'!C105</f>
        <v>0.14814814814814814</v>
      </c>
      <c r="H127" s="200">
        <f>'Resumen rta docentes'!D105</f>
        <v>0.22222222222222221</v>
      </c>
      <c r="I127" s="200">
        <f>'Resumen rta docentes'!E105</f>
        <v>0.22222222222222221</v>
      </c>
      <c r="J127" s="200">
        <f>'Resumen rta docentes'!F105</f>
        <v>0.18518518518518517</v>
      </c>
      <c r="K127" s="200">
        <f>'Resumen rta docentes'!G105</f>
        <v>3.7037037037037035E-2</v>
      </c>
      <c r="L127" s="197">
        <f t="shared" si="2"/>
        <v>1</v>
      </c>
    </row>
    <row r="128" spans="1:12" ht="48.75" customHeight="1" x14ac:dyDescent="0.25">
      <c r="A128" s="5" t="s">
        <v>23</v>
      </c>
      <c r="B128" s="132">
        <v>3</v>
      </c>
      <c r="C128" s="132">
        <v>15</v>
      </c>
      <c r="D128" s="132">
        <v>25</v>
      </c>
      <c r="E128" s="168" t="str">
        <f>'Resumen rta docentes'!A108</f>
        <v xml:space="preserve">Cuenta de 25. Considero que el contenido de la evaluación docente está acorde con los requerimientos del proyecto educativo del programa académico al cual pertenezco. </v>
      </c>
      <c r="F128" s="200">
        <f>'Resumen rta docentes'!B109</f>
        <v>7.407407407407407E-2</v>
      </c>
      <c r="G128" s="200">
        <f>'Resumen rta docentes'!C109</f>
        <v>7.407407407407407E-2</v>
      </c>
      <c r="H128" s="200">
        <f>'Resumen rta docentes'!D109</f>
        <v>0.33333333333333331</v>
      </c>
      <c r="I128" s="200">
        <f>'Resumen rta docentes'!E109</f>
        <v>0.25925925925925924</v>
      </c>
      <c r="J128" s="200">
        <f>'Resumen rta docentes'!F109</f>
        <v>0.22222222222222221</v>
      </c>
      <c r="K128" s="200">
        <f>'Resumen rta docentes'!G109</f>
        <v>3.7037037037037035E-2</v>
      </c>
      <c r="L128" s="197">
        <f t="shared" si="2"/>
        <v>1</v>
      </c>
    </row>
    <row r="129" spans="1:12" ht="36.75" customHeight="1" x14ac:dyDescent="0.25">
      <c r="A129" s="5" t="s">
        <v>23</v>
      </c>
      <c r="B129" s="132">
        <v>3</v>
      </c>
      <c r="C129" s="132">
        <v>15</v>
      </c>
      <c r="D129" s="132">
        <v>26</v>
      </c>
      <c r="E129" s="6" t="str">
        <f>'Resumen rta docentes'!A112</f>
        <v>Cuenta de 26. El programa académico al cual pertenezco me da a conocer los resultados de la evaluación docente de cada periodo académico.</v>
      </c>
      <c r="F129" s="200">
        <f>'Resumen rta docentes'!B113</f>
        <v>7.407407407407407E-2</v>
      </c>
      <c r="G129" s="200">
        <f>'Resumen rta docentes'!C113</f>
        <v>3.7037037037037035E-2</v>
      </c>
      <c r="H129" s="200">
        <f>'Resumen rta docentes'!D113</f>
        <v>0.18518518518518517</v>
      </c>
      <c r="I129" s="200">
        <f>'Resumen rta docentes'!E113</f>
        <v>0.1111111111111111</v>
      </c>
      <c r="J129" s="200">
        <f>'Resumen rta docentes'!F113</f>
        <v>0.55555555555555558</v>
      </c>
      <c r="K129" s="200">
        <f>'Resumen rta docentes'!G113</f>
        <v>3.7037037037037035E-2</v>
      </c>
      <c r="L129" s="197">
        <f t="shared" si="2"/>
        <v>1</v>
      </c>
    </row>
    <row r="130" spans="1:12" ht="36.75" customHeight="1" x14ac:dyDescent="0.25">
      <c r="A130" s="5" t="s">
        <v>23</v>
      </c>
      <c r="B130" s="132">
        <v>3</v>
      </c>
      <c r="C130" s="132">
        <v>15</v>
      </c>
      <c r="D130" s="132">
        <v>27</v>
      </c>
      <c r="E130" s="6" t="str">
        <f>'Resumen rta docentes'!A116</f>
        <v xml:space="preserve">Cuenta de 27. El programa académico al cual pertenezco utiliza los resultados de la evaluación docente para implementar acciones de mejora. </v>
      </c>
      <c r="F130" s="200">
        <f>'Resumen rta docentes'!B117</f>
        <v>7.407407407407407E-2</v>
      </c>
      <c r="G130" s="200">
        <f>'Resumen rta docentes'!C117</f>
        <v>7.407407407407407E-2</v>
      </c>
      <c r="H130" s="200">
        <f>'Resumen rta docentes'!D117</f>
        <v>0.33333333333333331</v>
      </c>
      <c r="I130" s="200">
        <f>'Resumen rta docentes'!E117</f>
        <v>0.25925925925925924</v>
      </c>
      <c r="J130" s="200">
        <f>'Resumen rta docentes'!F117</f>
        <v>0.1111111111111111</v>
      </c>
      <c r="K130" s="200">
        <f>'Resumen rta docentes'!G117</f>
        <v>0.14814814814814814</v>
      </c>
      <c r="L130" s="197">
        <f t="shared" si="2"/>
        <v>1</v>
      </c>
    </row>
    <row r="131" spans="1:12" ht="48.75" customHeight="1" x14ac:dyDescent="0.25">
      <c r="A131" s="5" t="s">
        <v>23</v>
      </c>
      <c r="B131" s="132">
        <v>4</v>
      </c>
      <c r="C131" s="132">
        <v>16</v>
      </c>
      <c r="D131" s="132">
        <v>28</v>
      </c>
      <c r="E131" s="6" t="str">
        <f>'Resumen rta docentes'!A120</f>
        <v>Cuenta de 28. El plan de estudios del programa académico al cual pertenezco es coherente con el perfil profesional y ocupacional que se espera alcanzar.</v>
      </c>
      <c r="F131" s="200">
        <f>'Resumen rta docentes'!B121</f>
        <v>3.7037037037037035E-2</v>
      </c>
      <c r="G131" s="199">
        <v>0</v>
      </c>
      <c r="H131" s="200">
        <f>'Resumen rta docentes'!C121</f>
        <v>7.407407407407407E-2</v>
      </c>
      <c r="I131" s="200">
        <f>'Resumen rta docentes'!D121</f>
        <v>0.29629629629629628</v>
      </c>
      <c r="J131" s="200">
        <f>'Resumen rta docentes'!E121</f>
        <v>0.59259259259259256</v>
      </c>
      <c r="K131" s="200">
        <f>'Resumen rta docentes'!G121</f>
        <v>0</v>
      </c>
      <c r="L131" s="197">
        <f t="shared" si="2"/>
        <v>1</v>
      </c>
    </row>
    <row r="132" spans="1:12" ht="36.75" customHeight="1" x14ac:dyDescent="0.25">
      <c r="A132" s="5" t="s">
        <v>23</v>
      </c>
      <c r="B132" s="132">
        <v>4</v>
      </c>
      <c r="C132" s="132">
        <v>16</v>
      </c>
      <c r="D132" s="132">
        <v>29</v>
      </c>
      <c r="E132" s="6" t="str">
        <f>'Resumen rta docentes'!A124</f>
        <v xml:space="preserve">Cuenta de 29. El plan de estudios del programa académico al cual pertenezco permite desarrollar en los estudiantes competencias investigativas. </v>
      </c>
      <c r="F132" s="200">
        <f>'Resumen rta docentes'!B125</f>
        <v>7.407407407407407E-2</v>
      </c>
      <c r="G132" s="200">
        <f>'Resumen rta docentes'!C125</f>
        <v>7.407407407407407E-2</v>
      </c>
      <c r="H132" s="200">
        <f>'Resumen rta docentes'!D125</f>
        <v>0.14814814814814814</v>
      </c>
      <c r="I132" s="200">
        <f>'Resumen rta docentes'!E125</f>
        <v>0.33333333333333331</v>
      </c>
      <c r="J132" s="200">
        <f>'Resumen rta docentes'!F125</f>
        <v>0.37037037037037035</v>
      </c>
      <c r="K132" s="200">
        <f>'Resumen rta docentes'!G125</f>
        <v>0</v>
      </c>
      <c r="L132" s="197">
        <f t="shared" si="2"/>
        <v>0.99999999999999989</v>
      </c>
    </row>
    <row r="133" spans="1:12" ht="48.75" customHeight="1" x14ac:dyDescent="0.25">
      <c r="A133" s="5" t="s">
        <v>23</v>
      </c>
      <c r="B133" s="132">
        <v>4</v>
      </c>
      <c r="C133" s="132">
        <v>16</v>
      </c>
      <c r="D133" s="132">
        <v>30</v>
      </c>
      <c r="E133" s="6" t="str">
        <f>'Resumen rta docentes'!A128</f>
        <v xml:space="preserve">Cuenta de 30. El plan de estudios del programa académico al cual pertenezco permite desarrollar en los estudiantes competencias para la comprensión del contexto. </v>
      </c>
      <c r="F133" s="199">
        <v>0</v>
      </c>
      <c r="G133" s="200">
        <f>'Resumen rta docentes'!B129</f>
        <v>0.1111111111111111</v>
      </c>
      <c r="H133" s="200">
        <f>'Resumen rta docentes'!C129</f>
        <v>0.1111111111111111</v>
      </c>
      <c r="I133" s="200">
        <f>'Resumen rta docentes'!D129</f>
        <v>0.33333333333333331</v>
      </c>
      <c r="J133" s="200">
        <f>'Resumen rta docentes'!E129</f>
        <v>0.40740740740740738</v>
      </c>
      <c r="K133" s="200">
        <f>'Resumen rta docentes'!F129</f>
        <v>3.7037037037037035E-2</v>
      </c>
      <c r="L133" s="197">
        <f t="shared" si="2"/>
        <v>1</v>
      </c>
    </row>
    <row r="134" spans="1:12" ht="48.75" customHeight="1" x14ac:dyDescent="0.25">
      <c r="A134" s="5" t="s">
        <v>23</v>
      </c>
      <c r="B134" s="132">
        <v>4</v>
      </c>
      <c r="C134" s="132">
        <v>18</v>
      </c>
      <c r="D134" s="132">
        <v>31</v>
      </c>
      <c r="E134" s="6" t="str">
        <f>'Resumen rta docentes'!A132</f>
        <v>Cuenta de 31. El programa académico al cual pertenezco incentiva el desarrollo de proyectos de investigación con participación interdisciplinaria.</v>
      </c>
      <c r="F134" s="200">
        <f>'Resumen rta docentes'!B133</f>
        <v>0.14814814814814814</v>
      </c>
      <c r="G134" s="200">
        <f>'Resumen rta docentes'!C133</f>
        <v>7.407407407407407E-2</v>
      </c>
      <c r="H134" s="200">
        <f>'Resumen rta docentes'!D133</f>
        <v>0.25925925925925924</v>
      </c>
      <c r="I134" s="200">
        <f>'Resumen rta docentes'!E133</f>
        <v>0.29629629629629628</v>
      </c>
      <c r="J134" s="200">
        <f>'Resumen rta docentes'!F133</f>
        <v>0.22222222222222221</v>
      </c>
      <c r="K134" s="200">
        <f>'Resumen rta docentes'!G133</f>
        <v>0</v>
      </c>
      <c r="L134" s="197">
        <f t="shared" si="2"/>
        <v>0.99999999999999989</v>
      </c>
    </row>
    <row r="135" spans="1:12" ht="36.75" customHeight="1" x14ac:dyDescent="0.25">
      <c r="A135" s="5" t="s">
        <v>23</v>
      </c>
      <c r="B135" s="132">
        <v>4</v>
      </c>
      <c r="C135" s="132">
        <v>18</v>
      </c>
      <c r="D135" s="132">
        <v>32</v>
      </c>
      <c r="E135" s="6" t="str">
        <f>'Resumen rta docentes'!A136</f>
        <v>Cuenta de 32. El programa académico al cual pertenezco incentiva el desarrollo de proyectos de grado con participación interdisciplinaria.</v>
      </c>
      <c r="F135" s="200">
        <f>'Resumen rta docentes'!B137</f>
        <v>0.14814814814814814</v>
      </c>
      <c r="G135" s="200">
        <f>'Resumen rta docentes'!C137</f>
        <v>7.407407407407407E-2</v>
      </c>
      <c r="H135" s="200">
        <f>'Resumen rta docentes'!D137</f>
        <v>0.18518518518518517</v>
      </c>
      <c r="I135" s="200">
        <f>'Resumen rta docentes'!E137</f>
        <v>0.37037037037037035</v>
      </c>
      <c r="J135" s="200">
        <f>'Resumen rta docentes'!F137</f>
        <v>0.22222222222222221</v>
      </c>
      <c r="K135" s="200">
        <f>'Resumen rta docentes'!G137</f>
        <v>0</v>
      </c>
      <c r="L135" s="197">
        <f t="shared" si="2"/>
        <v>0.99999999999999989</v>
      </c>
    </row>
    <row r="136" spans="1:12" ht="36.75" customHeight="1" x14ac:dyDescent="0.25">
      <c r="A136" s="5" t="s">
        <v>23</v>
      </c>
      <c r="B136" s="132">
        <v>4</v>
      </c>
      <c r="C136" s="132">
        <v>17</v>
      </c>
      <c r="D136" s="132">
        <v>33</v>
      </c>
      <c r="E136" s="6" t="str">
        <f>'Resumen rta docentes'!A140</f>
        <v xml:space="preserve">Cuenta de 33. El plan de estudios del programa académico al cual pertenezco ofrece la suficiente variedad de espacios académicos electivos. </v>
      </c>
      <c r="F136" s="200">
        <f>'Resumen rta docentes'!B141</f>
        <v>3.7037037037037035E-2</v>
      </c>
      <c r="G136" s="199">
        <v>0</v>
      </c>
      <c r="H136" s="200">
        <f>'Resumen rta docentes'!C141</f>
        <v>0.14814814814814814</v>
      </c>
      <c r="I136" s="200">
        <f>'Resumen rta docentes'!D141</f>
        <v>0.51851851851851849</v>
      </c>
      <c r="J136" s="200">
        <f>'Resumen rta docentes'!E141</f>
        <v>0.25925925925925924</v>
      </c>
      <c r="K136" s="200">
        <f>'Resumen rta docentes'!F141</f>
        <v>3.7037037037037035E-2</v>
      </c>
      <c r="L136" s="197">
        <f t="shared" si="2"/>
        <v>1</v>
      </c>
    </row>
    <row r="137" spans="1:12" ht="36.75" customHeight="1" x14ac:dyDescent="0.25">
      <c r="A137" s="5" t="s">
        <v>23</v>
      </c>
      <c r="B137" s="132">
        <v>4</v>
      </c>
      <c r="C137" s="132">
        <v>17</v>
      </c>
      <c r="D137" s="132">
        <v>34</v>
      </c>
      <c r="E137" s="6" t="str">
        <f>'Resumen rta docentes'!A144</f>
        <v xml:space="preserve">Cuenta de 34. El programa académico al cual pertenezco incentiva las actividades y proyectos extra clase realizados por docentes y estudiantes. </v>
      </c>
      <c r="F137" s="200">
        <f>'Resumen rta docentes'!B145</f>
        <v>7.407407407407407E-2</v>
      </c>
      <c r="G137" s="200">
        <f>'Resumen rta docentes'!C145</f>
        <v>0.1111111111111111</v>
      </c>
      <c r="H137" s="200">
        <f>'Resumen rta docentes'!D145</f>
        <v>0.18518518518518517</v>
      </c>
      <c r="I137" s="200">
        <f>'Resumen rta docentes'!E145</f>
        <v>0.33333333333333331</v>
      </c>
      <c r="J137" s="200">
        <f>'Resumen rta docentes'!F145</f>
        <v>0.18518518518518517</v>
      </c>
      <c r="K137" s="200">
        <f>'Resumen rta docentes'!G145</f>
        <v>0.1111111111111111</v>
      </c>
      <c r="L137" s="197">
        <f t="shared" si="2"/>
        <v>1</v>
      </c>
    </row>
    <row r="138" spans="1:12" ht="48" x14ac:dyDescent="0.25">
      <c r="A138" s="5" t="s">
        <v>23</v>
      </c>
      <c r="B138" s="132">
        <v>4</v>
      </c>
      <c r="C138" s="132">
        <v>17</v>
      </c>
      <c r="D138" s="132">
        <v>35</v>
      </c>
      <c r="E138" s="6" t="str">
        <f>'Resumen rta docentes'!A148</f>
        <v>Cuenta de 35. Considero que el programa académico al cual pertenezco se preocupa por evolucionar hacia planes de estudios cada vez más flexibles.</v>
      </c>
      <c r="F138" s="200">
        <f>'Resumen rta docentes'!B149</f>
        <v>7.407407407407407E-2</v>
      </c>
      <c r="G138" s="200">
        <f>'Resumen rta docentes'!C149</f>
        <v>7.407407407407407E-2</v>
      </c>
      <c r="H138" s="200">
        <f>'Resumen rta docentes'!D149</f>
        <v>0.22222222222222221</v>
      </c>
      <c r="I138" s="200">
        <f>'Resumen rta docentes'!E149</f>
        <v>0.29629629629629628</v>
      </c>
      <c r="J138" s="200">
        <f>'Resumen rta docentes'!F149</f>
        <v>0.25925925925925924</v>
      </c>
      <c r="K138" s="200">
        <f>'Resumen rta docentes'!G149</f>
        <v>7.407407407407407E-2</v>
      </c>
      <c r="L138" s="197">
        <f t="shared" si="2"/>
        <v>0.99999999999999989</v>
      </c>
    </row>
    <row r="139" spans="1:12" ht="60.75" customHeight="1" x14ac:dyDescent="0.25">
      <c r="A139" s="5" t="s">
        <v>23</v>
      </c>
      <c r="B139" s="132">
        <v>4</v>
      </c>
      <c r="C139" s="132">
        <v>19</v>
      </c>
      <c r="D139" s="132">
        <v>36</v>
      </c>
      <c r="E139" s="6" t="str">
        <f>'Resumen rta docentes'!A152</f>
        <v>Cuenta de 36. Considero que el programa académico al cual pertenezco se preocupa permanentemente por la actualización de los contenidos programáticos de los diferentes espacios académicos.</v>
      </c>
      <c r="F139" s="200">
        <f>'Resumen rta docentes'!B153</f>
        <v>3.7037037037037035E-2</v>
      </c>
      <c r="G139" s="199">
        <v>0</v>
      </c>
      <c r="H139" s="200">
        <f>'Resumen rta docentes'!C153</f>
        <v>0.1111111111111111</v>
      </c>
      <c r="I139" s="200">
        <f>'Resumen rta docentes'!D153</f>
        <v>0.40740740740740738</v>
      </c>
      <c r="J139" s="200">
        <f>'Resumen rta docentes'!E153</f>
        <v>0.40740740740740738</v>
      </c>
      <c r="K139" s="200">
        <f>'Resumen rta docentes'!F153</f>
        <v>3.7037037037037035E-2</v>
      </c>
      <c r="L139" s="197">
        <f t="shared" si="2"/>
        <v>1</v>
      </c>
    </row>
    <row r="140" spans="1:12" ht="48.75" customHeight="1" x14ac:dyDescent="0.25">
      <c r="A140" s="5" t="s">
        <v>23</v>
      </c>
      <c r="B140" s="132">
        <v>4</v>
      </c>
      <c r="C140" s="132">
        <v>19</v>
      </c>
      <c r="D140" s="132">
        <v>37</v>
      </c>
      <c r="E140" s="6" t="str">
        <f>'Resumen rta docentes'!A156</f>
        <v xml:space="preserve">Cuenta de 37. Considero que el programa académico al cual pertenezco reflexiona permanentemente sobre los métodos de enseñanza- aprendizaje empleados. </v>
      </c>
      <c r="F140" s="200">
        <f>'Resumen rta docentes'!B157</f>
        <v>7.407407407407407E-2</v>
      </c>
      <c r="G140" s="200">
        <f>'Resumen rta docentes'!C157</f>
        <v>0.1111111111111111</v>
      </c>
      <c r="H140" s="200">
        <f>'Resumen rta docentes'!D157</f>
        <v>0.29629629629629628</v>
      </c>
      <c r="I140" s="200">
        <f>'Resumen rta docentes'!E157</f>
        <v>0.29629629629629628</v>
      </c>
      <c r="J140" s="200">
        <f>'Resumen rta docentes'!F157</f>
        <v>0.14814814814814814</v>
      </c>
      <c r="K140" s="200">
        <f>'Resumen rta docentes'!G157</f>
        <v>7.407407407407407E-2</v>
      </c>
      <c r="L140" s="197">
        <f t="shared" si="2"/>
        <v>0.99999999999999989</v>
      </c>
    </row>
    <row r="141" spans="1:12" ht="36.75" customHeight="1" x14ac:dyDescent="0.25">
      <c r="A141" s="5" t="s">
        <v>23</v>
      </c>
      <c r="B141" s="132">
        <v>4</v>
      </c>
      <c r="C141" s="132" t="s">
        <v>27</v>
      </c>
      <c r="D141" s="132">
        <v>38</v>
      </c>
      <c r="E141" s="160" t="str">
        <f>'Resumen rta docentes'!A160</f>
        <v>Cuenta de 38. Conozco las diferencias entre los programas de formación en ingeniería por ciclos y los programas de ingeniería tradicional.</v>
      </c>
      <c r="F141" s="200">
        <f>'Resumen rta docentes'!B161</f>
        <v>3.7037037037037035E-2</v>
      </c>
      <c r="G141" s="199">
        <v>0</v>
      </c>
      <c r="H141" s="200">
        <f>'Resumen rta docentes'!C161</f>
        <v>7.407407407407407E-2</v>
      </c>
      <c r="I141" s="200">
        <f>'Resumen rta docentes'!D161</f>
        <v>0.14814814814814814</v>
      </c>
      <c r="J141" s="200">
        <f>'Resumen rta docentes'!E161</f>
        <v>0.70370370370370372</v>
      </c>
      <c r="K141" s="200">
        <f>'Resumen rta docentes'!F161</f>
        <v>3.7037037037037035E-2</v>
      </c>
      <c r="L141" s="197">
        <f t="shared" si="2"/>
        <v>1</v>
      </c>
    </row>
    <row r="142" spans="1:12" ht="36.75" customHeight="1" x14ac:dyDescent="0.25">
      <c r="A142" s="5" t="s">
        <v>23</v>
      </c>
      <c r="B142" s="132">
        <v>4</v>
      </c>
      <c r="C142" s="132" t="s">
        <v>27</v>
      </c>
      <c r="D142" s="132">
        <v>39</v>
      </c>
      <c r="E142" s="160" t="str">
        <f>'Resumen rta docentes'!A164</f>
        <v>Cuenta de 39. Tengo claro qué es y para qué sirve el componente propedéutico en un programa de ingeniería por ciclos.</v>
      </c>
      <c r="F142" s="200">
        <f>'Resumen rta docentes'!B165</f>
        <v>3.7037037037037035E-2</v>
      </c>
      <c r="G142" s="200">
        <f>'Resumen rta docentes'!C165</f>
        <v>3.7037037037037035E-2</v>
      </c>
      <c r="H142" s="200">
        <f>'Resumen rta docentes'!D165</f>
        <v>7.407407407407407E-2</v>
      </c>
      <c r="I142" s="200">
        <f>'Resumen rta docentes'!E165</f>
        <v>0.22222222222222221</v>
      </c>
      <c r="J142" s="200">
        <f>'Resumen rta docentes'!F165</f>
        <v>0.62962962962962965</v>
      </c>
      <c r="K142" s="200">
        <f>'Resumen rta docentes'!G165</f>
        <v>0</v>
      </c>
      <c r="L142" s="197">
        <f t="shared" si="2"/>
        <v>1</v>
      </c>
    </row>
    <row r="143" spans="1:12" ht="36.75" customHeight="1" x14ac:dyDescent="0.25">
      <c r="A143" s="5" t="s">
        <v>23</v>
      </c>
      <c r="B143" s="132">
        <v>4</v>
      </c>
      <c r="C143" s="132" t="s">
        <v>27</v>
      </c>
      <c r="D143" s="132">
        <v>40</v>
      </c>
      <c r="E143" s="6" t="str">
        <f>'Resumen rta docentes'!A168</f>
        <v>Cuenta de 40. Considero que ser tecnólogo brinda oportunidades para la vinculación en el mercado laboral.</v>
      </c>
      <c r="F143" s="200">
        <v>0</v>
      </c>
      <c r="G143" s="200">
        <v>0</v>
      </c>
      <c r="H143" s="216">
        <v>0</v>
      </c>
      <c r="I143" s="200">
        <f>'Resumen rta docentes'!B169</f>
        <v>0.18518518518518517</v>
      </c>
      <c r="J143" s="200">
        <f>'Resumen rta docentes'!C169</f>
        <v>0.77777777777777779</v>
      </c>
      <c r="K143" s="200">
        <f>'Resumen rta docentes'!D169</f>
        <v>3.7037037037037035E-2</v>
      </c>
      <c r="L143" s="197">
        <f t="shared" si="2"/>
        <v>1</v>
      </c>
    </row>
    <row r="144" spans="1:12" ht="24.75" customHeight="1" x14ac:dyDescent="0.25">
      <c r="A144" s="5" t="s">
        <v>23</v>
      </c>
      <c r="B144" s="132">
        <v>4</v>
      </c>
      <c r="C144" s="132" t="s">
        <v>26</v>
      </c>
      <c r="D144" s="132">
        <v>41</v>
      </c>
      <c r="E144" s="160" t="str">
        <f>'Resumen rta docentes'!A172</f>
        <v xml:space="preserve">Cuenta de 41. Considero que ser ingeniero mejora las condiciones laborales del tecnólogo. </v>
      </c>
      <c r="F144" s="200">
        <f>'Resumen rta docentes'!B173</f>
        <v>3.7037037037037035E-2</v>
      </c>
      <c r="G144" s="199">
        <v>0</v>
      </c>
      <c r="H144" s="200">
        <f>'Resumen rta docentes'!C173</f>
        <v>3.7037037037037035E-2</v>
      </c>
      <c r="I144" s="200">
        <f>'Resumen rta docentes'!D173</f>
        <v>0.25925925925925924</v>
      </c>
      <c r="J144" s="200">
        <f>'Resumen rta docentes'!E173</f>
        <v>0.62962962962962965</v>
      </c>
      <c r="K144" s="200">
        <f>'Resumen rta docentes'!F173</f>
        <v>3.7037037037037035E-2</v>
      </c>
      <c r="L144" s="197">
        <f t="shared" si="2"/>
        <v>1</v>
      </c>
    </row>
    <row r="145" spans="1:12" ht="36.75" customHeight="1" x14ac:dyDescent="0.25">
      <c r="A145" s="5" t="s">
        <v>23</v>
      </c>
      <c r="B145" s="132">
        <v>4</v>
      </c>
      <c r="C145" s="132" t="s">
        <v>26</v>
      </c>
      <c r="D145" s="132">
        <v>42</v>
      </c>
      <c r="E145" s="160" t="str">
        <f>'Resumen rta docentes'!A176</f>
        <v xml:space="preserve">Cuenta de 42. Considero que el paso por el nivel de ingeniería  mejora las competencias que se han desarrollado en el nivel tecnológico. </v>
      </c>
      <c r="F145" s="200">
        <f>'Resumen rta docentes'!B177</f>
        <v>3.7037037037037035E-2</v>
      </c>
      <c r="G145" s="200">
        <f>'Resumen rta docentes'!C177</f>
        <v>3.7037037037037035E-2</v>
      </c>
      <c r="H145" s="200">
        <f>'Resumen rta docentes'!D177</f>
        <v>7.407407407407407E-2</v>
      </c>
      <c r="I145" s="200">
        <f>'Resumen rta docentes'!E177</f>
        <v>0.22222222222222221</v>
      </c>
      <c r="J145" s="200">
        <f>'Resumen rta docentes'!F177</f>
        <v>0.59259259259259256</v>
      </c>
      <c r="K145" s="200">
        <f>'Resumen rta docentes'!G177</f>
        <v>3.7037037037037035E-2</v>
      </c>
      <c r="L145" s="197">
        <f t="shared" si="2"/>
        <v>1</v>
      </c>
    </row>
    <row r="146" spans="1:12" ht="36.75" customHeight="1" x14ac:dyDescent="0.25">
      <c r="A146" s="5" t="s">
        <v>23</v>
      </c>
      <c r="B146" s="132">
        <v>4</v>
      </c>
      <c r="C146" s="132">
        <v>20</v>
      </c>
      <c r="D146" s="132">
        <v>43</v>
      </c>
      <c r="E146" s="6" t="str">
        <f>'Resumen rta docentes'!A180</f>
        <v xml:space="preserve">Cuenta de 43. Conozco cuales son los criterios, políticas y reglamentación de la evaluación académica de los estudiantes.  </v>
      </c>
      <c r="F146" s="200">
        <f>'Resumen rta docentes'!B181</f>
        <v>3.7037037037037035E-2</v>
      </c>
      <c r="G146" s="199">
        <v>0</v>
      </c>
      <c r="H146" s="200">
        <f>'Resumen rta docentes'!C181</f>
        <v>7.407407407407407E-2</v>
      </c>
      <c r="I146" s="200">
        <f>'Resumen rta docentes'!D181</f>
        <v>0.37037037037037035</v>
      </c>
      <c r="J146" s="200">
        <f>'Resumen rta docentes'!E181</f>
        <v>0.44444444444444442</v>
      </c>
      <c r="K146" s="200">
        <f>'Resumen rta docentes'!F181</f>
        <v>7.407407407407407E-2</v>
      </c>
      <c r="L146" s="197">
        <f t="shared" si="2"/>
        <v>0.99999999999999989</v>
      </c>
    </row>
    <row r="147" spans="1:12" ht="60.75" customHeight="1" x14ac:dyDescent="0.25">
      <c r="A147" s="5" t="s">
        <v>23</v>
      </c>
      <c r="B147" s="132">
        <v>4</v>
      </c>
      <c r="C147" s="132">
        <v>20</v>
      </c>
      <c r="D147" s="132">
        <v>44</v>
      </c>
      <c r="E147" s="6" t="str">
        <f>'Resumen rta docentes'!A184</f>
        <v xml:space="preserve">Cuenta de 44. Considero que los métodos de evaluación empleados en el programa académico al cual pertenezco permiten evaluar la adquisición de competencias profesionales por  los estudiantes. </v>
      </c>
      <c r="F147" s="199">
        <v>0</v>
      </c>
      <c r="G147" s="200">
        <f>'Resumen rta docentes'!B185</f>
        <v>7.407407407407407E-2</v>
      </c>
      <c r="H147" s="200">
        <f>'Resumen rta docentes'!C185</f>
        <v>0.22222222222222221</v>
      </c>
      <c r="I147" s="200">
        <f>'Resumen rta docentes'!D185</f>
        <v>0.44444444444444442</v>
      </c>
      <c r="J147" s="200">
        <f>'Resumen rta docentes'!E185</f>
        <v>0.25925925925925924</v>
      </c>
      <c r="K147" s="200">
        <f>'Resumen rta docentes'!G185</f>
        <v>0</v>
      </c>
      <c r="L147" s="197">
        <f t="shared" si="2"/>
        <v>1</v>
      </c>
    </row>
    <row r="148" spans="1:12" ht="36.75" customHeight="1" x14ac:dyDescent="0.25">
      <c r="A148" s="5" t="s">
        <v>23</v>
      </c>
      <c r="B148" s="132">
        <v>4</v>
      </c>
      <c r="C148" s="132">
        <v>21</v>
      </c>
      <c r="D148" s="132">
        <v>45</v>
      </c>
      <c r="E148" s="6" t="str">
        <f>'Resumen rta docentes'!A188</f>
        <v>Cuenta de 45. El programa académico al cual pertenezco incentiva el desarrollo de trabajos de aula con contenido investigativo.</v>
      </c>
      <c r="F148" s="200">
        <f>'Resumen rta docentes'!B189</f>
        <v>3.7037037037037035E-2</v>
      </c>
      <c r="G148" s="200">
        <f>'Resumen rta docentes'!C189</f>
        <v>3.7037037037037035E-2</v>
      </c>
      <c r="H148" s="200">
        <f>'Resumen rta docentes'!D189</f>
        <v>0.1111111111111111</v>
      </c>
      <c r="I148" s="200">
        <f>'Resumen rta docentes'!E189</f>
        <v>0.59259259259259256</v>
      </c>
      <c r="J148" s="200">
        <f>'Resumen rta docentes'!F189</f>
        <v>0.18518518518518517</v>
      </c>
      <c r="K148" s="200">
        <f>'Resumen rta docentes'!G189</f>
        <v>3.7037037037037035E-2</v>
      </c>
      <c r="L148" s="197">
        <f t="shared" si="2"/>
        <v>0.99999999999999978</v>
      </c>
    </row>
    <row r="149" spans="1:12" ht="48" x14ac:dyDescent="0.25">
      <c r="A149" s="5" t="s">
        <v>23</v>
      </c>
      <c r="B149" s="132">
        <v>4</v>
      </c>
      <c r="C149" s="132">
        <v>22</v>
      </c>
      <c r="D149" s="132">
        <v>46</v>
      </c>
      <c r="E149" s="6" t="str">
        <f>'Resumen rta docentes'!A192</f>
        <v>Cuenta de 46. Conozco los procesos efectuados para la evaluación periódica de la pertinencia y calidad del programa académico al cual pertenezco.</v>
      </c>
      <c r="F149" s="200">
        <f>'Resumen rta docentes'!B193</f>
        <v>3.7037037037037035E-2</v>
      </c>
      <c r="G149" s="200">
        <f>'Resumen rta docentes'!C193</f>
        <v>7.407407407407407E-2</v>
      </c>
      <c r="H149" s="200">
        <f>'Resumen rta docentes'!D193</f>
        <v>0.14814814814814814</v>
      </c>
      <c r="I149" s="200">
        <f>'Resumen rta docentes'!E193</f>
        <v>0.29629629629629628</v>
      </c>
      <c r="J149" s="200">
        <f>'Resumen rta docentes'!F193</f>
        <v>0.37037037037037035</v>
      </c>
      <c r="K149" s="200">
        <f>'Resumen rta docentes'!G193</f>
        <v>7.407407407407407E-2</v>
      </c>
      <c r="L149" s="197">
        <f t="shared" si="2"/>
        <v>1</v>
      </c>
    </row>
    <row r="150" spans="1:12" ht="36.75" customHeight="1" x14ac:dyDescent="0.25">
      <c r="A150" s="5" t="s">
        <v>23</v>
      </c>
      <c r="B150" s="132">
        <v>4</v>
      </c>
      <c r="C150" s="132">
        <v>22</v>
      </c>
      <c r="D150" s="132">
        <v>47</v>
      </c>
      <c r="E150" s="6" t="str">
        <f>'Resumen rta docentes'!A196</f>
        <v>Cuenta de 47. He participado en procesos para la evaluación periódica de la pertinencia y calidad del programa académico al cual pertenezco.</v>
      </c>
      <c r="F150" s="200">
        <f>'Resumen rta docentes'!B197</f>
        <v>0.1111111111111111</v>
      </c>
      <c r="G150" s="200">
        <f>'Resumen rta docentes'!C197</f>
        <v>3.7037037037037035E-2</v>
      </c>
      <c r="H150" s="200">
        <f>'Resumen rta docentes'!D197</f>
        <v>0.22222222222222221</v>
      </c>
      <c r="I150" s="200">
        <f>'Resumen rta docentes'!E197</f>
        <v>0.29629629629629628</v>
      </c>
      <c r="J150" s="200">
        <f>'Resumen rta docentes'!F197</f>
        <v>0.29629629629629628</v>
      </c>
      <c r="K150" s="200">
        <f>'Resumen rta docentes'!G197</f>
        <v>3.7037037037037035E-2</v>
      </c>
      <c r="L150" s="197">
        <f t="shared" si="2"/>
        <v>1</v>
      </c>
    </row>
    <row r="151" spans="1:12" ht="36.75" customHeight="1" x14ac:dyDescent="0.25">
      <c r="A151" s="5" t="s">
        <v>23</v>
      </c>
      <c r="B151" s="132">
        <v>4</v>
      </c>
      <c r="C151" s="132">
        <v>22</v>
      </c>
      <c r="D151" s="132">
        <v>48</v>
      </c>
      <c r="E151" s="6" t="str">
        <f>'Resumen rta docentes'!A200</f>
        <v>Cuenta de 48. Puedo identificar mejoras realizadas en el programa académico al cual pertenezco durante el último año.</v>
      </c>
      <c r="F151" s="200">
        <f>'Resumen rta docentes'!B201</f>
        <v>7.407407407407407E-2</v>
      </c>
      <c r="G151" s="199">
        <v>0</v>
      </c>
      <c r="H151" s="200">
        <f>'Resumen rta docentes'!C201</f>
        <v>0.18518518518518517</v>
      </c>
      <c r="I151" s="200">
        <f>'Resumen rta docentes'!D201</f>
        <v>0.25925925925925924</v>
      </c>
      <c r="J151" s="200">
        <f>'Resumen rta docentes'!E201</f>
        <v>0.44444444444444442</v>
      </c>
      <c r="K151" s="200">
        <f>'Resumen rta docentes'!F201</f>
        <v>3.7037037037037035E-2</v>
      </c>
      <c r="L151" s="197">
        <f t="shared" si="2"/>
        <v>1</v>
      </c>
    </row>
    <row r="152" spans="1:12" ht="36.75" customHeight="1" x14ac:dyDescent="0.25">
      <c r="A152" s="5" t="s">
        <v>23</v>
      </c>
      <c r="B152" s="132">
        <v>4</v>
      </c>
      <c r="C152" s="132">
        <v>23</v>
      </c>
      <c r="D152" s="132">
        <v>49</v>
      </c>
      <c r="E152" s="6" t="str">
        <f>'Resumen rta docentes'!A204</f>
        <v>Cuenta de 49. He participado en proyectos dirigidos a la comunidad y liderados por el programa académico al cual pertenezco.</v>
      </c>
      <c r="F152" s="200">
        <f>'Resumen rta docentes'!B205</f>
        <v>0.48148148148148145</v>
      </c>
      <c r="G152" s="200">
        <f>'Resumen rta docentes'!C205</f>
        <v>0.1111111111111111</v>
      </c>
      <c r="H152" s="200">
        <f>'Resumen rta docentes'!D205</f>
        <v>0.1111111111111111</v>
      </c>
      <c r="I152" s="200">
        <f>'Resumen rta docentes'!E205</f>
        <v>0.1111111111111111</v>
      </c>
      <c r="J152" s="200">
        <f>'Resumen rta docentes'!F205</f>
        <v>0.1111111111111111</v>
      </c>
      <c r="K152" s="200">
        <f>'Resumen rta docentes'!G205</f>
        <v>7.407407407407407E-2</v>
      </c>
      <c r="L152" s="197">
        <f t="shared" si="2"/>
        <v>1</v>
      </c>
    </row>
    <row r="153" spans="1:12" ht="48" x14ac:dyDescent="0.25">
      <c r="A153" s="5" t="s">
        <v>23</v>
      </c>
      <c r="B153" s="132">
        <v>4</v>
      </c>
      <c r="C153" s="132">
        <v>23</v>
      </c>
      <c r="D153" s="132">
        <v>50</v>
      </c>
      <c r="E153" s="6" t="str">
        <f>'Resumen rta docentes'!A208</f>
        <v>Cuenta de 50. Considero que el programa académico al cual pertenezco ejecuta proyectos y ayuda a resolver problemas del entorno inmediato.</v>
      </c>
      <c r="F153" s="200">
        <f>'Resumen rta docentes'!B209</f>
        <v>0.1111111111111111</v>
      </c>
      <c r="G153" s="200">
        <f>'Resumen rta docentes'!C209</f>
        <v>0.1111111111111111</v>
      </c>
      <c r="H153" s="200">
        <f>'Resumen rta docentes'!D209</f>
        <v>0.22222222222222221</v>
      </c>
      <c r="I153" s="200">
        <f>'Resumen rta docentes'!E209</f>
        <v>0.18518518518518517</v>
      </c>
      <c r="J153" s="200">
        <f>'Resumen rta docentes'!F209</f>
        <v>0.25925925925925924</v>
      </c>
      <c r="K153" s="200">
        <f>'Resumen rta docentes'!G209</f>
        <v>0.1111111111111111</v>
      </c>
      <c r="L153" s="197">
        <f t="shared" si="2"/>
        <v>1</v>
      </c>
    </row>
    <row r="154" spans="1:12" ht="36.75" customHeight="1" x14ac:dyDescent="0.25">
      <c r="A154" s="5" t="s">
        <v>23</v>
      </c>
      <c r="B154" s="132">
        <v>4</v>
      </c>
      <c r="C154" s="132">
        <v>24</v>
      </c>
      <c r="D154" s="132" t="s">
        <v>1202</v>
      </c>
      <c r="E154" s="6" t="str">
        <f>'Resumen rta docentes'!A212</f>
        <v>Cuenta de 51.1. Considero que el material bibliográfico a disposición del programa académico al cual pertenezco es: SUFICIENTE</v>
      </c>
      <c r="F154" s="200">
        <f>'Resumen rta docentes'!B213</f>
        <v>7.407407407407407E-2</v>
      </c>
      <c r="G154" s="200">
        <f>'Resumen rta docentes'!C213</f>
        <v>0.18518518518518517</v>
      </c>
      <c r="H154" s="200">
        <f>'Resumen rta docentes'!D213</f>
        <v>0.18518518518518517</v>
      </c>
      <c r="I154" s="200">
        <f>'Resumen rta docentes'!E213</f>
        <v>0.33333333333333331</v>
      </c>
      <c r="J154" s="200">
        <f>'Resumen rta docentes'!F213</f>
        <v>0.14814814814814814</v>
      </c>
      <c r="K154" s="200">
        <f>'Resumen rta docentes'!G213</f>
        <v>7.407407407407407E-2</v>
      </c>
      <c r="L154" s="197">
        <f t="shared" si="2"/>
        <v>0.99999999999999989</v>
      </c>
    </row>
    <row r="155" spans="1:12" ht="36.75" customHeight="1" x14ac:dyDescent="0.25">
      <c r="A155" s="5" t="s">
        <v>23</v>
      </c>
      <c r="B155" s="132">
        <v>4</v>
      </c>
      <c r="C155" s="132">
        <v>24</v>
      </c>
      <c r="D155" s="132" t="s">
        <v>1203</v>
      </c>
      <c r="E155" s="6" t="str">
        <f>'Resumen rta docentes'!A216</f>
        <v>Cuenta de 51.2. Considero que el material bibliográfico a disposición del programa académico al cual pertenezco es: ADECUADO</v>
      </c>
      <c r="F155" s="200">
        <f>'Resumen rta docentes'!B217</f>
        <v>3.7037037037037035E-2</v>
      </c>
      <c r="G155" s="200">
        <f>'Resumen rta docentes'!C217</f>
        <v>0.14814814814814814</v>
      </c>
      <c r="H155" s="200">
        <f>'Resumen rta docentes'!D217</f>
        <v>0.25925925925925924</v>
      </c>
      <c r="I155" s="200">
        <f>'Resumen rta docentes'!E217</f>
        <v>0.29629629629629628</v>
      </c>
      <c r="J155" s="200">
        <f>'Resumen rta docentes'!F217</f>
        <v>0.18518518518518517</v>
      </c>
      <c r="K155" s="200">
        <f>'Resumen rta docentes'!G217</f>
        <v>7.407407407407407E-2</v>
      </c>
      <c r="L155" s="197">
        <f t="shared" si="2"/>
        <v>0.99999999999999989</v>
      </c>
    </row>
    <row r="156" spans="1:12" ht="36.75" customHeight="1" x14ac:dyDescent="0.25">
      <c r="A156" s="5" t="s">
        <v>23</v>
      </c>
      <c r="B156" s="132">
        <v>4</v>
      </c>
      <c r="C156" s="132">
        <v>24</v>
      </c>
      <c r="D156" s="132" t="s">
        <v>1204</v>
      </c>
      <c r="E156" s="6" t="str">
        <f>'Resumen rta docentes'!A220</f>
        <v>Cuenta de 51.3. Considero que el material bibliográfico a disposición del programa académico al cual pertenezco es: ACTUALIZADO</v>
      </c>
      <c r="F156" s="200">
        <f>'Resumen rta docentes'!B221</f>
        <v>3.7037037037037035E-2</v>
      </c>
      <c r="G156" s="200">
        <f>'Resumen rta docentes'!C221</f>
        <v>0.1111111111111111</v>
      </c>
      <c r="H156" s="200">
        <f>'Resumen rta docentes'!D221</f>
        <v>0.29629629629629628</v>
      </c>
      <c r="I156" s="200">
        <f>'Resumen rta docentes'!E221</f>
        <v>0.37037037037037035</v>
      </c>
      <c r="J156" s="200">
        <f>'Resumen rta docentes'!F221</f>
        <v>0.1111111111111111</v>
      </c>
      <c r="K156" s="200">
        <f>'Resumen rta docentes'!G221</f>
        <v>7.407407407407407E-2</v>
      </c>
      <c r="L156" s="197">
        <f t="shared" si="2"/>
        <v>0.99999999999999989</v>
      </c>
    </row>
    <row r="157" spans="1:12" ht="36.75" customHeight="1" x14ac:dyDescent="0.25">
      <c r="A157" s="5" t="s">
        <v>23</v>
      </c>
      <c r="B157" s="132">
        <v>4</v>
      </c>
      <c r="C157" s="132">
        <v>25</v>
      </c>
      <c r="D157" s="132" t="s">
        <v>1209</v>
      </c>
      <c r="E157" s="168" t="str">
        <f>'Resumen rta docentes'!A224</f>
        <v>Cuenta de 52.1. Considero que los computadores y software disponibles en el programa académico al cual pertenezco son: SUFICIENTE</v>
      </c>
      <c r="F157" s="200">
        <f>'Resumen rta docentes'!B225</f>
        <v>0.1111111111111111</v>
      </c>
      <c r="G157" s="200">
        <f>'Resumen rta docentes'!C225</f>
        <v>3.7037037037037035E-2</v>
      </c>
      <c r="H157" s="200">
        <f>'Resumen rta docentes'!D225</f>
        <v>0.29629629629629628</v>
      </c>
      <c r="I157" s="200">
        <f>'Resumen rta docentes'!E225</f>
        <v>0.25925925925925924</v>
      </c>
      <c r="J157" s="200">
        <f>'Resumen rta docentes'!F225</f>
        <v>0.22222222222222221</v>
      </c>
      <c r="K157" s="200">
        <f>'Resumen rta docentes'!G225</f>
        <v>7.407407407407407E-2</v>
      </c>
      <c r="L157" s="197">
        <f t="shared" si="2"/>
        <v>1</v>
      </c>
    </row>
    <row r="158" spans="1:12" ht="36.75" customHeight="1" x14ac:dyDescent="0.25">
      <c r="A158" s="5" t="s">
        <v>23</v>
      </c>
      <c r="B158" s="132">
        <v>4</v>
      </c>
      <c r="C158" s="132">
        <v>25</v>
      </c>
      <c r="D158" s="132" t="s">
        <v>1210</v>
      </c>
      <c r="E158" s="6" t="str">
        <f>'Resumen rta docentes'!A228</f>
        <v>Cuenta de 52.2. Considero que los computadores y software disponibles en el programa académico al cual pertenezco son: ADECUADO</v>
      </c>
      <c r="F158" s="200">
        <f>'Resumen rta docentes'!B229</f>
        <v>3.7037037037037035E-2</v>
      </c>
      <c r="G158" s="200">
        <f>'Resumen rta docentes'!C229</f>
        <v>0.1111111111111111</v>
      </c>
      <c r="H158" s="200">
        <f>'Resumen rta docentes'!D229</f>
        <v>0.14814814814814814</v>
      </c>
      <c r="I158" s="200">
        <f>'Resumen rta docentes'!E229</f>
        <v>0.44444444444444442</v>
      </c>
      <c r="J158" s="200">
        <f>'Resumen rta docentes'!F229</f>
        <v>0.22222222222222221</v>
      </c>
      <c r="K158" s="200">
        <f>'Resumen rta docentes'!G229</f>
        <v>3.7037037037037035E-2</v>
      </c>
      <c r="L158" s="197">
        <f t="shared" si="2"/>
        <v>1</v>
      </c>
    </row>
    <row r="159" spans="1:12" ht="36.75" customHeight="1" x14ac:dyDescent="0.25">
      <c r="A159" s="5" t="s">
        <v>23</v>
      </c>
      <c r="B159" s="132">
        <v>4</v>
      </c>
      <c r="C159" s="132">
        <v>25</v>
      </c>
      <c r="D159" s="132" t="s">
        <v>1211</v>
      </c>
      <c r="E159" s="6" t="str">
        <f>'Resumen rta docentes'!A232</f>
        <v>Cuenta de 52.3. Considero que los computadores y software disponibles en el programa académico al cual pertenezco son: ACTUALIZADO</v>
      </c>
      <c r="F159" s="200">
        <f>'Resumen rta docentes'!B233</f>
        <v>3.7037037037037035E-2</v>
      </c>
      <c r="G159" s="200">
        <f>'Resumen rta docentes'!C233</f>
        <v>0.14814814814814814</v>
      </c>
      <c r="H159" s="200">
        <f>'Resumen rta docentes'!D233</f>
        <v>0.40740740740740738</v>
      </c>
      <c r="I159" s="200">
        <f>'Resumen rta docentes'!E233</f>
        <v>0.29629629629629628</v>
      </c>
      <c r="J159" s="200">
        <f>'Resumen rta docentes'!F233</f>
        <v>0.1111111111111111</v>
      </c>
      <c r="K159" s="200">
        <f>'Resumen rta docentes'!G233</f>
        <v>0</v>
      </c>
      <c r="L159" s="197">
        <f t="shared" si="2"/>
        <v>1</v>
      </c>
    </row>
    <row r="160" spans="1:12" ht="36.75" customHeight="1" x14ac:dyDescent="0.25">
      <c r="A160" s="5" t="s">
        <v>23</v>
      </c>
      <c r="B160" s="132">
        <v>4</v>
      </c>
      <c r="C160" s="132">
        <v>26</v>
      </c>
      <c r="D160" s="132" t="s">
        <v>1425</v>
      </c>
      <c r="E160" s="6" t="str">
        <f>'Resumen rta docentes'!A236</f>
        <v>Cuenta de 53.1. Considero que los laboratorios y talleres disponibles en el programa académico al cual pertenezco son: SUFICIENTES</v>
      </c>
      <c r="F160" s="200">
        <f>'Resumen rta docentes'!B237</f>
        <v>0.1111111111111111</v>
      </c>
      <c r="G160" s="200">
        <f>'Resumen rta docentes'!C237</f>
        <v>3.7037037037037035E-2</v>
      </c>
      <c r="H160" s="200">
        <f>'Resumen rta docentes'!D237</f>
        <v>0.14814814814814814</v>
      </c>
      <c r="I160" s="200">
        <f>'Resumen rta docentes'!E237</f>
        <v>0.51851851851851849</v>
      </c>
      <c r="J160" s="200">
        <f>'Resumen rta docentes'!F237</f>
        <v>0.1111111111111111</v>
      </c>
      <c r="K160" s="200">
        <f>'Resumen rta docentes'!G237</f>
        <v>7.407407407407407E-2</v>
      </c>
      <c r="L160" s="197">
        <f t="shared" si="2"/>
        <v>0.99999999999999989</v>
      </c>
    </row>
    <row r="161" spans="1:12" ht="36.75" customHeight="1" x14ac:dyDescent="0.25">
      <c r="A161" s="5" t="s">
        <v>23</v>
      </c>
      <c r="B161" s="132">
        <v>4</v>
      </c>
      <c r="C161" s="132">
        <v>26</v>
      </c>
      <c r="D161" s="132" t="s">
        <v>1426</v>
      </c>
      <c r="E161" s="6" t="str">
        <f>'Resumen rta docentes'!A240</f>
        <v>Cuenta de 53.2. Considero que los laboratorios y talleres disponibles en el programa académico al cual pertenezco son: ADECUADOS</v>
      </c>
      <c r="F161" s="200">
        <f>'Resumen rta docentes'!B241</f>
        <v>3.7037037037037035E-2</v>
      </c>
      <c r="G161" s="200">
        <f>'Resumen rta docentes'!C241</f>
        <v>0.22222222222222221</v>
      </c>
      <c r="H161" s="200">
        <f>'Resumen rta docentes'!D241</f>
        <v>0.37037037037037035</v>
      </c>
      <c r="I161" s="200">
        <f>'Resumen rta docentes'!E241</f>
        <v>0.29629629629629628</v>
      </c>
      <c r="J161" s="200">
        <f>'Resumen rta docentes'!F241</f>
        <v>7.407407407407407E-2</v>
      </c>
      <c r="K161" s="200">
        <f>'Resumen rta docentes'!G241</f>
        <v>0</v>
      </c>
      <c r="L161" s="197">
        <f t="shared" si="2"/>
        <v>0.99999999999999989</v>
      </c>
    </row>
    <row r="162" spans="1:12" ht="36.75" customHeight="1" x14ac:dyDescent="0.25">
      <c r="A162" s="5" t="s">
        <v>23</v>
      </c>
      <c r="B162" s="132">
        <v>4</v>
      </c>
      <c r="C162" s="132">
        <v>26</v>
      </c>
      <c r="D162" s="132" t="s">
        <v>1427</v>
      </c>
      <c r="E162" s="6" t="str">
        <f>'Resumen rta docentes'!A244</f>
        <v>Cuenta de 53.3. Considero que los laboratorios y talleres disponibles en el programa académico al cual pertenezco son: ACTUALIZADOS</v>
      </c>
      <c r="F162" s="200">
        <f>'Resumen rta docentes'!B245</f>
        <v>3.7037037037037035E-2</v>
      </c>
      <c r="G162" s="200">
        <f>'Resumen rta docentes'!C245</f>
        <v>3.7037037037037035E-2</v>
      </c>
      <c r="H162" s="200">
        <f>'Resumen rta docentes'!D245</f>
        <v>0.22222222222222221</v>
      </c>
      <c r="I162" s="200">
        <f>'Resumen rta docentes'!E245</f>
        <v>0.33333333333333331</v>
      </c>
      <c r="J162" s="200">
        <f>'Resumen rta docentes'!F245</f>
        <v>0.25925925925925924</v>
      </c>
      <c r="K162" s="200">
        <f>'Resumen rta docentes'!G245</f>
        <v>0.1111111111111111</v>
      </c>
      <c r="L162" s="197">
        <f t="shared" si="2"/>
        <v>1</v>
      </c>
    </row>
    <row r="163" spans="1:12" ht="48.75" customHeight="1" x14ac:dyDescent="0.25">
      <c r="A163" s="5" t="s">
        <v>23</v>
      </c>
      <c r="B163" s="132">
        <v>4</v>
      </c>
      <c r="C163" s="132">
        <v>26</v>
      </c>
      <c r="D163" s="132" t="s">
        <v>1428</v>
      </c>
      <c r="E163" s="6" t="str">
        <f>'Resumen rta docentes'!A248</f>
        <v>Cuenta de 53.4. Considero que los laboratorios y talleres disponibles en el programa académico al cual pertenezco son: APOYADOS POR PERSONAL DEBIDAMENTE CAPACITADO</v>
      </c>
      <c r="F163" s="200">
        <f>'Resumen rta docentes'!B249</f>
        <v>3.7037037037037035E-2</v>
      </c>
      <c r="G163" s="200">
        <v>0</v>
      </c>
      <c r="H163" s="219">
        <v>0</v>
      </c>
      <c r="I163" s="200">
        <f>'Resumen rta docentes'!C249</f>
        <v>0.18518518518518517</v>
      </c>
      <c r="J163" s="200">
        <f>'Resumen rta docentes'!D249</f>
        <v>0.70370370370370372</v>
      </c>
      <c r="K163" s="200">
        <f>'Resumen rta docentes'!E249</f>
        <v>7.407407407407407E-2</v>
      </c>
      <c r="L163" s="197">
        <f t="shared" si="2"/>
        <v>1</v>
      </c>
    </row>
    <row r="164" spans="1:12" ht="36.75" customHeight="1" x14ac:dyDescent="0.25">
      <c r="A164" s="5" t="s">
        <v>23</v>
      </c>
      <c r="B164" s="132">
        <v>4</v>
      </c>
      <c r="C164" s="132">
        <v>26</v>
      </c>
      <c r="D164" s="132" t="s">
        <v>1429</v>
      </c>
      <c r="E164" s="6" t="str">
        <f>'Resumen rta docentes'!A252</f>
        <v>Cuenta de 53.5. Considero que los laboratorios y talleres disponibles en el programa académico al cual pertenezco son: VENTILADOS</v>
      </c>
      <c r="F164" s="200">
        <f>'Resumen rta docentes'!B253</f>
        <v>7.407407407407407E-2</v>
      </c>
      <c r="G164" s="200">
        <f>'Resumen rta docentes'!C253</f>
        <v>3.7037037037037035E-2</v>
      </c>
      <c r="H164" s="200">
        <f>'Resumen rta docentes'!D253</f>
        <v>0.18518518518518517</v>
      </c>
      <c r="I164" s="200">
        <f>'Resumen rta docentes'!E253</f>
        <v>0.48148148148148145</v>
      </c>
      <c r="J164" s="200">
        <f>'Resumen rta docentes'!F253</f>
        <v>0.14814814814814814</v>
      </c>
      <c r="K164" s="200">
        <f>'Resumen rta docentes'!G253</f>
        <v>7.407407407407407E-2</v>
      </c>
      <c r="L164" s="197">
        <f t="shared" si="2"/>
        <v>0.99999999999999989</v>
      </c>
    </row>
    <row r="165" spans="1:12" ht="36.75" customHeight="1" x14ac:dyDescent="0.25">
      <c r="A165" s="5" t="s">
        <v>23</v>
      </c>
      <c r="B165" s="132">
        <v>4</v>
      </c>
      <c r="C165" s="132">
        <v>26</v>
      </c>
      <c r="D165" s="132" t="s">
        <v>1430</v>
      </c>
      <c r="E165" s="6" t="str">
        <f>'Resumen rta docentes'!A256</f>
        <v>Cuenta de 53.6. Considero que los laboratorios y talleres disponibles en el programa académico al cual pertenezco son: ILUMINADOS</v>
      </c>
      <c r="F165" s="200">
        <f>'Resumen rta docentes'!B257</f>
        <v>3.7037037037037035E-2</v>
      </c>
      <c r="G165" s="200">
        <f>'Resumen rta docentes'!C257</f>
        <v>7.407407407407407E-2</v>
      </c>
      <c r="H165" s="200">
        <f>'Resumen rta docentes'!D257</f>
        <v>0.14814814814814814</v>
      </c>
      <c r="I165" s="200">
        <f>'Resumen rta docentes'!E257</f>
        <v>0.40740740740740738</v>
      </c>
      <c r="J165" s="200">
        <f>'Resumen rta docentes'!F257</f>
        <v>0.25925925925925924</v>
      </c>
      <c r="K165" s="200">
        <f>'Resumen rta docentes'!G257</f>
        <v>7.407407407407407E-2</v>
      </c>
      <c r="L165" s="197">
        <f t="shared" si="2"/>
        <v>0.99999999999999989</v>
      </c>
    </row>
    <row r="166" spans="1:12" ht="48.75" customHeight="1" x14ac:dyDescent="0.25">
      <c r="A166" s="5" t="s">
        <v>23</v>
      </c>
      <c r="B166" s="132">
        <v>4</v>
      </c>
      <c r="C166" s="132">
        <v>26</v>
      </c>
      <c r="D166" s="132" t="s">
        <v>1431</v>
      </c>
      <c r="E166" s="6" t="str">
        <f>'Resumen rta docentes'!A260</f>
        <v>Cuenta de 53.7. Considero que los laboratorios y talleres disponibles en el programa académico al cual pertenezco son: DISEÑADOS SEGÚN NORMAS DE SEGURIDAD</v>
      </c>
      <c r="F166" s="200">
        <f>'Resumen rta docentes'!B261</f>
        <v>0.1111111111111111</v>
      </c>
      <c r="G166" s="200">
        <f>'Resumen rta docentes'!C261</f>
        <v>3.7037037037037035E-2</v>
      </c>
      <c r="H166" s="200">
        <f>'Resumen rta docentes'!D261</f>
        <v>0.29629629629629628</v>
      </c>
      <c r="I166" s="200">
        <f>'Resumen rta docentes'!E261</f>
        <v>0.29629629629629628</v>
      </c>
      <c r="J166" s="200">
        <f>'Resumen rta docentes'!F261</f>
        <v>0.18518518518518517</v>
      </c>
      <c r="K166" s="200">
        <f>'Resumen rta docentes'!G261</f>
        <v>7.407407407407407E-2</v>
      </c>
      <c r="L166" s="197">
        <f t="shared" si="2"/>
        <v>0.99999999999999989</v>
      </c>
    </row>
    <row r="167" spans="1:12" ht="36.75" customHeight="1" x14ac:dyDescent="0.25">
      <c r="A167" s="5" t="s">
        <v>23</v>
      </c>
      <c r="B167" s="132">
        <v>4</v>
      </c>
      <c r="C167" s="132">
        <v>26</v>
      </c>
      <c r="D167" s="132" t="s">
        <v>918</v>
      </c>
      <c r="E167" s="6" t="str">
        <f>'Resumen rta docentes'!A264</f>
        <v>Cuenta de 54.1. Considero que los equipos de apoyo audiovisual a disposición del programa académico al cual pertenezco son: SUFICIENTES</v>
      </c>
      <c r="F167" s="200">
        <f>'Resumen rta docentes'!B265</f>
        <v>0.18518518518518517</v>
      </c>
      <c r="G167" s="200">
        <f>'Resumen rta docentes'!C265</f>
        <v>0.1111111111111111</v>
      </c>
      <c r="H167" s="200">
        <f>'Resumen rta docentes'!D265</f>
        <v>0.25925925925925924</v>
      </c>
      <c r="I167" s="200">
        <f>'Resumen rta docentes'!E265</f>
        <v>0.29629629629629628</v>
      </c>
      <c r="J167" s="200">
        <f>'Resumen rta docentes'!F265</f>
        <v>0.14814814814814814</v>
      </c>
      <c r="K167" s="200">
        <f>'Resumen rta docentes'!G265</f>
        <v>0</v>
      </c>
      <c r="L167" s="197">
        <f t="shared" ref="L167:L189" si="3">SUM(F167:K167)</f>
        <v>1</v>
      </c>
    </row>
    <row r="168" spans="1:12" ht="36.75" customHeight="1" x14ac:dyDescent="0.25">
      <c r="A168" s="5" t="s">
        <v>23</v>
      </c>
      <c r="B168" s="132">
        <v>4</v>
      </c>
      <c r="C168" s="132">
        <v>26</v>
      </c>
      <c r="D168" s="132" t="s">
        <v>919</v>
      </c>
      <c r="E168" s="6" t="str">
        <f>'Resumen rta docentes'!A268</f>
        <v>Cuenta de 54.2. Considero que los equipos de apoyo audiovisual a disposición del programa académico al cual pertenezco son: ADECUADOS</v>
      </c>
      <c r="F168" s="200">
        <f>'Resumen rta docentes'!B269</f>
        <v>0.18518518518518517</v>
      </c>
      <c r="G168" s="200">
        <f>'Resumen rta docentes'!C269</f>
        <v>0.1111111111111111</v>
      </c>
      <c r="H168" s="200">
        <f>'Resumen rta docentes'!D269</f>
        <v>0.22222222222222221</v>
      </c>
      <c r="I168" s="200">
        <f>'Resumen rta docentes'!E269</f>
        <v>0.33333333333333331</v>
      </c>
      <c r="J168" s="200">
        <f>'Resumen rta docentes'!F269</f>
        <v>0.14814814814814814</v>
      </c>
      <c r="K168" s="200">
        <f>'Resumen rta docentes'!G269</f>
        <v>0</v>
      </c>
      <c r="L168" s="197">
        <f t="shared" si="3"/>
        <v>1</v>
      </c>
    </row>
    <row r="169" spans="1:12" ht="36.75" customHeight="1" x14ac:dyDescent="0.25">
      <c r="A169" s="5" t="s">
        <v>23</v>
      </c>
      <c r="B169" s="132">
        <v>4</v>
      </c>
      <c r="C169" s="132">
        <v>26</v>
      </c>
      <c r="D169" s="132" t="s">
        <v>920</v>
      </c>
      <c r="E169" s="6" t="str">
        <f>'Resumen rta docentes'!A272</f>
        <v>Cuenta de 54.3. Considero que los equipos de apoyo audiovisual a disposición del programa académico al cual pertenezco son: ACTUALIZADOS</v>
      </c>
      <c r="F169" s="200">
        <f>'Resumen rta docentes'!B273</f>
        <v>0.14814814814814814</v>
      </c>
      <c r="G169" s="200">
        <f>'Resumen rta docentes'!C273</f>
        <v>0.1111111111111111</v>
      </c>
      <c r="H169" s="200">
        <f>'Resumen rta docentes'!D273</f>
        <v>0.14814814814814814</v>
      </c>
      <c r="I169" s="200">
        <f>'Resumen rta docentes'!E273</f>
        <v>0.40740740740740738</v>
      </c>
      <c r="J169" s="200">
        <f>'Resumen rta docentes'!F273</f>
        <v>0.18518518518518517</v>
      </c>
      <c r="K169" s="200">
        <f>'Resumen rta docentes'!G273</f>
        <v>0</v>
      </c>
      <c r="L169" s="197">
        <f t="shared" si="3"/>
        <v>1</v>
      </c>
    </row>
    <row r="170" spans="1:12" ht="48.75" customHeight="1" x14ac:dyDescent="0.25">
      <c r="A170" s="5" t="s">
        <v>23</v>
      </c>
      <c r="B170" s="132">
        <v>4</v>
      </c>
      <c r="C170" s="132">
        <v>26</v>
      </c>
      <c r="D170" s="132" t="s">
        <v>1432</v>
      </c>
      <c r="E170" s="6" t="str">
        <f>'Resumen rta docentes'!A276</f>
        <v>Cuenta de 54.4. Considero que los equipos de apoyo audiovisual a disposición del programa académico al cual pertenezco son: SOPORTADOS POR PERSONAL DEBIDAMENTE CAPACITADO</v>
      </c>
      <c r="F170" s="200">
        <f>'Resumen rta docentes'!B277</f>
        <v>3.7037037037037035E-2</v>
      </c>
      <c r="G170" s="200">
        <f>'Resumen rta docentes'!C277</f>
        <v>7.407407407407407E-2</v>
      </c>
      <c r="H170" s="200">
        <f>'Resumen rta docentes'!D277</f>
        <v>0.37037037037037035</v>
      </c>
      <c r="I170" s="200">
        <f>'Resumen rta docentes'!E277</f>
        <v>0.48148148148148145</v>
      </c>
      <c r="J170" s="200">
        <f>'Resumen rta docentes'!F277</f>
        <v>3.7037037037037035E-2</v>
      </c>
      <c r="K170" s="200">
        <f>'Resumen rta docentes'!G277</f>
        <v>0</v>
      </c>
      <c r="L170" s="197">
        <f t="shared" si="3"/>
        <v>1</v>
      </c>
    </row>
    <row r="171" spans="1:12" ht="36.75" customHeight="1" x14ac:dyDescent="0.25">
      <c r="A171" s="5" t="s">
        <v>23</v>
      </c>
      <c r="B171" s="132">
        <v>5</v>
      </c>
      <c r="C171" s="132">
        <v>27</v>
      </c>
      <c r="D171" s="132">
        <v>55</v>
      </c>
      <c r="E171" s="6" t="str">
        <f>'Resumen rta docentes'!A280</f>
        <v>Cuenta de 55. Considero que la institución apoya suficientemente las iniciativas de movilidad académica de los docentes.</v>
      </c>
      <c r="F171" s="200">
        <f>'Resumen rta docentes'!B281</f>
        <v>0.14814814814814814</v>
      </c>
      <c r="G171" s="200">
        <f>'Resumen rta docentes'!C281</f>
        <v>0.18518518518518517</v>
      </c>
      <c r="H171" s="200">
        <f>'Resumen rta docentes'!D281</f>
        <v>0.14814814814814814</v>
      </c>
      <c r="I171" s="200">
        <f>'Resumen rta docentes'!E281</f>
        <v>0.25925925925925924</v>
      </c>
      <c r="J171" s="200">
        <f>'Resumen rta docentes'!F281</f>
        <v>0.1111111111111111</v>
      </c>
      <c r="K171" s="200">
        <f>'Resumen rta docentes'!G281</f>
        <v>0.14814814814814814</v>
      </c>
      <c r="L171" s="197">
        <f t="shared" si="3"/>
        <v>1</v>
      </c>
    </row>
    <row r="172" spans="1:12" ht="36.75" customHeight="1" x14ac:dyDescent="0.25">
      <c r="A172" s="5" t="s">
        <v>23</v>
      </c>
      <c r="B172" s="132">
        <v>6</v>
      </c>
      <c r="C172" s="132">
        <v>29</v>
      </c>
      <c r="D172" s="132">
        <v>56</v>
      </c>
      <c r="E172" s="6" t="str">
        <f>'Resumen rta docentes'!A284</f>
        <v xml:space="preserve">Cuenta de 56. Considero que el programa académico al cual pertenezco promueve la participación en grupos de investigación. </v>
      </c>
      <c r="F172" s="200">
        <f>'Resumen rta docentes'!B285</f>
        <v>0.18518518518518517</v>
      </c>
      <c r="G172" s="200">
        <f>'Resumen rta docentes'!C285</f>
        <v>7.407407407407407E-2</v>
      </c>
      <c r="H172" s="200">
        <f>'Resumen rta docentes'!D285</f>
        <v>0.14814814814814814</v>
      </c>
      <c r="I172" s="200">
        <f>'Resumen rta docentes'!E285</f>
        <v>0.25925925925925924</v>
      </c>
      <c r="J172" s="200">
        <f>'Resumen rta docentes'!F285</f>
        <v>0.25925925925925924</v>
      </c>
      <c r="K172" s="200">
        <f>'Resumen rta docentes'!G285</f>
        <v>7.407407407407407E-2</v>
      </c>
      <c r="L172" s="197">
        <f t="shared" si="3"/>
        <v>0.99999999999999989</v>
      </c>
    </row>
    <row r="173" spans="1:12" ht="36.75" customHeight="1" x14ac:dyDescent="0.25">
      <c r="A173" s="5" t="s">
        <v>23</v>
      </c>
      <c r="B173" s="132">
        <v>6</v>
      </c>
      <c r="C173" s="132">
        <v>29</v>
      </c>
      <c r="D173" s="132">
        <v>57</v>
      </c>
      <c r="E173" s="6" t="str">
        <f>'Resumen rta docentes'!A288</f>
        <v xml:space="preserve">Cuenta de 57. El programa académico al cual pertenezco muestra una dinámica de integración a redes académicas externas. </v>
      </c>
      <c r="F173" s="200">
        <f>'Resumen rta docentes'!B289</f>
        <v>0.14814814814814814</v>
      </c>
      <c r="G173" s="200">
        <f>'Resumen rta docentes'!C289</f>
        <v>0.1111111111111111</v>
      </c>
      <c r="H173" s="200">
        <f>'Resumen rta docentes'!D289</f>
        <v>0.40740740740740738</v>
      </c>
      <c r="I173" s="200">
        <f>'Resumen rta docentes'!E289</f>
        <v>0.18518518518518517</v>
      </c>
      <c r="J173" s="200">
        <f>'Resumen rta docentes'!F289</f>
        <v>7.407407407407407E-2</v>
      </c>
      <c r="K173" s="200">
        <f>'Resumen rta docentes'!G289</f>
        <v>7.407407407407407E-2</v>
      </c>
      <c r="L173" s="197">
        <f t="shared" si="3"/>
        <v>1</v>
      </c>
    </row>
    <row r="174" spans="1:12" ht="24.75" customHeight="1" x14ac:dyDescent="0.25">
      <c r="A174" s="5" t="s">
        <v>23</v>
      </c>
      <c r="B174" s="132">
        <v>7</v>
      </c>
      <c r="C174" s="132">
        <v>31</v>
      </c>
      <c r="D174" s="132" t="s">
        <v>912</v>
      </c>
      <c r="E174" s="6" t="str">
        <f>'Resumen rta docentes'!A292</f>
        <v>Cuenta de 58.1. Considero que los servicios de Bienestar Universitario son: SUFICIENTES</v>
      </c>
      <c r="F174" s="200">
        <f>'Resumen rta docentes'!B293</f>
        <v>0.22222222222222221</v>
      </c>
      <c r="G174" s="200">
        <f>'Resumen rta docentes'!C293</f>
        <v>7.407407407407407E-2</v>
      </c>
      <c r="H174" s="200">
        <f>'Resumen rta docentes'!D293</f>
        <v>0.29629629629629628</v>
      </c>
      <c r="I174" s="200">
        <f>'Resumen rta docentes'!E293</f>
        <v>0.33333333333333331</v>
      </c>
      <c r="J174" s="200">
        <f>'Resumen rta docentes'!F293</f>
        <v>3.7037037037037035E-2</v>
      </c>
      <c r="K174" s="200">
        <f>'Resumen rta docentes'!G293</f>
        <v>3.7037037037037035E-2</v>
      </c>
      <c r="L174" s="197">
        <f t="shared" si="3"/>
        <v>0.99999999999999978</v>
      </c>
    </row>
    <row r="175" spans="1:12" ht="24.75" customHeight="1" x14ac:dyDescent="0.25">
      <c r="A175" s="5" t="s">
        <v>23</v>
      </c>
      <c r="B175" s="132">
        <v>7</v>
      </c>
      <c r="C175" s="132">
        <v>31</v>
      </c>
      <c r="D175" s="132" t="s">
        <v>913</v>
      </c>
      <c r="E175" s="6" t="str">
        <f>'Resumen rta docentes'!A296</f>
        <v>Cuenta de 58.2. Considero que los servicios de Bienestar Universitario son: ADECUADOS</v>
      </c>
      <c r="F175" s="200">
        <f>'Resumen rta docentes'!B297</f>
        <v>0.18518518518518517</v>
      </c>
      <c r="G175" s="200">
        <f>'Resumen rta docentes'!C297</f>
        <v>7.407407407407407E-2</v>
      </c>
      <c r="H175" s="200">
        <f>'Resumen rta docentes'!D297</f>
        <v>0.18518518518518517</v>
      </c>
      <c r="I175" s="200">
        <f>'Resumen rta docentes'!E297</f>
        <v>0.44444444444444442</v>
      </c>
      <c r="J175" s="200">
        <f>'Resumen rta docentes'!F297</f>
        <v>7.407407407407407E-2</v>
      </c>
      <c r="K175" s="200">
        <f>'Resumen rta docentes'!G297</f>
        <v>3.7037037037037035E-2</v>
      </c>
      <c r="L175" s="197">
        <f t="shared" si="3"/>
        <v>1</v>
      </c>
    </row>
    <row r="176" spans="1:12" ht="24.75" customHeight="1" x14ac:dyDescent="0.25">
      <c r="A176" s="5" t="s">
        <v>23</v>
      </c>
      <c r="B176" s="132">
        <v>7</v>
      </c>
      <c r="C176" s="132">
        <v>31</v>
      </c>
      <c r="D176" s="132" t="s">
        <v>914</v>
      </c>
      <c r="E176" s="6" t="str">
        <f>'Resumen rta docentes'!A300</f>
        <v>Cuenta de 58.3. Considero que los servicios de Bienestar Universitario son: ACCESIBLES</v>
      </c>
      <c r="F176" s="200">
        <f>'Resumen rta docentes'!B301</f>
        <v>0.1111111111111111</v>
      </c>
      <c r="G176" s="200">
        <f>'Resumen rta docentes'!C301</f>
        <v>0.18518518518518517</v>
      </c>
      <c r="H176" s="200">
        <f>'Resumen rta docentes'!D301</f>
        <v>0.18518518518518517</v>
      </c>
      <c r="I176" s="200">
        <f>'Resumen rta docentes'!E301</f>
        <v>0.40740740740740738</v>
      </c>
      <c r="J176" s="200">
        <f>'Resumen rta docentes'!F301</f>
        <v>7.407407407407407E-2</v>
      </c>
      <c r="K176" s="200">
        <f>'Resumen rta docentes'!G301</f>
        <v>3.7037037037037035E-2</v>
      </c>
      <c r="L176" s="197">
        <f t="shared" si="3"/>
        <v>1</v>
      </c>
    </row>
    <row r="177" spans="1:12" ht="36.75" customHeight="1" x14ac:dyDescent="0.25">
      <c r="A177" s="5" t="s">
        <v>23</v>
      </c>
      <c r="B177" s="132">
        <v>8</v>
      </c>
      <c r="C177" s="132">
        <v>33</v>
      </c>
      <c r="D177" s="132">
        <v>59</v>
      </c>
      <c r="E177" s="6" t="str">
        <f>'Resumen rta docentes'!A304</f>
        <v xml:space="preserve">Cuenta de 59. Considero que la atención por parte del personal administrativo del programa académico al cual pertenezco es idónea. </v>
      </c>
      <c r="F177" s="200">
        <v>0</v>
      </c>
      <c r="G177" s="200">
        <v>0</v>
      </c>
      <c r="H177" s="200">
        <f>'Resumen rta docentes'!B305</f>
        <v>7.407407407407407E-2</v>
      </c>
      <c r="I177" s="200">
        <f>'Resumen rta docentes'!C305</f>
        <v>0.1111111111111111</v>
      </c>
      <c r="J177" s="200">
        <f>'Resumen rta docentes'!D305</f>
        <v>0.81481481481481477</v>
      </c>
      <c r="K177" s="200">
        <f>'Resumen rta docentes'!G305</f>
        <v>0</v>
      </c>
      <c r="L177" s="197">
        <f t="shared" si="3"/>
        <v>1</v>
      </c>
    </row>
    <row r="178" spans="1:12" ht="60" x14ac:dyDescent="0.25">
      <c r="A178" s="5" t="s">
        <v>23</v>
      </c>
      <c r="B178" s="132">
        <v>8</v>
      </c>
      <c r="C178" s="132">
        <v>33</v>
      </c>
      <c r="D178" s="132" t="s">
        <v>1433</v>
      </c>
      <c r="E178" s="6" t="str">
        <f>'Resumen rta docentes'!A308</f>
        <v>Cuenta de 60.1. La organización, administración y gestión del programa académico al cual pertenezco permite cumplir los objetivos de: DESARROLLO REGULAR DE LOS ESPACIOS Y DE LOS SEMESTRES ACADÉMICOS.</v>
      </c>
      <c r="F178" s="200">
        <v>0</v>
      </c>
      <c r="G178" s="200">
        <v>0</v>
      </c>
      <c r="H178" s="200">
        <f>'Resumen rta docentes'!B309</f>
        <v>3.7037037037037035E-2</v>
      </c>
      <c r="I178" s="200">
        <f>'Resumen rta docentes'!C309</f>
        <v>0.25925925925925924</v>
      </c>
      <c r="J178" s="200">
        <f>'Resumen rta docentes'!D309</f>
        <v>0.70370370370370372</v>
      </c>
      <c r="K178" s="200">
        <f>'Resumen rta docentes'!G309</f>
        <v>0</v>
      </c>
      <c r="L178" s="197">
        <f t="shared" si="3"/>
        <v>1</v>
      </c>
    </row>
    <row r="179" spans="1:12" ht="48.75" customHeight="1" x14ac:dyDescent="0.25">
      <c r="A179" s="5" t="s">
        <v>23</v>
      </c>
      <c r="B179" s="132">
        <v>8</v>
      </c>
      <c r="C179" s="132">
        <v>33</v>
      </c>
      <c r="D179" s="132" t="s">
        <v>1434</v>
      </c>
      <c r="E179" s="6" t="str">
        <f>'Resumen rta docentes'!A312</f>
        <v>Cuenta de 60.2. La organización, administración y gestión del programa académico al cual pertenezco permite cumplir los objetivos de: PROMOCIÓN DE LA CULTURA DE LA INVESTIGACIÓN</v>
      </c>
      <c r="F179" s="200">
        <f>'Resumen rta docentes'!B313</f>
        <v>0.1111111111111111</v>
      </c>
      <c r="G179" s="200">
        <f>'Resumen rta docentes'!C313</f>
        <v>3.7037037037037035E-2</v>
      </c>
      <c r="H179" s="200">
        <f>'Resumen rta docentes'!D313</f>
        <v>7.407407407407407E-2</v>
      </c>
      <c r="I179" s="200">
        <f>'Resumen rta docentes'!E313</f>
        <v>0.44444444444444442</v>
      </c>
      <c r="J179" s="200">
        <f>'Resumen rta docentes'!F313</f>
        <v>0.29629629629629628</v>
      </c>
      <c r="K179" s="200">
        <f>'Resumen rta docentes'!G313</f>
        <v>3.7037037037037035E-2</v>
      </c>
      <c r="L179" s="197">
        <f t="shared" si="3"/>
        <v>1</v>
      </c>
    </row>
    <row r="180" spans="1:12" ht="60" x14ac:dyDescent="0.25">
      <c r="A180" s="5" t="s">
        <v>23</v>
      </c>
      <c r="B180" s="132">
        <v>8</v>
      </c>
      <c r="C180" s="132">
        <v>33</v>
      </c>
      <c r="D180" s="132" t="s">
        <v>1435</v>
      </c>
      <c r="E180" s="6" t="str">
        <f>'Resumen rta docentes'!A316</f>
        <v>Cuenta de 60.3. La organización, administración y gestión del programa académico al cual pertenezco permite cumplir los objetivos de: INTEGRACIÓN CON LA COMUNIDAD Y CON EL ENTORNO.</v>
      </c>
      <c r="F180" s="200">
        <f>'Resumen rta docentes'!B317</f>
        <v>0.1111111111111111</v>
      </c>
      <c r="G180" s="200">
        <f>'Resumen rta docentes'!C317</f>
        <v>3.7037037037037035E-2</v>
      </c>
      <c r="H180" s="200">
        <f>'Resumen rta docentes'!D317</f>
        <v>0.22222222222222221</v>
      </c>
      <c r="I180" s="200">
        <f>'Resumen rta docentes'!E317</f>
        <v>0.25925925925925924</v>
      </c>
      <c r="J180" s="200">
        <f>'Resumen rta docentes'!F317</f>
        <v>0.33333333333333331</v>
      </c>
      <c r="K180" s="200">
        <f>'Resumen rta docentes'!G317</f>
        <v>3.7037037037037035E-2</v>
      </c>
      <c r="L180" s="197">
        <f t="shared" si="3"/>
        <v>0.99999999999999978</v>
      </c>
    </row>
    <row r="181" spans="1:12" ht="36.75" customHeight="1" x14ac:dyDescent="0.25">
      <c r="A181" s="5" t="s">
        <v>23</v>
      </c>
      <c r="B181" s="132">
        <v>8</v>
      </c>
      <c r="C181" s="132">
        <v>33</v>
      </c>
      <c r="D181" s="132">
        <v>61</v>
      </c>
      <c r="E181" s="6" t="str">
        <f>'Resumen rta docentes'!A320</f>
        <v>Cuenta de 61. Considero que la representación docente cumple su papel de comunicación entre los directivos y los docentes.</v>
      </c>
      <c r="F181" s="200">
        <f>'Resumen rta docentes'!B321</f>
        <v>0.14814814814814814</v>
      </c>
      <c r="G181" s="200">
        <f>'Resumen rta docentes'!C321</f>
        <v>7.407407407407407E-2</v>
      </c>
      <c r="H181" s="200">
        <f>'Resumen rta docentes'!D321</f>
        <v>0.22222222222222221</v>
      </c>
      <c r="I181" s="200">
        <f>'Resumen rta docentes'!E321</f>
        <v>0.33333333333333331</v>
      </c>
      <c r="J181" s="200">
        <f>'Resumen rta docentes'!F321</f>
        <v>0.14814814814814814</v>
      </c>
      <c r="K181" s="200">
        <f>'Resumen rta docentes'!G321</f>
        <v>7.407407407407407E-2</v>
      </c>
      <c r="L181" s="197">
        <f t="shared" si="3"/>
        <v>0.99999999999999989</v>
      </c>
    </row>
    <row r="182" spans="1:12" ht="48" x14ac:dyDescent="0.25">
      <c r="A182" s="5" t="s">
        <v>23</v>
      </c>
      <c r="B182" s="132">
        <v>8</v>
      </c>
      <c r="C182" s="132">
        <v>33</v>
      </c>
      <c r="D182" s="132">
        <v>62</v>
      </c>
      <c r="E182" s="6" t="str">
        <f>'Resumen rta docentes'!A324</f>
        <v xml:space="preserve">Cuenta de 62. Considero que los representantes docentes han liderado propuestas para el mejoramiento del programa académico al cual pertenezco. </v>
      </c>
      <c r="F182" s="200">
        <f>'Resumen rta docentes'!B325</f>
        <v>0.1111111111111111</v>
      </c>
      <c r="G182" s="200">
        <f>'Resumen rta docentes'!C325</f>
        <v>3.7037037037037035E-2</v>
      </c>
      <c r="H182" s="200">
        <f>'Resumen rta docentes'!D325</f>
        <v>0.1111111111111111</v>
      </c>
      <c r="I182" s="200">
        <f>'Resumen rta docentes'!E325</f>
        <v>0.33333333333333331</v>
      </c>
      <c r="J182" s="200">
        <f>'Resumen rta docentes'!F325</f>
        <v>0.25925925925925924</v>
      </c>
      <c r="K182" s="200">
        <f>'Resumen rta docentes'!G325</f>
        <v>0.14814814814814814</v>
      </c>
      <c r="L182" s="197">
        <f t="shared" si="3"/>
        <v>1</v>
      </c>
    </row>
    <row r="183" spans="1:12" ht="36.75" customHeight="1" x14ac:dyDescent="0.25">
      <c r="A183" s="5" t="s">
        <v>23</v>
      </c>
      <c r="B183" s="132">
        <v>8</v>
      </c>
      <c r="C183" s="132">
        <v>34</v>
      </c>
      <c r="D183" s="132">
        <v>63</v>
      </c>
      <c r="E183" s="6" t="str">
        <f>'Resumen rta docentes'!A328</f>
        <v>Cuenta de 63. Considero que los sistemas de información empleados por el programa académico al cual pertenezco son efectivos.</v>
      </c>
      <c r="F183" s="200">
        <f>'Resumen rta docentes'!B329</f>
        <v>7.407407407407407E-2</v>
      </c>
      <c r="G183" s="200">
        <f>'Resumen rta docentes'!C329</f>
        <v>3.7037037037037035E-2</v>
      </c>
      <c r="H183" s="200">
        <f>'Resumen rta docentes'!D329</f>
        <v>0.18518518518518517</v>
      </c>
      <c r="I183" s="200">
        <f>'Resumen rta docentes'!E329</f>
        <v>0.48148148148148145</v>
      </c>
      <c r="J183" s="200">
        <f>'Resumen rta docentes'!F329</f>
        <v>0.22222222222222221</v>
      </c>
      <c r="K183" s="200">
        <f>'Resumen rta docentes'!G329</f>
        <v>0</v>
      </c>
      <c r="L183" s="197">
        <f t="shared" si="3"/>
        <v>0.99999999999999989</v>
      </c>
    </row>
    <row r="184" spans="1:12" ht="36.75" customHeight="1" x14ac:dyDescent="0.25">
      <c r="A184" s="5" t="s">
        <v>23</v>
      </c>
      <c r="B184" s="132">
        <v>8</v>
      </c>
      <c r="C184" s="132">
        <v>35</v>
      </c>
      <c r="D184" s="132">
        <v>64</v>
      </c>
      <c r="E184" s="6" t="str">
        <f>'Resumen rta docentes'!A332</f>
        <v xml:space="preserve">Cuenta de 64. Considero que las orientaciones de los directivos del programa académico al cual pertenezco son adecuadas. </v>
      </c>
      <c r="F184" s="200">
        <v>0</v>
      </c>
      <c r="G184" s="200">
        <v>0</v>
      </c>
      <c r="H184" s="200">
        <f>'Resumen rta docentes'!B333</f>
        <v>0.1111111111111111</v>
      </c>
      <c r="I184" s="200">
        <f>'Resumen rta docentes'!C333</f>
        <v>0.37037037037037035</v>
      </c>
      <c r="J184" s="200">
        <f>'Resumen rta docentes'!D333</f>
        <v>0.51851851851851849</v>
      </c>
      <c r="K184" s="200">
        <f>'Resumen rta docentes'!G333</f>
        <v>0</v>
      </c>
      <c r="L184" s="197">
        <f t="shared" si="3"/>
        <v>1</v>
      </c>
    </row>
    <row r="185" spans="1:12" ht="36.75" customHeight="1" x14ac:dyDescent="0.25">
      <c r="A185" s="5" t="s">
        <v>23</v>
      </c>
      <c r="B185" s="132">
        <v>8</v>
      </c>
      <c r="C185" s="132">
        <v>35</v>
      </c>
      <c r="D185" s="132">
        <v>65</v>
      </c>
      <c r="E185" s="6" t="str">
        <f>'Resumen rta docentes'!A336</f>
        <v>Cuenta de 65. Me entero de las decisiones del Consejo Curricular del programa académico al cual pertenezco.</v>
      </c>
      <c r="F185" s="200">
        <f>'Resumen rta docentes'!B337</f>
        <v>7.407407407407407E-2</v>
      </c>
      <c r="G185" s="200">
        <f>'Resumen rta docentes'!C337</f>
        <v>7.407407407407407E-2</v>
      </c>
      <c r="H185" s="200">
        <f>'Resumen rta docentes'!D337</f>
        <v>0.22222222222222221</v>
      </c>
      <c r="I185" s="200">
        <f>'Resumen rta docentes'!E337</f>
        <v>0.25925925925925924</v>
      </c>
      <c r="J185" s="200">
        <f>'Resumen rta docentes'!F337</f>
        <v>0.37037037037037035</v>
      </c>
      <c r="K185" s="200">
        <f>'Resumen rta docentes'!G337</f>
        <v>0</v>
      </c>
      <c r="L185" s="197">
        <f t="shared" si="3"/>
        <v>0.99999999999999989</v>
      </c>
    </row>
    <row r="186" spans="1:12" ht="36.75" customHeight="1" x14ac:dyDescent="0.25">
      <c r="A186" s="5" t="s">
        <v>23</v>
      </c>
      <c r="B186" s="132">
        <v>8</v>
      </c>
      <c r="C186" s="132">
        <v>35</v>
      </c>
      <c r="D186" s="132">
        <v>66</v>
      </c>
      <c r="E186" s="6" t="str">
        <f>'Resumen rta docentes'!A340</f>
        <v>Cuenta de 66. Considero que el liderazgo ejercido por los directivos del programa académico al cual pertenezco es idóneo.</v>
      </c>
      <c r="F186" s="200">
        <v>0</v>
      </c>
      <c r="G186" s="200">
        <v>0</v>
      </c>
      <c r="H186" s="200">
        <f>'Resumen rta docentes'!B341</f>
        <v>0.1111111111111111</v>
      </c>
      <c r="I186" s="200">
        <f>'Resumen rta docentes'!C341</f>
        <v>0.37037037037037035</v>
      </c>
      <c r="J186" s="200">
        <f>'Resumen rta docentes'!D341</f>
        <v>0.51851851851851849</v>
      </c>
      <c r="K186" s="200">
        <f>'Resumen rta docentes'!G341</f>
        <v>0</v>
      </c>
      <c r="L186" s="197">
        <f t="shared" si="3"/>
        <v>1</v>
      </c>
    </row>
    <row r="187" spans="1:12" ht="36.75" customHeight="1" x14ac:dyDescent="0.25">
      <c r="A187" s="5" t="s">
        <v>23</v>
      </c>
      <c r="B187" s="132">
        <v>10</v>
      </c>
      <c r="C187" s="132">
        <v>38</v>
      </c>
      <c r="D187" s="132" t="s">
        <v>924</v>
      </c>
      <c r="E187" s="6" t="str">
        <f>'Resumen rta docentes'!A344</f>
        <v>Cuenta de 67.1. Considero que la planta física empleada por el programa académico al cual pertenezco es: ADECUADA</v>
      </c>
      <c r="F187" s="200">
        <f>'Resumen rta docentes'!B345</f>
        <v>0.1111111111111111</v>
      </c>
      <c r="G187" s="200">
        <f>'Resumen rta docentes'!C345</f>
        <v>3.7037037037037035E-2</v>
      </c>
      <c r="H187" s="200">
        <f>'Resumen rta docentes'!D345</f>
        <v>0.29629629629629628</v>
      </c>
      <c r="I187" s="200">
        <f>'Resumen rta docentes'!E345</f>
        <v>0.37037037037037035</v>
      </c>
      <c r="J187" s="200">
        <f>'Resumen rta docentes'!F345</f>
        <v>0.18518518518518517</v>
      </c>
      <c r="K187" s="200">
        <f>'Resumen rta docentes'!G345</f>
        <v>0</v>
      </c>
      <c r="L187" s="197">
        <f t="shared" si="3"/>
        <v>1</v>
      </c>
    </row>
    <row r="188" spans="1:12" ht="36.75" customHeight="1" x14ac:dyDescent="0.25">
      <c r="A188" s="5" t="s">
        <v>23</v>
      </c>
      <c r="B188" s="132">
        <v>10</v>
      </c>
      <c r="C188" s="132">
        <v>38</v>
      </c>
      <c r="D188" s="132" t="s">
        <v>925</v>
      </c>
      <c r="E188" s="6" t="str">
        <f>'Resumen rta docentes'!A348</f>
        <v>Cuenta de 67.2. Considero que la planta física empleada por el programa académico al cual pertenezco es: SUFICIENTE</v>
      </c>
      <c r="F188" s="200">
        <f>'Resumen rta docentes'!B349</f>
        <v>0.14814814814814814</v>
      </c>
      <c r="G188" s="200">
        <f>'Resumen rta docentes'!C349</f>
        <v>3.7037037037037035E-2</v>
      </c>
      <c r="H188" s="200">
        <f>'Resumen rta docentes'!D349</f>
        <v>0.29629629629629628</v>
      </c>
      <c r="I188" s="200">
        <f>'Resumen rta docentes'!E349</f>
        <v>0.40740740740740738</v>
      </c>
      <c r="J188" s="200">
        <f>'Resumen rta docentes'!F349</f>
        <v>0.1111111111111111</v>
      </c>
      <c r="K188" s="200">
        <f>'Resumen rta docentes'!G349</f>
        <v>0</v>
      </c>
      <c r="L188" s="197">
        <f t="shared" si="3"/>
        <v>1</v>
      </c>
    </row>
    <row r="189" spans="1:12" ht="36.75" customHeight="1" x14ac:dyDescent="0.25">
      <c r="A189" s="5" t="s">
        <v>23</v>
      </c>
      <c r="B189" s="132">
        <v>10</v>
      </c>
      <c r="C189" s="132">
        <v>38</v>
      </c>
      <c r="D189" s="132" t="s">
        <v>926</v>
      </c>
      <c r="E189" s="6" t="str">
        <f>'Resumen rta docentes'!A352</f>
        <v>Cuenta de 67.3. Considero que la planta física empleada por el programa académico al cual pertenezco es: MANTENIDA APROPIADAMENTE.</v>
      </c>
      <c r="F189" s="200">
        <f>'Resumen rta docentes'!B353</f>
        <v>7.407407407407407E-2</v>
      </c>
      <c r="G189" s="200">
        <f>'Resumen rta docentes'!C353</f>
        <v>7.407407407407407E-2</v>
      </c>
      <c r="H189" s="200">
        <f>'Resumen rta docentes'!D353</f>
        <v>0.40740740740740738</v>
      </c>
      <c r="I189" s="200">
        <f>'Resumen rta docentes'!E353</f>
        <v>0.25925925925925924</v>
      </c>
      <c r="J189" s="200">
        <f>'Resumen rta docentes'!F353</f>
        <v>0.18518518518518517</v>
      </c>
      <c r="K189" s="200">
        <f>'Resumen rta docentes'!G353</f>
        <v>0</v>
      </c>
      <c r="L189" s="197">
        <f t="shared" si="3"/>
        <v>1</v>
      </c>
    </row>
    <row r="190" spans="1:12" ht="36.75" customHeight="1" x14ac:dyDescent="0.25">
      <c r="A190" s="5" t="s">
        <v>24</v>
      </c>
      <c r="B190" s="132">
        <v>1</v>
      </c>
      <c r="C190" s="132">
        <v>1</v>
      </c>
      <c r="D190" s="132">
        <v>1</v>
      </c>
      <c r="E190" s="6" t="str">
        <f>'Resumen RTA egresados'!A4</f>
        <v>Cuenta de 1. Conozco la misión de la Universidad Distrital Francisco José de Caldas.</v>
      </c>
      <c r="F190" s="200">
        <f>'Resumen RTA egresados'!B5</f>
        <v>6.4102564102564097E-2</v>
      </c>
      <c r="G190" s="199">
        <v>0</v>
      </c>
      <c r="H190" s="200">
        <f>'Resumen RTA egresados'!C5</f>
        <v>0.16666666666666666</v>
      </c>
      <c r="I190" s="200">
        <f>'Resumen RTA egresados'!D5</f>
        <v>0.38461538461538464</v>
      </c>
      <c r="J190" s="200">
        <f>'Resumen RTA egresados'!E5</f>
        <v>0.30769230769230771</v>
      </c>
      <c r="K190" s="200">
        <f>'Resumen RTA egresados'!F5</f>
        <v>7.6923076923076927E-2</v>
      </c>
      <c r="L190" s="197">
        <f t="shared" ref="L190:L208" si="4">SUM(F190:K190)</f>
        <v>1</v>
      </c>
    </row>
    <row r="191" spans="1:12" ht="48.75" customHeight="1" x14ac:dyDescent="0.25">
      <c r="A191" s="5" t="s">
        <v>24</v>
      </c>
      <c r="B191" s="132">
        <v>1</v>
      </c>
      <c r="C191" s="132">
        <v>1</v>
      </c>
      <c r="D191" s="132">
        <v>2</v>
      </c>
      <c r="E191" s="6" t="str">
        <f>'Resumen RTA egresados'!A8</f>
        <v>Cuenta de 2. Me siento identificado con la misión de la Universidad Distrital Francisco José de Caldas.</v>
      </c>
      <c r="F191" s="200">
        <f>'Resumen RTA egresados'!B9</f>
        <v>2.564102564102564E-2</v>
      </c>
      <c r="G191" s="199">
        <v>0</v>
      </c>
      <c r="H191" s="200">
        <f>'Resumen RTA egresados'!C9</f>
        <v>0.10256410256410256</v>
      </c>
      <c r="I191" s="200">
        <f>'Resumen RTA egresados'!D9</f>
        <v>0.44871794871794873</v>
      </c>
      <c r="J191" s="200">
        <f>'Resumen RTA egresados'!E9</f>
        <v>0.29487179487179488</v>
      </c>
      <c r="K191" s="200">
        <f>'Resumen RTA egresados'!F9</f>
        <v>0.12820512820512819</v>
      </c>
      <c r="L191" s="197">
        <f>SUM(F191:K191)</f>
        <v>1</v>
      </c>
    </row>
    <row r="192" spans="1:12" ht="36.75" customHeight="1" x14ac:dyDescent="0.25">
      <c r="A192" s="5" t="s">
        <v>24</v>
      </c>
      <c r="B192" s="132">
        <v>1</v>
      </c>
      <c r="C192" s="132">
        <v>1</v>
      </c>
      <c r="D192" s="132">
        <v>3</v>
      </c>
      <c r="E192" s="6" t="str">
        <f>'Resumen RTA egresados'!A12</f>
        <v>Cuenta de 3. Considero que la Universidad Distrital Francisco José de Caldas es una alternativa real para acceder al conocimiento por parte de la población bogotana de menores ingresos.</v>
      </c>
      <c r="F192" s="200">
        <f>'Resumen RTA egresados'!B13</f>
        <v>2.564102564102564E-2</v>
      </c>
      <c r="G192" s="200">
        <f>'Resumen RTA egresados'!C13</f>
        <v>2.564102564102564E-2</v>
      </c>
      <c r="H192" s="200">
        <f>'Resumen RTA egresados'!D13</f>
        <v>6.4102564102564097E-2</v>
      </c>
      <c r="I192" s="200">
        <f>'Resumen RTA egresados'!E13</f>
        <v>0.25641025641025639</v>
      </c>
      <c r="J192" s="200">
        <f>'Resumen RTA egresados'!F13</f>
        <v>0.60256410256410253</v>
      </c>
      <c r="K192" s="200">
        <f>'Resumen RTA egresados'!G13</f>
        <v>2.564102564102564E-2</v>
      </c>
      <c r="L192" s="197">
        <f t="shared" si="4"/>
        <v>0.99999999999999989</v>
      </c>
    </row>
    <row r="193" spans="1:12" ht="36.75" customHeight="1" x14ac:dyDescent="0.25">
      <c r="A193" s="5" t="s">
        <v>24</v>
      </c>
      <c r="B193" s="132">
        <v>1</v>
      </c>
      <c r="C193" s="132">
        <v>1</v>
      </c>
      <c r="D193" s="132">
        <v>4</v>
      </c>
      <c r="E193" s="6" t="str">
        <f>'Resumen RTA egresados'!A16</f>
        <v>Cuenta de 4. Considero que la Universidad Distrital Francisco José de Caldas desarrolla una educación de alta calidad con capacidad de responder a los retos del Distrito Capital y del país.</v>
      </c>
      <c r="F193" s="200">
        <f>'Resumen RTA egresados'!B17</f>
        <v>1.282051282051282E-2</v>
      </c>
      <c r="G193" s="200">
        <f>'Resumen RTA egresados'!C17</f>
        <v>1.282051282051282E-2</v>
      </c>
      <c r="H193" s="200">
        <f>'Resumen RTA egresados'!D17</f>
        <v>0.14102564102564102</v>
      </c>
      <c r="I193" s="200">
        <f>'Resumen RTA egresados'!E17</f>
        <v>0.35897435897435898</v>
      </c>
      <c r="J193" s="200">
        <f>'Resumen RTA egresados'!F17</f>
        <v>0.46153846153846156</v>
      </c>
      <c r="K193" s="200">
        <f>'Resumen RTA egresados'!G17</f>
        <v>1.282051282051282E-2</v>
      </c>
      <c r="L193" s="197">
        <f t="shared" si="4"/>
        <v>1</v>
      </c>
    </row>
    <row r="194" spans="1:12" ht="36.75" customHeight="1" x14ac:dyDescent="0.25">
      <c r="A194" s="5" t="s">
        <v>24</v>
      </c>
      <c r="B194" s="132">
        <v>2</v>
      </c>
      <c r="C194" s="132">
        <v>4</v>
      </c>
      <c r="D194" s="132">
        <v>5</v>
      </c>
      <c r="E194" s="6" t="str">
        <f>'Resumen RTA egresados'!A20</f>
        <v>Cuenta de 5. Considero que el proceso de admisión a la Universidad Distrital Francisco José de Caldas es transparente y equitativo.</v>
      </c>
      <c r="F194" s="199">
        <f>'Resumen RTA egresados'!B21</f>
        <v>2.564102564102564E-2</v>
      </c>
      <c r="G194" s="199">
        <f>'Resumen RTA egresados'!C21</f>
        <v>2.564102564102564E-2</v>
      </c>
      <c r="H194" s="199">
        <f>'Resumen RTA egresados'!D21</f>
        <v>5.128205128205128E-2</v>
      </c>
      <c r="I194" s="199">
        <f>'Resumen RTA egresados'!E21</f>
        <v>0.44871794871794873</v>
      </c>
      <c r="J194" s="199">
        <f>'Resumen RTA egresados'!F21</f>
        <v>0.35897435897435898</v>
      </c>
      <c r="K194" s="199">
        <f>'Resumen RTA egresados'!G21</f>
        <v>8.9743589743589744E-2</v>
      </c>
      <c r="L194" s="197">
        <f t="shared" si="4"/>
        <v>1</v>
      </c>
    </row>
    <row r="195" spans="1:12" ht="36.75" customHeight="1" x14ac:dyDescent="0.25">
      <c r="A195" s="5" t="s">
        <v>24</v>
      </c>
      <c r="B195" s="132">
        <v>2</v>
      </c>
      <c r="C195" s="132">
        <v>4</v>
      </c>
      <c r="D195" s="132">
        <v>6</v>
      </c>
      <c r="E195" s="6" t="str">
        <f>'Resumen RTA egresados'!A24</f>
        <v>Cuenta de 6. Considero que el proceso de admisión a cada uno de los niveles de formación de los programas por ciclos ofrecidos en la Facultad Tecnológica es apropiado.</v>
      </c>
      <c r="F195" s="200">
        <f>'Resumen RTA egresados'!B25</f>
        <v>0</v>
      </c>
      <c r="G195" s="200">
        <f>'Resumen RTA egresados'!C25</f>
        <v>3.8461538461538464E-2</v>
      </c>
      <c r="H195" s="200">
        <f>'Resumen RTA egresados'!D25</f>
        <v>5.128205128205128E-2</v>
      </c>
      <c r="I195" s="200">
        <f>'Resumen RTA egresados'!E25</f>
        <v>0.58974358974358976</v>
      </c>
      <c r="J195" s="200">
        <f>'Resumen RTA egresados'!F25</f>
        <v>0.26923076923076922</v>
      </c>
      <c r="K195" s="200">
        <f>'Resumen RTA egresados'!G25</f>
        <v>5.128205128205128E-2</v>
      </c>
      <c r="L195" s="197">
        <f t="shared" si="4"/>
        <v>1</v>
      </c>
    </row>
    <row r="196" spans="1:12" ht="48.75" customHeight="1" x14ac:dyDescent="0.25">
      <c r="A196" s="5" t="s">
        <v>24</v>
      </c>
      <c r="B196" s="132">
        <v>3</v>
      </c>
      <c r="C196" s="132">
        <v>10</v>
      </c>
      <c r="D196" s="132">
        <v>7</v>
      </c>
      <c r="E196" s="6" t="str">
        <f>'Resumen RTA egresados'!A28</f>
        <v>Cuenta de 7. Cuando fui estudiante, mi programa académico participaba activamente en proyectos dirigidos a la comunidad.</v>
      </c>
      <c r="F196" s="200">
        <f>'Resumen RTA egresados'!B29</f>
        <v>6.4102564102564097E-2</v>
      </c>
      <c r="G196" s="200">
        <f>'Resumen RTA egresados'!C29</f>
        <v>0.14102564102564102</v>
      </c>
      <c r="H196" s="200">
        <f>'Resumen RTA egresados'!D29</f>
        <v>0.35897435897435898</v>
      </c>
      <c r="I196" s="200">
        <f>'Resumen RTA egresados'!E29</f>
        <v>0.24358974358974358</v>
      </c>
      <c r="J196" s="200">
        <f>'Resumen RTA egresados'!F29</f>
        <v>0.15384615384615385</v>
      </c>
      <c r="K196" s="200">
        <f>'Resumen RTA egresados'!G29</f>
        <v>3.8461538461538464E-2</v>
      </c>
      <c r="L196" s="197">
        <f t="shared" si="4"/>
        <v>1</v>
      </c>
    </row>
    <row r="197" spans="1:12" ht="48.75" customHeight="1" x14ac:dyDescent="0.25">
      <c r="A197" s="5" t="s">
        <v>24</v>
      </c>
      <c r="B197" s="132">
        <v>4</v>
      </c>
      <c r="C197" s="132">
        <v>17</v>
      </c>
      <c r="D197" s="132">
        <v>9</v>
      </c>
      <c r="E197" s="6" t="str">
        <f>'Resumen RTA egresados'!A52</f>
        <v>Cuenta de 9. En la época de culminación de mis estudios, mi programa académico me ofreció modalidades de trabajo de grado suficientemente variadas.</v>
      </c>
      <c r="F197" s="200">
        <f>'Resumen RTA egresados'!B53</f>
        <v>5.128205128205128E-2</v>
      </c>
      <c r="G197" s="200">
        <f>'Resumen RTA egresados'!C53</f>
        <v>0.17948717948717949</v>
      </c>
      <c r="H197" s="200">
        <f>'Resumen RTA egresados'!D53</f>
        <v>0.29487179487179488</v>
      </c>
      <c r="I197" s="200">
        <f>'Resumen RTA egresados'!E53</f>
        <v>0.24358974358974358</v>
      </c>
      <c r="J197" s="200">
        <f>'Resumen RTA egresados'!F53</f>
        <v>0.23076923076923078</v>
      </c>
      <c r="K197" s="200">
        <v>0</v>
      </c>
      <c r="L197" s="197">
        <f t="shared" si="4"/>
        <v>1</v>
      </c>
    </row>
    <row r="198" spans="1:12" ht="36.75" customHeight="1" x14ac:dyDescent="0.25">
      <c r="A198" s="5" t="s">
        <v>24</v>
      </c>
      <c r="B198" s="132">
        <v>4</v>
      </c>
      <c r="C198" s="132">
        <v>19</v>
      </c>
      <c r="D198" s="132">
        <v>10</v>
      </c>
      <c r="E198" s="6" t="str">
        <f>'Resumen RTA egresados'!A56</f>
        <v>Cuenta de 10. Las estrategias didácticas empleadas en mi programa académico me permitieron adquirir los conocimientos suficientes y requeridos en la profesión que escogí.</v>
      </c>
      <c r="F198" s="200">
        <f>'Resumen RTA egresados'!B57</f>
        <v>2.564102564102564E-2</v>
      </c>
      <c r="G198" s="200">
        <f>'Resumen RTA egresados'!C57</f>
        <v>1.282051282051282E-2</v>
      </c>
      <c r="H198" s="200">
        <f>'Resumen RTA egresados'!D57</f>
        <v>0.28205128205128205</v>
      </c>
      <c r="I198" s="200">
        <f>'Resumen RTA egresados'!E57</f>
        <v>0.42307692307692307</v>
      </c>
      <c r="J198" s="200">
        <f>'Resumen RTA egresados'!F57</f>
        <v>0.25641025641025639</v>
      </c>
      <c r="K198" s="200">
        <f>'Resumen RTA egresados'!G57</f>
        <v>0</v>
      </c>
      <c r="L198" s="197">
        <f t="shared" si="4"/>
        <v>1</v>
      </c>
    </row>
    <row r="199" spans="1:12" ht="48.75" customHeight="1" x14ac:dyDescent="0.25">
      <c r="A199" s="5" t="s">
        <v>24</v>
      </c>
      <c r="B199" s="132">
        <v>4</v>
      </c>
      <c r="C199" s="132" t="s">
        <v>27</v>
      </c>
      <c r="D199" s="132">
        <v>12</v>
      </c>
      <c r="E199" s="6" t="str">
        <f>'Resumen RTA egresados'!A76</f>
        <v>Cuenta de 12. Considero que estudiar un programa de ingeniería por ciclos, nivel tecnológico y nivel de Ingeniería, me brindó mejores oportunidades que estudiar una carrera de Ingeniería tradicional.</v>
      </c>
      <c r="F199" s="200">
        <f>'Resumen RTA egresados'!B77</f>
        <v>3.8461538461538464E-2</v>
      </c>
      <c r="G199" s="200">
        <f>'Resumen RTA egresados'!C77</f>
        <v>1.282051282051282E-2</v>
      </c>
      <c r="H199" s="200">
        <f>'Resumen RTA egresados'!D77</f>
        <v>0.11538461538461539</v>
      </c>
      <c r="I199" s="200">
        <f>'Resumen RTA egresados'!E77</f>
        <v>0.24358974358974358</v>
      </c>
      <c r="J199" s="200">
        <f>'Resumen RTA egresados'!F77</f>
        <v>0.57692307692307687</v>
      </c>
      <c r="K199" s="200">
        <f>'Resumen RTA egresados'!G77</f>
        <v>1.282051282051282E-2</v>
      </c>
      <c r="L199" s="197">
        <f t="shared" si="4"/>
        <v>0.99999999999999989</v>
      </c>
    </row>
    <row r="200" spans="1:12" ht="36" x14ac:dyDescent="0.25">
      <c r="A200" s="5" t="s">
        <v>24</v>
      </c>
      <c r="B200" s="132">
        <v>4</v>
      </c>
      <c r="C200" s="132" t="s">
        <v>27</v>
      </c>
      <c r="D200" s="132">
        <v>13</v>
      </c>
      <c r="E200" s="6" t="str">
        <f>'Resumen RTA egresados'!A80</f>
        <v>Cuenta de 13. Considero que la denominación de mi titulo de tecnólogo me ha abierto posibilidades en el mercado laboral.</v>
      </c>
      <c r="F200" s="200">
        <f>'Resumen RTA egresados'!B81</f>
        <v>3.8461538461538464E-2</v>
      </c>
      <c r="G200" s="200">
        <f>'Resumen RTA egresados'!C81</f>
        <v>5.128205128205128E-2</v>
      </c>
      <c r="H200" s="200">
        <f>'Resumen RTA egresados'!D81</f>
        <v>0.10256410256410256</v>
      </c>
      <c r="I200" s="200">
        <f>'Resumen RTA egresados'!E81</f>
        <v>0.41025641025641024</v>
      </c>
      <c r="J200" s="200">
        <f>'Resumen RTA egresados'!F81</f>
        <v>0.37179487179487181</v>
      </c>
      <c r="K200" s="200">
        <f>'Resumen RTA egresados'!G81</f>
        <v>2.564102564102564E-2</v>
      </c>
      <c r="L200" s="197">
        <f t="shared" si="4"/>
        <v>1</v>
      </c>
    </row>
    <row r="201" spans="1:12" ht="36" x14ac:dyDescent="0.25">
      <c r="A201" s="5" t="s">
        <v>24</v>
      </c>
      <c r="B201" s="132">
        <v>4</v>
      </c>
      <c r="C201" s="132" t="s">
        <v>27</v>
      </c>
      <c r="D201" s="132">
        <v>14</v>
      </c>
      <c r="E201" s="6" t="str">
        <f>'Resumen RTA egresados'!A84</f>
        <v>Cuenta de 14. Considero que la denominación de mi título de ingeniero me abre o me abrirá mayores posibilidades en el mercado laboral.</v>
      </c>
      <c r="F201" s="200">
        <f>'Resumen RTA egresados'!B85</f>
        <v>7.6923076923076927E-2</v>
      </c>
      <c r="G201" s="200">
        <f>'Resumen RTA egresados'!C85</f>
        <v>5.128205128205128E-2</v>
      </c>
      <c r="H201" s="200">
        <f>'Resumen RTA egresados'!D85</f>
        <v>0.12820512820512819</v>
      </c>
      <c r="I201" s="200">
        <f>'Resumen RTA egresados'!E85</f>
        <v>0.33333333333333331</v>
      </c>
      <c r="J201" s="200">
        <f>'Resumen RTA egresados'!F85</f>
        <v>0.41025641025641024</v>
      </c>
      <c r="K201" s="200">
        <f>'Resumen RTA egresados'!G85</f>
        <v>0</v>
      </c>
      <c r="L201" s="197">
        <f t="shared" si="4"/>
        <v>0.99999999999999989</v>
      </c>
    </row>
    <row r="202" spans="1:12" ht="36.75" customHeight="1" x14ac:dyDescent="0.25">
      <c r="A202" s="5" t="s">
        <v>24</v>
      </c>
      <c r="B202" s="132">
        <v>4</v>
      </c>
      <c r="C202" s="132" t="s">
        <v>26</v>
      </c>
      <c r="D202" s="132">
        <v>15</v>
      </c>
      <c r="E202" s="160" t="str">
        <f>'Resumen RTA egresados'!A88</f>
        <v>Cuenta de 15. Considero que ser ingeniero mejora o mejorará las condiciones laborales del tecnólogo.</v>
      </c>
      <c r="F202" s="200">
        <f>'Resumen RTA egresados'!B89</f>
        <v>2.564102564102564E-2</v>
      </c>
      <c r="G202" s="199">
        <v>0</v>
      </c>
      <c r="H202" s="200">
        <f>'Resumen RTA egresados'!C89</f>
        <v>7.6923076923076927E-2</v>
      </c>
      <c r="I202" s="200">
        <f>'Resumen RTA egresados'!D89</f>
        <v>0.28205128205128205</v>
      </c>
      <c r="J202" s="200">
        <f>'Resumen RTA egresados'!E89</f>
        <v>0.58974358974358976</v>
      </c>
      <c r="K202" s="200">
        <f>'Resumen RTA egresados'!F89</f>
        <v>2.564102564102564E-2</v>
      </c>
      <c r="L202" s="197">
        <f>SUM(F202:K202)</f>
        <v>1</v>
      </c>
    </row>
    <row r="203" spans="1:12" ht="48.75" customHeight="1" x14ac:dyDescent="0.25">
      <c r="A203" s="5" t="s">
        <v>24</v>
      </c>
      <c r="B203" s="132">
        <v>4</v>
      </c>
      <c r="C203" s="132" t="s">
        <v>26</v>
      </c>
      <c r="D203" s="132">
        <v>16</v>
      </c>
      <c r="E203" s="160" t="str">
        <f>'Resumen RTA egresados'!A92</f>
        <v>Cuenta de 16. Considero que mi paso por el nivel de ingeniería mejoró o mejorará las competencias que he desarrollado en el nivel tecnológico.</v>
      </c>
      <c r="F203" s="200">
        <f>'Resumen RTA egresados'!B93</f>
        <v>2.564102564102564E-2</v>
      </c>
      <c r="G203" s="200">
        <f>'Resumen RTA egresados'!C93</f>
        <v>1.282051282051282E-2</v>
      </c>
      <c r="H203" s="200">
        <f>'Resumen RTA egresados'!D93</f>
        <v>6.4102564102564097E-2</v>
      </c>
      <c r="I203" s="200">
        <f>'Resumen RTA egresados'!E93</f>
        <v>0.41025641025641024</v>
      </c>
      <c r="J203" s="200">
        <f>'Resumen RTA egresados'!F93</f>
        <v>0.47435897435897434</v>
      </c>
      <c r="K203" s="200">
        <f>'Resumen RTA egresados'!G93</f>
        <v>1.282051282051282E-2</v>
      </c>
      <c r="L203" s="197">
        <f t="shared" si="4"/>
        <v>0.99999999999999989</v>
      </c>
    </row>
    <row r="204" spans="1:12" ht="24.75" customHeight="1" x14ac:dyDescent="0.25">
      <c r="A204" s="5" t="s">
        <v>24</v>
      </c>
      <c r="B204" s="132">
        <v>8</v>
      </c>
      <c r="C204" s="132">
        <v>33</v>
      </c>
      <c r="D204" s="132">
        <v>17</v>
      </c>
      <c r="E204" s="6" t="str">
        <f>'Resumen RTA egresados'!A96</f>
        <v>Cuenta de 17. Considero que la representación de los egresados en la Universidad Distrital cumple su papel de comunicación entre los directivos y los egresados.</v>
      </c>
      <c r="F204" s="200">
        <f>'Resumen RTA egresados'!B97</f>
        <v>7.6923076923076927E-2</v>
      </c>
      <c r="G204" s="200">
        <f>'Resumen RTA egresados'!C97</f>
        <v>8.9743589743589744E-2</v>
      </c>
      <c r="H204" s="200">
        <f>'Resumen RTA egresados'!D97</f>
        <v>0.30769230769230771</v>
      </c>
      <c r="I204" s="200">
        <f>'Resumen RTA egresados'!E97</f>
        <v>0.25641025641025639</v>
      </c>
      <c r="J204" s="200">
        <f>'Resumen RTA egresados'!F97</f>
        <v>0.14102564102564102</v>
      </c>
      <c r="K204" s="200">
        <f>'Resumen RTA egresados'!G97</f>
        <v>0.12820512820512819</v>
      </c>
      <c r="L204" s="197">
        <f t="shared" si="4"/>
        <v>1</v>
      </c>
    </row>
    <row r="205" spans="1:12" ht="24.75" customHeight="1" x14ac:dyDescent="0.25">
      <c r="A205" s="5" t="s">
        <v>24</v>
      </c>
      <c r="B205" s="132">
        <v>8</v>
      </c>
      <c r="C205" s="132">
        <v>33</v>
      </c>
      <c r="D205" s="132">
        <v>18</v>
      </c>
      <c r="E205" s="6" t="str">
        <f>'Resumen RTA egresados'!A100</f>
        <v>Cuenta de 18. Considero que los representantes de los egresados que participan en los órganos de dirección de la Universidad Distrital Francisco José de Caldas han liderado propuestas para el mejoramiento del vinculo entre los egresados y la Universidad.</v>
      </c>
      <c r="F205" s="200">
        <f>'Resumen RTA egresados'!B101</f>
        <v>5.128205128205128E-2</v>
      </c>
      <c r="G205" s="200">
        <f>'Resumen RTA egresados'!C101</f>
        <v>0.10256410256410256</v>
      </c>
      <c r="H205" s="200">
        <f>'Resumen RTA egresados'!D101</f>
        <v>0.25641025641025639</v>
      </c>
      <c r="I205" s="200">
        <f>'Resumen RTA egresados'!E101</f>
        <v>0.24358974358974358</v>
      </c>
      <c r="J205" s="200">
        <f>'Resumen RTA egresados'!F101</f>
        <v>6.4102564102564097E-2</v>
      </c>
      <c r="K205" s="200">
        <f>'Resumen RTA egresados'!G101</f>
        <v>0.28205128205128205</v>
      </c>
      <c r="L205" s="197">
        <f t="shared" si="4"/>
        <v>1</v>
      </c>
    </row>
    <row r="206" spans="1:12" ht="48.75" customHeight="1" x14ac:dyDescent="0.25">
      <c r="A206" s="5" t="s">
        <v>24</v>
      </c>
      <c r="B206" s="132">
        <v>9</v>
      </c>
      <c r="C206" s="132">
        <v>36</v>
      </c>
      <c r="D206" s="132">
        <v>19</v>
      </c>
      <c r="E206" s="6" t="str">
        <f>'Resumen RTA egresados'!A104</f>
        <v>Cuenta de 19. Considero que mi programa académico me brindó las herramientas necesarias para ejercer mi profesión.</v>
      </c>
      <c r="F206" s="200">
        <f>'Resumen RTA egresados'!B105</f>
        <v>1.282051282051282E-2</v>
      </c>
      <c r="G206" s="200">
        <f>'Resumen RTA egresados'!C105</f>
        <v>3.8461538461538464E-2</v>
      </c>
      <c r="H206" s="200">
        <f>'Resumen RTA egresados'!D105</f>
        <v>0.14102564102564102</v>
      </c>
      <c r="I206" s="200">
        <f>'Resumen RTA egresados'!E105</f>
        <v>0.58974358974358976</v>
      </c>
      <c r="J206" s="200">
        <f>'Resumen RTA egresados'!F105</f>
        <v>0.21794871794871795</v>
      </c>
      <c r="K206" s="200">
        <f>'Resumen RTA egresados'!G105</f>
        <v>0</v>
      </c>
      <c r="L206" s="197">
        <f t="shared" si="4"/>
        <v>1</v>
      </c>
    </row>
    <row r="207" spans="1:12" ht="48.75" customHeight="1" x14ac:dyDescent="0.25">
      <c r="A207" s="5" t="s">
        <v>24</v>
      </c>
      <c r="B207" s="132">
        <v>9</v>
      </c>
      <c r="C207" s="132">
        <v>36</v>
      </c>
      <c r="D207" s="132">
        <v>20</v>
      </c>
      <c r="E207" s="6" t="str">
        <f>'Resumen RTA egresados'!A108</f>
        <v>Cuenta de 20. Considero que mi programa académico me brindó las habilidades para desempeñarme con suficiencia en proyectos de investigación, asesorías y/o consultorías.</v>
      </c>
      <c r="F207" s="200">
        <f>'Resumen RTA egresados'!B109</f>
        <v>1.282051282051282E-2</v>
      </c>
      <c r="G207" s="200">
        <f>'Resumen RTA egresados'!C109</f>
        <v>7.6923076923076927E-2</v>
      </c>
      <c r="H207" s="200">
        <f>'Resumen RTA egresados'!D109</f>
        <v>0.23076923076923078</v>
      </c>
      <c r="I207" s="200">
        <f>'Resumen RTA egresados'!E109</f>
        <v>0.52564102564102566</v>
      </c>
      <c r="J207" s="200">
        <f>'Resumen RTA egresados'!F109</f>
        <v>0.14102564102564102</v>
      </c>
      <c r="K207" s="200">
        <f>'Resumen RTA egresados'!G109</f>
        <v>1.282051282051282E-2</v>
      </c>
      <c r="L207" s="197">
        <f t="shared" si="4"/>
        <v>1</v>
      </c>
    </row>
    <row r="208" spans="1:12" ht="60.75" customHeight="1" x14ac:dyDescent="0.25">
      <c r="A208" s="5" t="s">
        <v>24</v>
      </c>
      <c r="B208" s="132">
        <v>9</v>
      </c>
      <c r="C208" s="132">
        <v>36</v>
      </c>
      <c r="D208" s="132">
        <v>21</v>
      </c>
      <c r="E208" s="6" t="str">
        <f>'Resumen RTA egresados'!A112</f>
        <v>Cuenta de 21. Considero que la apreciación de mi programa académico en el medio laboral en el que me desempeño es positiva.</v>
      </c>
      <c r="F208" s="200">
        <f>'Resumen RTA egresados'!B113</f>
        <v>2.564102564102564E-2</v>
      </c>
      <c r="G208" s="200">
        <f>'Resumen RTA egresados'!C113</f>
        <v>2.564102564102564E-2</v>
      </c>
      <c r="H208" s="200">
        <f>'Resumen RTA egresados'!D113</f>
        <v>0.16666666666666666</v>
      </c>
      <c r="I208" s="200">
        <f>'Resumen RTA egresados'!E113</f>
        <v>0.44871794871794873</v>
      </c>
      <c r="J208" s="200">
        <f>'Resumen RTA egresados'!F113</f>
        <v>0.30769230769230771</v>
      </c>
      <c r="K208" s="200">
        <f>'Resumen RTA egresados'!G113</f>
        <v>2.564102564102564E-2</v>
      </c>
      <c r="L208" s="197">
        <f t="shared" si="4"/>
        <v>1</v>
      </c>
    </row>
    <row r="209" spans="1:12" ht="36.75" customHeight="1" x14ac:dyDescent="0.25">
      <c r="A209" s="5" t="s">
        <v>24</v>
      </c>
      <c r="B209" s="132">
        <v>9</v>
      </c>
      <c r="C209" s="132">
        <v>36</v>
      </c>
      <c r="D209" s="132">
        <v>22</v>
      </c>
      <c r="E209" s="6" t="str">
        <f>'Resumen RTA egresados'!A116</f>
        <v>Cuenta de 22. El programa académico que cursé satisfizo mis expectativas personales.</v>
      </c>
      <c r="F209" s="200">
        <v>0</v>
      </c>
      <c r="G209" s="200">
        <v>0</v>
      </c>
      <c r="H209" s="200">
        <f>'Resumen RTA egresados'!B117</f>
        <v>0.19230769230769232</v>
      </c>
      <c r="I209" s="200">
        <f>'Resumen RTA egresados'!C117</f>
        <v>0.46153846153846156</v>
      </c>
      <c r="J209" s="200">
        <f>'Resumen RTA egresados'!D117</f>
        <v>0.32051282051282054</v>
      </c>
      <c r="K209" s="200">
        <f>'Resumen RTA egresados'!E117</f>
        <v>2.564102564102564E-2</v>
      </c>
      <c r="L209" s="197">
        <f>SUM(H209:K209)</f>
        <v>1</v>
      </c>
    </row>
    <row r="210" spans="1:12" ht="36.75" customHeight="1" x14ac:dyDescent="0.25">
      <c r="A210" s="5" t="s">
        <v>24</v>
      </c>
      <c r="B210" s="132">
        <v>9</v>
      </c>
      <c r="C210" s="132">
        <v>36</v>
      </c>
      <c r="D210" s="132">
        <v>23</v>
      </c>
      <c r="E210" s="6" t="str">
        <f>'Resumen RTA egresados'!A120</f>
        <v>Cuenta de 23. Considero que la formación profesional recibida ha contribuido en el desarrollo de mi proyecto de vida.</v>
      </c>
      <c r="F210" s="200">
        <f>'Resumen RTA egresados'!B121</f>
        <v>1.282051282051282E-2</v>
      </c>
      <c r="G210" s="200">
        <v>0</v>
      </c>
      <c r="H210" s="200">
        <f>'Resumen RTA egresados'!C121</f>
        <v>2.564102564102564E-2</v>
      </c>
      <c r="I210" s="200">
        <f>'Resumen RTA egresados'!D121</f>
        <v>0.39743589743589741</v>
      </c>
      <c r="J210" s="200">
        <f>'Resumen RTA egresados'!E121</f>
        <v>0.5641025641025641</v>
      </c>
      <c r="K210" s="200">
        <f>'Resumen RTA egresados'!G121</f>
        <v>0</v>
      </c>
      <c r="L210" s="197">
        <f>SUM(F210:K210)</f>
        <v>1</v>
      </c>
    </row>
    <row r="211" spans="1:12" ht="24.75" customHeight="1" x14ac:dyDescent="0.25">
      <c r="A211" s="5" t="s">
        <v>24</v>
      </c>
      <c r="B211" s="132">
        <v>4</v>
      </c>
      <c r="C211" s="132">
        <v>19</v>
      </c>
      <c r="D211" s="132" t="s">
        <v>935</v>
      </c>
      <c r="E211" s="6" t="str">
        <f>'Resumen RTA egresados'!A60</f>
        <v>Cuenta de 11.1. Mi paso por la Facultad Tecnológica de la Universidad Distrital me ayudó a: APROPIARME DE MÉTODOS PARA EL APRENDIZAJE AUTÓNOMO.</v>
      </c>
      <c r="F211" s="200">
        <v>0</v>
      </c>
      <c r="G211" s="200">
        <f>'Resumen RTA egresados'!B61</f>
        <v>5.128205128205128E-2</v>
      </c>
      <c r="H211" s="200">
        <f>'Resumen RTA egresados'!C61</f>
        <v>8.9743589743589744E-2</v>
      </c>
      <c r="I211" s="200">
        <f>'Resumen RTA egresados'!D61</f>
        <v>0.51282051282051277</v>
      </c>
      <c r="J211" s="200">
        <f>'Resumen RTA egresados'!E61</f>
        <v>0.34615384615384615</v>
      </c>
      <c r="K211" s="200">
        <f>'Resumen RTA egresados'!G61</f>
        <v>0</v>
      </c>
      <c r="L211" s="197">
        <f>SUM(G211:K211)</f>
        <v>0.99999999999999989</v>
      </c>
    </row>
    <row r="212" spans="1:12" ht="36.75" customHeight="1" x14ac:dyDescent="0.25">
      <c r="A212" s="5" t="s">
        <v>24</v>
      </c>
      <c r="B212" s="132">
        <v>4</v>
      </c>
      <c r="C212" s="132">
        <v>19</v>
      </c>
      <c r="D212" s="132" t="s">
        <v>936</v>
      </c>
      <c r="E212" s="6" t="str">
        <f>'Resumen RTA egresados'!A64</f>
        <v>Cuenta de 11.2. Mi paso por la Facultad Tecnológica de la Universidad Distrital me ayudó a: DESARROLLAR CAPACIDADES PARA LA SOLUCIÓN DE PROBLEMAS</v>
      </c>
      <c r="F212" s="200">
        <f>'Resumen RTA egresados'!B65</f>
        <v>2.564102564102564E-2</v>
      </c>
      <c r="G212" s="200">
        <f>'Resumen RTA egresados'!C65</f>
        <v>1.282051282051282E-2</v>
      </c>
      <c r="H212" s="200">
        <f>'Resumen RTA egresados'!D65</f>
        <v>8.9743589743589744E-2</v>
      </c>
      <c r="I212" s="200">
        <f>'Resumen RTA egresados'!E65</f>
        <v>0.46153846153846156</v>
      </c>
      <c r="J212" s="200">
        <f>'Resumen RTA egresados'!F65</f>
        <v>0.41025641025641024</v>
      </c>
      <c r="K212" s="200">
        <f>'Resumen RTA egresados'!G65</f>
        <v>0</v>
      </c>
      <c r="L212" s="197">
        <f t="shared" ref="L212:L219" si="5">SUM(F212:K212)</f>
        <v>1</v>
      </c>
    </row>
    <row r="213" spans="1:12" ht="48.75" customHeight="1" x14ac:dyDescent="0.25">
      <c r="A213" s="5" t="s">
        <v>24</v>
      </c>
      <c r="B213" s="132">
        <v>4</v>
      </c>
      <c r="C213" s="132">
        <v>19</v>
      </c>
      <c r="D213" s="132" t="s">
        <v>937</v>
      </c>
      <c r="E213" s="6" t="str">
        <f>'Resumen RTA egresados'!A68</f>
        <v>Cuenta de 11.3. Mi paso por la Facultad Tecnológica de la Universidad Distrital me ayudó a: HACER CONSULTAS BIBLIOGRÁFICAS EFECTIVAS</v>
      </c>
      <c r="F213" s="200">
        <f>'Resumen RTA egresados'!B69</f>
        <v>2.564102564102564E-2</v>
      </c>
      <c r="G213" s="200">
        <f>'Resumen RTA egresados'!C69</f>
        <v>3.8461538461538464E-2</v>
      </c>
      <c r="H213" s="200">
        <f>'Resumen RTA egresados'!D69</f>
        <v>0.16666666666666666</v>
      </c>
      <c r="I213" s="200">
        <f>'Resumen RTA egresados'!E69</f>
        <v>0.4358974358974359</v>
      </c>
      <c r="J213" s="200">
        <f>'Resumen RTA egresados'!F69</f>
        <v>0.32051282051282054</v>
      </c>
      <c r="K213" s="200">
        <f>'Resumen RTA egresados'!G69</f>
        <v>1.282051282051282E-2</v>
      </c>
      <c r="L213" s="197">
        <f t="shared" si="5"/>
        <v>1</v>
      </c>
    </row>
    <row r="214" spans="1:12" ht="60.75" customHeight="1" x14ac:dyDescent="0.25">
      <c r="A214" s="5" t="s">
        <v>24</v>
      </c>
      <c r="B214" s="132">
        <v>4</v>
      </c>
      <c r="C214" s="132">
        <v>19</v>
      </c>
      <c r="D214" s="132" t="s">
        <v>938</v>
      </c>
      <c r="E214" s="6" t="str">
        <f>'Resumen RTA egresados'!A72</f>
        <v>Cuenta de 11.4. Mi paso por la Facultad Tecnológica de la Universidad Distrital me ayudó a: UTILIZAR HERRAMIENTAS INFORMÁTICAS ACTUALIZADAS AL SERVICIO DE MI PROFESIÓN.</v>
      </c>
      <c r="F214" s="200">
        <f>'Resumen RTA egresados'!B73</f>
        <v>3.8461538461538464E-2</v>
      </c>
      <c r="G214" s="200">
        <f>'Resumen RTA egresados'!C73</f>
        <v>1.282051282051282E-2</v>
      </c>
      <c r="H214" s="200">
        <f>'Resumen RTA egresados'!D73</f>
        <v>0.21794871794871795</v>
      </c>
      <c r="I214" s="200">
        <f>'Resumen RTA egresados'!E73</f>
        <v>0.41025641025641024</v>
      </c>
      <c r="J214" s="200">
        <f>'Resumen RTA egresados'!F73</f>
        <v>0.30769230769230771</v>
      </c>
      <c r="K214" s="200">
        <f>'Resumen RTA egresados'!G73</f>
        <v>1.282051282051282E-2</v>
      </c>
      <c r="L214" s="197">
        <f t="shared" si="5"/>
        <v>1</v>
      </c>
    </row>
    <row r="215" spans="1:12" ht="36.75" customHeight="1" x14ac:dyDescent="0.25">
      <c r="A215" s="5" t="s">
        <v>24</v>
      </c>
      <c r="B215" s="132">
        <v>4</v>
      </c>
      <c r="C215" s="132">
        <v>16</v>
      </c>
      <c r="D215" s="132" t="s">
        <v>967</v>
      </c>
      <c r="E215" s="6" t="str">
        <f>'Resumen RTA egresados'!A32</f>
        <v>Cuenta de 8.1. El programa académico al cual pertenecí me brindó las herramientas necesarias para DESARROLLAR PROCESOS DE INVESTIGACIÓN</v>
      </c>
      <c r="F215" s="200">
        <f>'Resumen RTA egresados'!B33</f>
        <v>3.8461538461538464E-2</v>
      </c>
      <c r="G215" s="200">
        <f>'Resumen RTA egresados'!C33</f>
        <v>5.128205128205128E-2</v>
      </c>
      <c r="H215" s="200">
        <f>'Resumen RTA egresados'!D33</f>
        <v>0.34615384615384615</v>
      </c>
      <c r="I215" s="200">
        <f>'Resumen RTA egresados'!E33</f>
        <v>0.33333333333333331</v>
      </c>
      <c r="J215" s="200">
        <f>'Resumen RTA egresados'!F33</f>
        <v>0.21794871794871795</v>
      </c>
      <c r="K215" s="200">
        <f>'Resumen RTA egresados'!G33</f>
        <v>1.282051282051282E-2</v>
      </c>
      <c r="L215" s="197">
        <f t="shared" si="5"/>
        <v>0.99999999999999989</v>
      </c>
    </row>
    <row r="216" spans="1:12" ht="48.75" customHeight="1" x14ac:dyDescent="0.25">
      <c r="A216" s="5" t="s">
        <v>24</v>
      </c>
      <c r="B216" s="132">
        <v>4</v>
      </c>
      <c r="C216" s="132">
        <v>16</v>
      </c>
      <c r="D216" s="132" t="s">
        <v>968</v>
      </c>
      <c r="E216" s="6" t="str">
        <f>'Resumen RTA egresados'!A36</f>
        <v>Cuenta de 8.2. El programa académico al cual pertenecí me brindó las herramientas necesarias para FORTALECER MI ESPÍRITU CRÍTICO Y ÉTICO.</v>
      </c>
      <c r="F216" s="200">
        <f>'Resumen RTA egresados'!B37</f>
        <v>2.564102564102564E-2</v>
      </c>
      <c r="G216" s="200">
        <f>'Resumen RTA egresados'!C37</f>
        <v>1.282051282051282E-2</v>
      </c>
      <c r="H216" s="200">
        <f>'Resumen RTA egresados'!D37</f>
        <v>8.9743589743589744E-2</v>
      </c>
      <c r="I216" s="200">
        <f>'Resumen RTA egresados'!E37</f>
        <v>0.39743589743589741</v>
      </c>
      <c r="J216" s="200">
        <f>'Resumen RTA egresados'!F37</f>
        <v>0.47435897435897434</v>
      </c>
      <c r="K216" s="200">
        <v>0</v>
      </c>
      <c r="L216" s="197">
        <f t="shared" si="5"/>
        <v>0.99999999999999989</v>
      </c>
    </row>
    <row r="217" spans="1:12" ht="36.75" customHeight="1" x14ac:dyDescent="0.25">
      <c r="A217" s="5" t="s">
        <v>24</v>
      </c>
      <c r="B217" s="132">
        <v>4</v>
      </c>
      <c r="C217" s="132">
        <v>16</v>
      </c>
      <c r="D217" s="132" t="s">
        <v>969</v>
      </c>
      <c r="E217" s="6" t="str">
        <f>'Resumen RTA egresados'!A40</f>
        <v>Cuenta de 8.3. El programa académico al cual pertenecí me brindó las herramientas necesarias para OFRECER SOLUCIONES A LOS PROBLEMAS DE LA SOCIEDAD.</v>
      </c>
      <c r="F217" s="200">
        <f>'Resumen RTA egresados'!B41</f>
        <v>1.282051282051282E-2</v>
      </c>
      <c r="G217" s="200">
        <f>'Resumen RTA egresados'!C41</f>
        <v>1.282051282051282E-2</v>
      </c>
      <c r="H217" s="200">
        <f>'Resumen RTA egresados'!D41</f>
        <v>0.20512820512820512</v>
      </c>
      <c r="I217" s="200">
        <f>'Resumen RTA egresados'!E41</f>
        <v>0.46153846153846156</v>
      </c>
      <c r="J217" s="200">
        <f>'Resumen RTA egresados'!F41</f>
        <v>0.30769230769230771</v>
      </c>
      <c r="K217" s="200">
        <v>0</v>
      </c>
      <c r="L217" s="197">
        <f t="shared" si="5"/>
        <v>1</v>
      </c>
    </row>
    <row r="218" spans="1:12" ht="24.75" customHeight="1" x14ac:dyDescent="0.25">
      <c r="A218" s="5" t="s">
        <v>24</v>
      </c>
      <c r="B218" s="132">
        <v>4</v>
      </c>
      <c r="C218" s="132">
        <v>16</v>
      </c>
      <c r="D218" s="132" t="s">
        <v>1854</v>
      </c>
      <c r="E218" s="6" t="str">
        <f>'Resumen RTA egresados'!A44</f>
        <v>Cuenta de 8.4. El programa académico al cual pertenecí me brindó las herramientas necesarias para SER PARTE ACTIVA Y PARTICIPATIVA EN LA CULTURA CIUDADANA</v>
      </c>
      <c r="F218" s="200">
        <f>'Resumen RTA egresados'!B45</f>
        <v>1.282051282051282E-2</v>
      </c>
      <c r="G218" s="200">
        <f>'Resumen RTA egresados'!C45</f>
        <v>3.8461538461538464E-2</v>
      </c>
      <c r="H218" s="200">
        <f>'Resumen RTA egresados'!D45</f>
        <v>0.14102564102564102</v>
      </c>
      <c r="I218" s="200">
        <f>'Resumen RTA egresados'!E45</f>
        <v>0.55128205128205132</v>
      </c>
      <c r="J218" s="200">
        <f>'Resumen RTA egresados'!F45</f>
        <v>0.25641025641025639</v>
      </c>
      <c r="K218" s="200">
        <v>0</v>
      </c>
      <c r="L218" s="197">
        <f t="shared" si="5"/>
        <v>1</v>
      </c>
    </row>
    <row r="219" spans="1:12" ht="36.75" customHeight="1" x14ac:dyDescent="0.25">
      <c r="A219" s="5" t="s">
        <v>24</v>
      </c>
      <c r="B219" s="132">
        <v>4</v>
      </c>
      <c r="C219" s="132">
        <v>16</v>
      </c>
      <c r="D219" s="132" t="s">
        <v>1855</v>
      </c>
      <c r="E219" s="6" t="str">
        <f>'Resumen RTA egresados'!A48</f>
        <v>Cuenta de 8.5. El programa académico al cual pertenecí me brindó las herramientas necesarias para PRODUCIR TEXTOS ARGUMENTANDO OPINIONES Y/O CONCEPTOS.</v>
      </c>
      <c r="F219" s="200">
        <f>'Resumen RTA egresados'!B49</f>
        <v>2.564102564102564E-2</v>
      </c>
      <c r="G219" s="200">
        <f>'Resumen RTA egresados'!C49</f>
        <v>3.8461538461538464E-2</v>
      </c>
      <c r="H219" s="200">
        <f>'Resumen RTA egresados'!D49</f>
        <v>0.25641025641025639</v>
      </c>
      <c r="I219" s="200">
        <f>'Resumen RTA egresados'!E49</f>
        <v>0.38461538461538464</v>
      </c>
      <c r="J219" s="200">
        <f>'Resumen RTA egresados'!F49</f>
        <v>0.29487179487179488</v>
      </c>
      <c r="K219" s="200">
        <v>0</v>
      </c>
      <c r="L219" s="197">
        <f t="shared" si="5"/>
        <v>1</v>
      </c>
    </row>
    <row r="220" spans="1:12" ht="24.75" customHeight="1" x14ac:dyDescent="0.25">
      <c r="A220" s="5" t="s">
        <v>25</v>
      </c>
      <c r="B220" s="132">
        <v>1</v>
      </c>
      <c r="C220" s="132">
        <v>1</v>
      </c>
      <c r="D220" s="132">
        <v>1</v>
      </c>
      <c r="E220" s="6" t="str">
        <f>'Resumen rta administrativos'!A4</f>
        <v>Cuenta de 1. Conozco la misión de la Universidad Distrital Francisco José de Caldas.</v>
      </c>
      <c r="F220" s="200">
        <f>+'Resumen rta administrativos'!B5</f>
        <v>1.7543859649122806E-2</v>
      </c>
      <c r="G220" s="200">
        <f>+'Resumen rta administrativos'!C5</f>
        <v>8.771929824561403E-3</v>
      </c>
      <c r="H220" s="200">
        <f>+'Resumen rta administrativos'!D5</f>
        <v>0.13157894736842105</v>
      </c>
      <c r="I220" s="200">
        <f>+'Resumen rta administrativos'!E5</f>
        <v>0.46491228070175439</v>
      </c>
      <c r="J220" s="200">
        <f>+'Resumen rta administrativos'!F5</f>
        <v>0.33333333333333331</v>
      </c>
      <c r="K220" s="200">
        <f>+'Resumen rta administrativos'!G5</f>
        <v>4.3859649122807015E-2</v>
      </c>
      <c r="L220" s="197">
        <f t="shared" ref="L220:L272" si="6">SUM(F220:K220)</f>
        <v>0.99999999999999989</v>
      </c>
    </row>
    <row r="221" spans="1:12" ht="36" x14ac:dyDescent="0.25">
      <c r="A221" s="5" t="s">
        <v>25</v>
      </c>
      <c r="B221" s="132">
        <v>1</v>
      </c>
      <c r="C221" s="132">
        <v>1</v>
      </c>
      <c r="D221" s="132">
        <v>2</v>
      </c>
      <c r="E221" s="6" t="str">
        <f>'Resumen rta administrativos'!A8</f>
        <v>Cuenta de 2. Me siento identificado con la misión de la Universidad Distrital Francisco José de Caldas.</v>
      </c>
      <c r="F221" s="200">
        <f>'Resumen rta administrativos'!B9</f>
        <v>1.7543859649122806E-2</v>
      </c>
      <c r="G221" s="200">
        <v>0</v>
      </c>
      <c r="H221" s="200">
        <f>'Resumen rta administrativos'!C9</f>
        <v>0.17543859649122806</v>
      </c>
      <c r="I221" s="200">
        <f>'Resumen rta administrativos'!D9</f>
        <v>0.40350877192982454</v>
      </c>
      <c r="J221" s="200">
        <f>'Resumen rta administrativos'!E9</f>
        <v>0.34210526315789475</v>
      </c>
      <c r="K221" s="200">
        <f>'Resumen rta administrativos'!F9</f>
        <v>6.1403508771929821E-2</v>
      </c>
      <c r="L221" s="197">
        <f>SUM(F221:K221)</f>
        <v>1</v>
      </c>
    </row>
    <row r="222" spans="1:12" ht="72" x14ac:dyDescent="0.25">
      <c r="A222" s="5" t="s">
        <v>25</v>
      </c>
      <c r="B222" s="132">
        <v>1</v>
      </c>
      <c r="C222" s="132">
        <v>1</v>
      </c>
      <c r="D222" s="132">
        <v>3</v>
      </c>
      <c r="E222" s="6" t="str">
        <f>'Resumen rta administrativos'!A12</f>
        <v>Cuenta de 3. Considero que la Universidad Distrital Francisco José de Caldas es una alternativa real para acceder al conocimiento por parte de los mejores egresados de la educación media de Bogotá con menores ingresos.</v>
      </c>
      <c r="F222" s="200">
        <f>'Resumen rta administrativos'!B13</f>
        <v>3.5087719298245612E-2</v>
      </c>
      <c r="G222" s="200">
        <v>0</v>
      </c>
      <c r="H222" s="200">
        <f>'Resumen rta administrativos'!C13</f>
        <v>0.14912280701754385</v>
      </c>
      <c r="I222" s="200">
        <f>'Resumen rta administrativos'!D13</f>
        <v>0.39473684210526316</v>
      </c>
      <c r="J222" s="200">
        <f>'Resumen rta administrativos'!E13</f>
        <v>0.40350877192982454</v>
      </c>
      <c r="K222" s="200">
        <f>'Resumen rta administrativos'!F13</f>
        <v>1.7543859649122806E-2</v>
      </c>
      <c r="L222" s="197">
        <f>SUM(F222:K222)</f>
        <v>1</v>
      </c>
    </row>
    <row r="223" spans="1:12" ht="60" x14ac:dyDescent="0.25">
      <c r="A223" s="5" t="s">
        <v>25</v>
      </c>
      <c r="B223" s="132">
        <v>1</v>
      </c>
      <c r="C223" s="132">
        <v>1</v>
      </c>
      <c r="D223" s="132">
        <v>4</v>
      </c>
      <c r="E223" s="6" t="str">
        <f>'Resumen rta administrativos'!A16</f>
        <v>Cuenta de 4. Considero que la Universidad Distrital Francisco José de Caldas desarrolla una educación de alta calidad con capacidad de responder a los retos del Distrito Capital y del país.</v>
      </c>
      <c r="F223" s="200">
        <f>'Resumen rta administrativos'!B17</f>
        <v>3.5087719298245612E-2</v>
      </c>
      <c r="G223" s="199">
        <v>0</v>
      </c>
      <c r="H223" s="200">
        <f>'Resumen rta administrativos'!C17</f>
        <v>0.24561403508771928</v>
      </c>
      <c r="I223" s="200">
        <f>'Resumen rta administrativos'!D17</f>
        <v>0.38596491228070173</v>
      </c>
      <c r="J223" s="200">
        <f>'Resumen rta administrativos'!E17</f>
        <v>0.32456140350877194</v>
      </c>
      <c r="K223" s="200">
        <f>'Resumen rta administrativos'!F17</f>
        <v>8.771929824561403E-3</v>
      </c>
      <c r="L223" s="197">
        <f>SUM(F223:K223)</f>
        <v>1</v>
      </c>
    </row>
    <row r="224" spans="1:12" ht="36.75" customHeight="1" x14ac:dyDescent="0.25">
      <c r="A224" s="5" t="s">
        <v>25</v>
      </c>
      <c r="B224" s="132">
        <v>1</v>
      </c>
      <c r="C224" s="132">
        <v>2</v>
      </c>
      <c r="D224" s="132">
        <v>5</v>
      </c>
      <c r="E224" s="6" t="str">
        <f>'Resumen rta administrativos'!A20</f>
        <v>Cuenta de 5. Conozco el Proyecto Educativo (PEP) de los programas académicos con los cuales me he relacionado.</v>
      </c>
      <c r="F224" s="200">
        <f>'Resumen rta administrativos'!B21</f>
        <v>2.6315789473684209E-2</v>
      </c>
      <c r="G224" s="200">
        <f>'Resumen rta administrativos'!C21</f>
        <v>6.1403508771929821E-2</v>
      </c>
      <c r="H224" s="200">
        <f>'Resumen rta administrativos'!D21</f>
        <v>0.2982456140350877</v>
      </c>
      <c r="I224" s="200">
        <f>'Resumen rta administrativos'!E21</f>
        <v>0.30701754385964913</v>
      </c>
      <c r="J224" s="200">
        <f>'Resumen rta administrativos'!F21</f>
        <v>0.14912280701754385</v>
      </c>
      <c r="K224" s="200">
        <f>'Resumen rta administrativos'!G21</f>
        <v>0.15789473684210525</v>
      </c>
      <c r="L224" s="197">
        <f t="shared" si="6"/>
        <v>1</v>
      </c>
    </row>
    <row r="225" spans="1:12" ht="36.75" customHeight="1" x14ac:dyDescent="0.25">
      <c r="A225" s="5" t="s">
        <v>25</v>
      </c>
      <c r="B225" s="132">
        <v>4</v>
      </c>
      <c r="C225" s="132" t="s">
        <v>27</v>
      </c>
      <c r="D225" s="132">
        <v>6</v>
      </c>
      <c r="E225" s="6" t="str">
        <f>'Resumen rta administrativos'!A24</f>
        <v>Cuenta de 6. Conozco las diferencias entre los programas de formación en ingeniería por ciclos y los programas de ingeniería tradicional.</v>
      </c>
      <c r="F225" s="200">
        <f>'Resumen rta administrativos'!B25</f>
        <v>2.6315789473684209E-2</v>
      </c>
      <c r="G225" s="200">
        <f>'Resumen rta administrativos'!C25</f>
        <v>5.2631578947368418E-2</v>
      </c>
      <c r="H225" s="200">
        <f>'Resumen rta administrativos'!D25</f>
        <v>0.14912280701754385</v>
      </c>
      <c r="I225" s="200">
        <f>'Resumen rta administrativos'!E25</f>
        <v>0.26315789473684209</v>
      </c>
      <c r="J225" s="200">
        <f>'Resumen rta administrativos'!F25</f>
        <v>0.40350877192982454</v>
      </c>
      <c r="K225" s="200">
        <f>'Resumen rta administrativos'!G25</f>
        <v>0.10526315789473684</v>
      </c>
      <c r="L225" s="197">
        <f t="shared" si="6"/>
        <v>0.99999999999999989</v>
      </c>
    </row>
    <row r="226" spans="1:12" ht="36.75" customHeight="1" x14ac:dyDescent="0.25">
      <c r="A226" s="5" t="s">
        <v>25</v>
      </c>
      <c r="B226" s="132">
        <v>4</v>
      </c>
      <c r="C226" s="132" t="s">
        <v>27</v>
      </c>
      <c r="D226" s="132">
        <v>7</v>
      </c>
      <c r="E226" s="6" t="str">
        <f>'Resumen rta administrativos'!A28</f>
        <v>Cuenta de 7. Tengo claro qué es y para qué sirve el componente propedéutico en un programa de ingeniería por ciclos.</v>
      </c>
      <c r="F226" s="200">
        <f>'Resumen rta administrativos'!B29</f>
        <v>6.1403508771929821E-2</v>
      </c>
      <c r="G226" s="200">
        <f>'Resumen rta administrativos'!C29</f>
        <v>3.5087719298245612E-2</v>
      </c>
      <c r="H226" s="200">
        <f>'Resumen rta administrativos'!D29</f>
        <v>0.14035087719298245</v>
      </c>
      <c r="I226" s="200">
        <f>'Resumen rta administrativos'!E29</f>
        <v>0.2982456140350877</v>
      </c>
      <c r="J226" s="200">
        <f>'Resumen rta administrativos'!F29</f>
        <v>0.34210526315789475</v>
      </c>
      <c r="K226" s="200">
        <f>'Resumen rta administrativos'!G29</f>
        <v>0.12280701754385964</v>
      </c>
      <c r="L226" s="197">
        <f t="shared" si="6"/>
        <v>1</v>
      </c>
    </row>
    <row r="227" spans="1:12" ht="48.75" customHeight="1" x14ac:dyDescent="0.25">
      <c r="A227" s="5" t="s">
        <v>25</v>
      </c>
      <c r="B227" s="132">
        <v>4</v>
      </c>
      <c r="C227" s="132">
        <v>22</v>
      </c>
      <c r="D227" s="132">
        <v>8</v>
      </c>
      <c r="E227" s="6" t="str">
        <f>'Resumen rta administrativos'!A32</f>
        <v>Cuenta de 8. Conozco los procesos efectuados para la evaluación periódica de la pertinencia y calidad de los programas académicos con los cuales me he relacionado.</v>
      </c>
      <c r="F227" s="200">
        <f>'Resumen rta administrativos'!B33</f>
        <v>5.2631578947368418E-2</v>
      </c>
      <c r="G227" s="200">
        <f>'Resumen rta administrativos'!C33</f>
        <v>7.0175438596491224E-2</v>
      </c>
      <c r="H227" s="200">
        <f>'Resumen rta administrativos'!D33</f>
        <v>0.21052631578947367</v>
      </c>
      <c r="I227" s="200">
        <f>'Resumen rta administrativos'!E33</f>
        <v>0.35964912280701755</v>
      </c>
      <c r="J227" s="200">
        <f>'Resumen rta administrativos'!F33</f>
        <v>0.18421052631578946</v>
      </c>
      <c r="K227" s="200">
        <f>'Resumen rta administrativos'!G33</f>
        <v>0.12280701754385964</v>
      </c>
      <c r="L227" s="197">
        <f t="shared" si="6"/>
        <v>1</v>
      </c>
    </row>
    <row r="228" spans="1:12" ht="48.75" customHeight="1" x14ac:dyDescent="0.25">
      <c r="A228" s="5" t="s">
        <v>25</v>
      </c>
      <c r="B228" s="132">
        <v>4</v>
      </c>
      <c r="C228" s="132">
        <v>22</v>
      </c>
      <c r="D228" s="132">
        <v>9</v>
      </c>
      <c r="E228" s="6" t="str">
        <f>'Resumen rta administrativos'!A36</f>
        <v>Cuenta de 9. He participado en procesos para la evaluación periódica de la pertinencia y calidad de los programas académicos con los cuales me he relacionado.</v>
      </c>
      <c r="F228" s="200">
        <f>'Resumen rta administrativos'!B37</f>
        <v>0.10526315789473684</v>
      </c>
      <c r="G228" s="200">
        <f>'Resumen rta administrativos'!C37</f>
        <v>6.1403508771929821E-2</v>
      </c>
      <c r="H228" s="200">
        <f>'Resumen rta administrativos'!D37</f>
        <v>0.17543859649122806</v>
      </c>
      <c r="I228" s="200">
        <f>'Resumen rta administrativos'!E37</f>
        <v>0.28947368421052633</v>
      </c>
      <c r="J228" s="200">
        <f>'Resumen rta administrativos'!F37</f>
        <v>0.24561403508771928</v>
      </c>
      <c r="K228" s="200">
        <f>'Resumen rta administrativos'!G37</f>
        <v>0.12280701754385964</v>
      </c>
      <c r="L228" s="197">
        <f t="shared" si="6"/>
        <v>1</v>
      </c>
    </row>
    <row r="229" spans="1:12" ht="48.75" customHeight="1" x14ac:dyDescent="0.25">
      <c r="A229" s="5" t="s">
        <v>25</v>
      </c>
      <c r="B229" s="132">
        <v>4</v>
      </c>
      <c r="C229" s="132">
        <v>26</v>
      </c>
      <c r="D229" s="132" t="s">
        <v>927</v>
      </c>
      <c r="E229" s="6" t="str">
        <f>'Resumen rta administrativos'!A40</f>
        <v>Cuenta de 10.1. Considero que los laboratorios y talleres disponibles de los programas académicos con los cuales me he relacionado son: SUFICIENTES.</v>
      </c>
      <c r="F229" s="200">
        <f>'Resumen rta administrativos'!B41</f>
        <v>0.14035087719298245</v>
      </c>
      <c r="G229" s="200">
        <f>'Resumen rta administrativos'!C41</f>
        <v>0.12280701754385964</v>
      </c>
      <c r="H229" s="200">
        <f>'Resumen rta administrativos'!D41</f>
        <v>0.35087719298245612</v>
      </c>
      <c r="I229" s="200">
        <f>'Resumen rta administrativos'!E41</f>
        <v>0.21052631578947367</v>
      </c>
      <c r="J229" s="200">
        <f>'Resumen rta administrativos'!F41</f>
        <v>5.2631578947368418E-2</v>
      </c>
      <c r="K229" s="200">
        <f>'Resumen rta administrativos'!G41</f>
        <v>0.12280701754385964</v>
      </c>
      <c r="L229" s="197">
        <f t="shared" si="6"/>
        <v>0.99999999999999978</v>
      </c>
    </row>
    <row r="230" spans="1:12" ht="48.75" customHeight="1" x14ac:dyDescent="0.25">
      <c r="A230" s="5" t="s">
        <v>25</v>
      </c>
      <c r="B230" s="132">
        <v>4</v>
      </c>
      <c r="C230" s="132">
        <v>26</v>
      </c>
      <c r="D230" s="132" t="s">
        <v>928</v>
      </c>
      <c r="E230" s="6" t="str">
        <f>'Resumen rta administrativos'!A44</f>
        <v>Cuenta de 10.2. Considero que los laboratorios y talleres disponibles de los programas académicos con los cuales me he relacionado son: ADECUADOS.</v>
      </c>
      <c r="F230" s="200">
        <f>'Resumen rta administrativos'!B45</f>
        <v>3.5087719298245612E-2</v>
      </c>
      <c r="G230" s="200">
        <f>'Resumen rta administrativos'!C45</f>
        <v>5.2631578947368418E-2</v>
      </c>
      <c r="H230" s="200">
        <f>'Resumen rta administrativos'!D45</f>
        <v>0.34210526315789475</v>
      </c>
      <c r="I230" s="200">
        <f>'Resumen rta administrativos'!E45</f>
        <v>0.28947368421052633</v>
      </c>
      <c r="J230" s="200">
        <f>'Resumen rta administrativos'!F45</f>
        <v>0.14035087719298245</v>
      </c>
      <c r="K230" s="200">
        <f>'Resumen rta administrativos'!G45</f>
        <v>0.14035087719298245</v>
      </c>
      <c r="L230" s="197">
        <f t="shared" si="6"/>
        <v>1</v>
      </c>
    </row>
    <row r="231" spans="1:12" ht="48.75" customHeight="1" x14ac:dyDescent="0.25">
      <c r="A231" s="5" t="s">
        <v>25</v>
      </c>
      <c r="B231" s="132">
        <v>4</v>
      </c>
      <c r="C231" s="132">
        <v>26</v>
      </c>
      <c r="D231" s="132" t="s">
        <v>929</v>
      </c>
      <c r="E231" s="6" t="str">
        <f>'Resumen rta administrativos'!A48</f>
        <v>Cuenta de 10.3. Considero que los laboratorios y talleres disponibles de los programas académicos con los cuales me he relacionado son: ACTUALIZADOS.</v>
      </c>
      <c r="F231" s="200">
        <f>'Resumen rta administrativos'!B49</f>
        <v>2.6315789473684209E-2</v>
      </c>
      <c r="G231" s="200">
        <f>'Resumen rta administrativos'!C49</f>
        <v>8.771929824561403E-2</v>
      </c>
      <c r="H231" s="200">
        <f>'Resumen rta administrativos'!D49</f>
        <v>0.35087719298245612</v>
      </c>
      <c r="I231" s="200">
        <f>'Resumen rta administrativos'!E49</f>
        <v>0.2807017543859649</v>
      </c>
      <c r="J231" s="200">
        <f>'Resumen rta administrativos'!F49</f>
        <v>9.6491228070175433E-2</v>
      </c>
      <c r="K231" s="200">
        <f>'Resumen rta administrativos'!G49</f>
        <v>0.15789473684210525</v>
      </c>
      <c r="L231" s="197">
        <f t="shared" si="6"/>
        <v>1</v>
      </c>
    </row>
    <row r="232" spans="1:12" ht="60.75" customHeight="1" x14ac:dyDescent="0.25">
      <c r="A232" s="5" t="s">
        <v>25</v>
      </c>
      <c r="B232" s="132">
        <v>4</v>
      </c>
      <c r="C232" s="132">
        <v>26</v>
      </c>
      <c r="D232" s="132" t="s">
        <v>930</v>
      </c>
      <c r="E232" s="6" t="str">
        <f>'Resumen rta administrativos'!A52</f>
        <v>Cuenta de 10.4. Considero que los laboratorios y talleres disponibles de los programas académicos con los cuales me he relacionado son: APOYADOS POR PERSONAL DEBIDAMENTE CAPACITADO.</v>
      </c>
      <c r="F232" s="200">
        <f>'Resumen rta administrativos'!B53</f>
        <v>3.5087719298245612E-2</v>
      </c>
      <c r="G232" s="200">
        <f>'Resumen rta administrativos'!C53</f>
        <v>8.771929824561403E-3</v>
      </c>
      <c r="H232" s="200">
        <f>'Resumen rta administrativos'!D53</f>
        <v>0.14035087719298245</v>
      </c>
      <c r="I232" s="200">
        <f>'Resumen rta administrativos'!E53</f>
        <v>0.35087719298245612</v>
      </c>
      <c r="J232" s="200">
        <f>'Resumen rta administrativos'!F53</f>
        <v>0.33333333333333331</v>
      </c>
      <c r="K232" s="200">
        <f>'Resumen rta administrativos'!G53</f>
        <v>0.13157894736842105</v>
      </c>
      <c r="L232" s="197">
        <f t="shared" si="6"/>
        <v>1</v>
      </c>
    </row>
    <row r="233" spans="1:12" ht="48.75" customHeight="1" x14ac:dyDescent="0.25">
      <c r="A233" s="5" t="s">
        <v>25</v>
      </c>
      <c r="B233" s="132">
        <v>4</v>
      </c>
      <c r="C233" s="132">
        <v>26</v>
      </c>
      <c r="D233" s="132" t="s">
        <v>931</v>
      </c>
      <c r="E233" s="6" t="str">
        <f>'Resumen rta administrativos'!A56</f>
        <v>Cuenta de 10.5. Considero que los laboratorios y talleres disponibles de los programas académicos con los cuales me he relacionado son: VENTILADOS.</v>
      </c>
      <c r="F233" s="200">
        <f>'Resumen rta administrativos'!B57</f>
        <v>3.5087719298245612E-2</v>
      </c>
      <c r="G233" s="200">
        <f>'Resumen rta administrativos'!C57</f>
        <v>9.6491228070175433E-2</v>
      </c>
      <c r="H233" s="200">
        <f>'Resumen rta administrativos'!D57</f>
        <v>0.33333333333333331</v>
      </c>
      <c r="I233" s="200">
        <f>'Resumen rta administrativos'!E57</f>
        <v>0.2807017543859649</v>
      </c>
      <c r="J233" s="200">
        <f>'Resumen rta administrativos'!F57</f>
        <v>9.6491228070175433E-2</v>
      </c>
      <c r="K233" s="200">
        <f>'Resumen rta administrativos'!G57</f>
        <v>0.15789473684210525</v>
      </c>
      <c r="L233" s="197">
        <f t="shared" si="6"/>
        <v>1</v>
      </c>
    </row>
    <row r="234" spans="1:12" ht="48.75" customHeight="1" x14ac:dyDescent="0.25">
      <c r="A234" s="5" t="s">
        <v>25</v>
      </c>
      <c r="B234" s="132">
        <v>4</v>
      </c>
      <c r="C234" s="132">
        <v>26</v>
      </c>
      <c r="D234" s="132" t="s">
        <v>1849</v>
      </c>
      <c r="E234" s="6" t="str">
        <f>'Resumen rta administrativos'!A60</f>
        <v>Cuenta de 10.6. Considero que los laboratorios y talleres disponibles de los programas académicos con los cuales me he relacionado son: ILUMINADOS</v>
      </c>
      <c r="F234" s="200">
        <f>'Resumen rta administrativos'!B61</f>
        <v>1.7543859649122806E-2</v>
      </c>
      <c r="G234" s="200">
        <f>'Resumen rta administrativos'!C61</f>
        <v>3.5087719298245612E-2</v>
      </c>
      <c r="H234" s="200">
        <f>'Resumen rta administrativos'!D61</f>
        <v>0.26315789473684209</v>
      </c>
      <c r="I234" s="200">
        <f>'Resumen rta administrativos'!E61</f>
        <v>0.40350877192982454</v>
      </c>
      <c r="J234" s="200">
        <f>'Resumen rta administrativos'!F61</f>
        <v>0.14035087719298245</v>
      </c>
      <c r="K234" s="200">
        <f>'Resumen rta administrativos'!G61</f>
        <v>0.14035087719298245</v>
      </c>
      <c r="L234" s="197">
        <f t="shared" si="6"/>
        <v>1</v>
      </c>
    </row>
    <row r="235" spans="1:12" ht="48.75" customHeight="1" x14ac:dyDescent="0.25">
      <c r="A235" s="5" t="s">
        <v>25</v>
      </c>
      <c r="B235" s="132">
        <v>4</v>
      </c>
      <c r="C235" s="132">
        <v>26</v>
      </c>
      <c r="D235" s="132" t="s">
        <v>1850</v>
      </c>
      <c r="E235" s="6" t="str">
        <f>'Resumen rta administrativos'!A64</f>
        <v>Cuenta de 10.7. Considero que los laboratorios y talleres disponibles de los programas académicos con los cuales me he relacionado son: DISEÑADOS SEGÚN NORMAS DE SEGURIDAD.</v>
      </c>
      <c r="F235" s="200">
        <f>'Resumen rta administrativos'!B65</f>
        <v>6.1403508771929821E-2</v>
      </c>
      <c r="G235" s="200">
        <f>'Resumen rta administrativos'!C65</f>
        <v>0.16666666666666666</v>
      </c>
      <c r="H235" s="200">
        <f>'Resumen rta administrativos'!D65</f>
        <v>0.23684210526315788</v>
      </c>
      <c r="I235" s="200">
        <f>'Resumen rta administrativos'!E65</f>
        <v>0.2982456140350877</v>
      </c>
      <c r="J235" s="200">
        <f>'Resumen rta administrativos'!F65</f>
        <v>7.8947368421052627E-2</v>
      </c>
      <c r="K235" s="200">
        <f>'Resumen rta administrativos'!G65</f>
        <v>0.15789473684210525</v>
      </c>
      <c r="L235" s="197">
        <f t="shared" si="6"/>
        <v>1</v>
      </c>
    </row>
    <row r="236" spans="1:12" ht="48.75" customHeight="1" x14ac:dyDescent="0.25">
      <c r="A236" s="5" t="s">
        <v>25</v>
      </c>
      <c r="B236" s="132">
        <v>4</v>
      </c>
      <c r="C236" s="132">
        <v>26</v>
      </c>
      <c r="D236" s="132" t="s">
        <v>935</v>
      </c>
      <c r="E236" s="6" t="str">
        <f>'Resumen rta administrativos'!A68</f>
        <v>Cuenta de 11.1. Considero que los equipos de apoyo audiovisual a disposición de los programas académicos con los cuales me he relacionado son: SUFICIENTES.</v>
      </c>
      <c r="F236" s="200">
        <f>'Resumen rta administrativos'!B69</f>
        <v>0.10526315789473684</v>
      </c>
      <c r="G236" s="200">
        <f>'Resumen rta administrativos'!C69</f>
        <v>0.15789473684210525</v>
      </c>
      <c r="H236" s="200">
        <f>'Resumen rta administrativos'!D69</f>
        <v>0.37719298245614036</v>
      </c>
      <c r="I236" s="200">
        <f>'Resumen rta administrativos'!E69</f>
        <v>0.20175438596491227</v>
      </c>
      <c r="J236" s="200">
        <f>'Resumen rta administrativos'!F69</f>
        <v>5.2631578947368418E-2</v>
      </c>
      <c r="K236" s="200">
        <f>'Resumen rta administrativos'!G69</f>
        <v>0.10526315789473684</v>
      </c>
      <c r="L236" s="197">
        <f t="shared" si="6"/>
        <v>0.99999999999999989</v>
      </c>
    </row>
    <row r="237" spans="1:12" ht="48.75" customHeight="1" x14ac:dyDescent="0.25">
      <c r="A237" s="5" t="s">
        <v>25</v>
      </c>
      <c r="B237" s="132">
        <v>4</v>
      </c>
      <c r="C237" s="132">
        <v>26</v>
      </c>
      <c r="D237" s="132" t="s">
        <v>936</v>
      </c>
      <c r="E237" s="6" t="str">
        <f>'Resumen rta administrativos'!A72</f>
        <v>Cuenta de 11.2. Considero que los equipos de apoyo audiovisual a disposición de los programas académicos con los cuales me he relacionado son: ADECUADOS.</v>
      </c>
      <c r="F237" s="200">
        <f>'Resumen rta administrativos'!B73</f>
        <v>2.6315789473684209E-2</v>
      </c>
      <c r="G237" s="200">
        <f>'Resumen rta administrativos'!C73</f>
        <v>0.12280701754385964</v>
      </c>
      <c r="H237" s="200">
        <f>'Resumen rta administrativos'!D73</f>
        <v>0.34210526315789475</v>
      </c>
      <c r="I237" s="200">
        <f>'Resumen rta administrativos'!E73</f>
        <v>0.31578947368421051</v>
      </c>
      <c r="J237" s="200">
        <f>'Resumen rta administrativos'!F73</f>
        <v>9.6491228070175433E-2</v>
      </c>
      <c r="K237" s="200">
        <f>'Resumen rta administrativos'!G73</f>
        <v>9.6491228070175433E-2</v>
      </c>
      <c r="L237" s="197">
        <f t="shared" si="6"/>
        <v>0.99999999999999989</v>
      </c>
    </row>
    <row r="238" spans="1:12" ht="48.75" customHeight="1" x14ac:dyDescent="0.25">
      <c r="A238" s="5" t="s">
        <v>25</v>
      </c>
      <c r="B238" s="132">
        <v>4</v>
      </c>
      <c r="C238" s="132">
        <v>26</v>
      </c>
      <c r="D238" s="132" t="s">
        <v>937</v>
      </c>
      <c r="E238" s="6" t="str">
        <f>'Resumen rta administrativos'!A76</f>
        <v>Cuenta de 11.3. Considero que los equipos de apoyo audiovisual a disposición de los programas académicos con los cuales me he relacionado son: ACTUALIZADOS.</v>
      </c>
      <c r="F238" s="200">
        <f>'Resumen rta administrativos'!B77</f>
        <v>3.5087719298245612E-2</v>
      </c>
      <c r="G238" s="200">
        <f>'Resumen rta administrativos'!C77</f>
        <v>0.11403508771929824</v>
      </c>
      <c r="H238" s="200">
        <f>'Resumen rta administrativos'!D77</f>
        <v>0.35087719298245612</v>
      </c>
      <c r="I238" s="200">
        <f>'Resumen rta administrativos'!E77</f>
        <v>0.32456140350877194</v>
      </c>
      <c r="J238" s="200">
        <f>'Resumen rta administrativos'!F77</f>
        <v>4.3859649122807015E-2</v>
      </c>
      <c r="K238" s="200">
        <f>'Resumen rta administrativos'!G77</f>
        <v>0.13157894736842105</v>
      </c>
      <c r="L238" s="197">
        <f t="shared" si="6"/>
        <v>1</v>
      </c>
    </row>
    <row r="239" spans="1:12" ht="60.75" customHeight="1" x14ac:dyDescent="0.25">
      <c r="A239" s="5" t="s">
        <v>25</v>
      </c>
      <c r="B239" s="132">
        <v>4</v>
      </c>
      <c r="C239" s="132">
        <v>26</v>
      </c>
      <c r="D239" s="132" t="s">
        <v>938</v>
      </c>
      <c r="E239" s="6" t="str">
        <f>'Resumen rta administrativos'!A80</f>
        <v>Cuenta de 11.4. Considero que los equipos de apoyo audiovisual a disposición de los programas académicos con los cuales me he relacionado son: SOPORTADOS POR PERSONAL DEBIDAMENTE CAPACITADO.</v>
      </c>
      <c r="F239" s="200">
        <f>'Resumen rta administrativos'!B81</f>
        <v>2.6315789473684209E-2</v>
      </c>
      <c r="G239" s="200">
        <f>'Resumen rta administrativos'!C81</f>
        <v>1.7543859649122806E-2</v>
      </c>
      <c r="H239" s="200">
        <f>'Resumen rta administrativos'!D81</f>
        <v>0.16666666666666666</v>
      </c>
      <c r="I239" s="200">
        <f>'Resumen rta administrativos'!E81</f>
        <v>0.39473684210526316</v>
      </c>
      <c r="J239" s="200">
        <f>'Resumen rta administrativos'!F81</f>
        <v>0.2807017543859649</v>
      </c>
      <c r="K239" s="200">
        <f>'Resumen rta administrativos'!G81</f>
        <v>0.11403508771929824</v>
      </c>
      <c r="L239" s="197">
        <f t="shared" si="6"/>
        <v>1</v>
      </c>
    </row>
    <row r="240" spans="1:12" ht="24.75" customHeight="1" x14ac:dyDescent="0.25">
      <c r="A240" s="5" t="s">
        <v>25</v>
      </c>
      <c r="B240" s="132">
        <v>7</v>
      </c>
      <c r="C240" s="132">
        <v>31</v>
      </c>
      <c r="D240" s="132" t="s">
        <v>939</v>
      </c>
      <c r="E240" s="6" t="str">
        <f>'Resumen rta administrativos'!A84</f>
        <v>Cuenta de 12.1. Considero que los servicios de Bienestar Universitario son: SUFICIENTES.</v>
      </c>
      <c r="F240" s="200">
        <f>'Resumen rta administrativos'!B85</f>
        <v>8.771929824561403E-2</v>
      </c>
      <c r="G240" s="200">
        <f>'Resumen rta administrativos'!C85</f>
        <v>0.16666666666666666</v>
      </c>
      <c r="H240" s="200">
        <f>'Resumen rta administrativos'!D85</f>
        <v>0.39473684210526316</v>
      </c>
      <c r="I240" s="200">
        <f>'Resumen rta administrativos'!E85</f>
        <v>0.21929824561403508</v>
      </c>
      <c r="J240" s="200">
        <f>'Resumen rta administrativos'!F85</f>
        <v>3.5087719298245612E-2</v>
      </c>
      <c r="K240" s="200">
        <f>'Resumen rta administrativos'!G85</f>
        <v>9.6491228070175433E-2</v>
      </c>
      <c r="L240" s="197">
        <f t="shared" si="6"/>
        <v>1</v>
      </c>
    </row>
    <row r="241" spans="1:12" ht="24.75" customHeight="1" x14ac:dyDescent="0.25">
      <c r="A241" s="5" t="s">
        <v>25</v>
      </c>
      <c r="B241" s="132">
        <v>7</v>
      </c>
      <c r="C241" s="132">
        <v>31</v>
      </c>
      <c r="D241" s="132" t="s">
        <v>940</v>
      </c>
      <c r="E241" s="6" t="str">
        <f>'Resumen rta administrativos'!A88</f>
        <v>Cuenta de 12.2. Considero que los servicios de Bienestar Universitario son:  ADECUADOS</v>
      </c>
      <c r="F241" s="200">
        <f>'Resumen rta administrativos'!B89</f>
        <v>7.0175438596491224E-2</v>
      </c>
      <c r="G241" s="200">
        <f>'Resumen rta administrativos'!C89</f>
        <v>0.12280701754385964</v>
      </c>
      <c r="H241" s="200">
        <f>'Resumen rta administrativos'!D89</f>
        <v>0.33333333333333331</v>
      </c>
      <c r="I241" s="200">
        <f>'Resumen rta administrativos'!E89</f>
        <v>0.33333333333333331</v>
      </c>
      <c r="J241" s="200">
        <f>'Resumen rta administrativos'!F89</f>
        <v>7.0175438596491224E-2</v>
      </c>
      <c r="K241" s="200">
        <f>'Resumen rta administrativos'!G89</f>
        <v>7.0175438596491224E-2</v>
      </c>
      <c r="L241" s="197">
        <f t="shared" si="6"/>
        <v>1</v>
      </c>
    </row>
    <row r="242" spans="1:12" ht="24.75" customHeight="1" x14ac:dyDescent="0.25">
      <c r="A242" s="5" t="s">
        <v>25</v>
      </c>
      <c r="B242" s="132">
        <v>7</v>
      </c>
      <c r="C242" s="132">
        <v>31</v>
      </c>
      <c r="D242" s="132" t="s">
        <v>941</v>
      </c>
      <c r="E242" s="6" t="str">
        <f>'Resumen rta administrativos'!A92</f>
        <v>Cuenta de 12.3. Considero que los servicios de Bienestar Universitario son: ACCESIBLES.</v>
      </c>
      <c r="F242" s="200">
        <f>'Resumen rta administrativos'!B93</f>
        <v>7.8947368421052627E-2</v>
      </c>
      <c r="G242" s="200">
        <f>'Resumen rta administrativos'!C93</f>
        <v>9.6491228070175433E-2</v>
      </c>
      <c r="H242" s="200">
        <f>'Resumen rta administrativos'!D93</f>
        <v>0.24561403508771928</v>
      </c>
      <c r="I242" s="200">
        <f>'Resumen rta administrativos'!E93</f>
        <v>0.40350877192982454</v>
      </c>
      <c r="J242" s="200">
        <f>'Resumen rta administrativos'!F93</f>
        <v>0.12280701754385964</v>
      </c>
      <c r="K242" s="200">
        <f>'Resumen rta administrativos'!G93</f>
        <v>5.2631578947368418E-2</v>
      </c>
      <c r="L242" s="197">
        <f t="shared" si="6"/>
        <v>0.99999999999999978</v>
      </c>
    </row>
    <row r="243" spans="1:12" ht="36.75" customHeight="1" x14ac:dyDescent="0.25">
      <c r="A243" s="5" t="s">
        <v>25</v>
      </c>
      <c r="B243" s="132">
        <v>7</v>
      </c>
      <c r="C243" s="132">
        <v>31</v>
      </c>
      <c r="D243" s="132">
        <v>13</v>
      </c>
      <c r="E243" s="6" t="str">
        <f>'Resumen rta administrativos'!A96</f>
        <v>Cuenta de 13. Considero que las actividades de Bienestar Universitario contribuyen a mi desarrollo personal.</v>
      </c>
      <c r="F243" s="200">
        <f>'Resumen rta administrativos'!B97</f>
        <v>0.10526315789473684</v>
      </c>
      <c r="G243" s="200">
        <f>'Resumen rta administrativos'!C97</f>
        <v>0.12280701754385964</v>
      </c>
      <c r="H243" s="200">
        <f>'Resumen rta administrativos'!D97</f>
        <v>0.26315789473684209</v>
      </c>
      <c r="I243" s="200">
        <f>'Resumen rta administrativos'!E97</f>
        <v>0.30701754385964913</v>
      </c>
      <c r="J243" s="200">
        <f>'Resumen rta administrativos'!F97</f>
        <v>0.11403508771929824</v>
      </c>
      <c r="K243" s="200">
        <f>'Resumen rta administrativos'!G97</f>
        <v>8.771929824561403E-2</v>
      </c>
      <c r="L243" s="197">
        <f t="shared" si="6"/>
        <v>1</v>
      </c>
    </row>
    <row r="244" spans="1:12" ht="48.75" customHeight="1" x14ac:dyDescent="0.25">
      <c r="A244" s="5" t="s">
        <v>25</v>
      </c>
      <c r="B244" s="132">
        <v>8</v>
      </c>
      <c r="C244" s="132">
        <v>33</v>
      </c>
      <c r="D244" s="132">
        <v>14</v>
      </c>
      <c r="E244" s="6" t="str">
        <f>'Resumen rta administrativos'!A100</f>
        <v>Cuenta de 14. Las tareas que me son asignadas corresponden con las necesidades de los programas académicos con los cuales me he relacionado.</v>
      </c>
      <c r="F244" s="200">
        <f>'Resumen rta administrativos'!B101</f>
        <v>8.771929824561403E-3</v>
      </c>
      <c r="G244" s="200">
        <f>'Resumen rta administrativos'!C101</f>
        <v>0.11403508771929824</v>
      </c>
      <c r="H244" s="200">
        <f>'Resumen rta administrativos'!D101</f>
        <v>0.39473684210526316</v>
      </c>
      <c r="I244" s="200">
        <f>'Resumen rta administrativos'!E101</f>
        <v>0.46491228070175439</v>
      </c>
      <c r="J244" s="200">
        <f>'Resumen rta administrativos'!F101</f>
        <v>1.7543859649122806E-2</v>
      </c>
      <c r="K244" s="200">
        <f>'Resumen rta administrativos'!G101</f>
        <v>0</v>
      </c>
      <c r="L244" s="197">
        <f t="shared" si="6"/>
        <v>1</v>
      </c>
    </row>
    <row r="245" spans="1:12" ht="48.75" customHeight="1" x14ac:dyDescent="0.25">
      <c r="A245" s="5" t="s">
        <v>25</v>
      </c>
      <c r="B245" s="132">
        <v>8</v>
      </c>
      <c r="C245" s="132">
        <v>33</v>
      </c>
      <c r="D245" s="132">
        <v>15</v>
      </c>
      <c r="E245" s="6" t="str">
        <f>'Resumen rta administrativos'!A104</f>
        <v>Cuenta de 15. Considero que las funciones a mi cargo fueron debidamente planeadas para el logro de los objetivos de los programas académicos con los cuales me he relacionado.</v>
      </c>
      <c r="F245" s="200">
        <f>'Resumen rta administrativos'!B105</f>
        <v>1.7543859649122806E-2</v>
      </c>
      <c r="G245" s="200">
        <f>'Resumen rta administrativos'!C105</f>
        <v>5.2631578947368418E-2</v>
      </c>
      <c r="H245" s="200">
        <f>'Resumen rta administrativos'!D105</f>
        <v>0.11403508771929824</v>
      </c>
      <c r="I245" s="200">
        <f>'Resumen rta administrativos'!E105</f>
        <v>0.42982456140350878</v>
      </c>
      <c r="J245" s="200">
        <f>'Resumen rta administrativos'!F105</f>
        <v>0.35087719298245612</v>
      </c>
      <c r="K245" s="200">
        <f>'Resumen rta administrativos'!G105</f>
        <v>3.5087719298245612E-2</v>
      </c>
      <c r="L245" s="197">
        <f t="shared" si="6"/>
        <v>1</v>
      </c>
    </row>
    <row r="246" spans="1:12" ht="24.75" customHeight="1" x14ac:dyDescent="0.25">
      <c r="A246" s="5" t="s">
        <v>25</v>
      </c>
      <c r="B246" s="132">
        <v>8</v>
      </c>
      <c r="C246" s="132">
        <v>33</v>
      </c>
      <c r="D246" s="132">
        <v>16</v>
      </c>
      <c r="E246" s="6" t="str">
        <f>'Resumen rta administrativos'!A108</f>
        <v>Cuenta de 16. Considero que mis funciones me fueron entregadas y notificadas oportunamente.</v>
      </c>
      <c r="F246" s="200">
        <f>'Resumen rta administrativos'!B109</f>
        <v>2.6315789473684209E-2</v>
      </c>
      <c r="G246" s="200">
        <f>'Resumen rta administrativos'!C109</f>
        <v>6.1403508771929821E-2</v>
      </c>
      <c r="H246" s="200">
        <f>'Resumen rta administrativos'!D109</f>
        <v>0.14912280701754385</v>
      </c>
      <c r="I246" s="200">
        <f>'Resumen rta administrativos'!E109</f>
        <v>0.41228070175438597</v>
      </c>
      <c r="J246" s="200">
        <f>'Resumen rta administrativos'!F109</f>
        <v>0.33333333333333331</v>
      </c>
      <c r="K246" s="200">
        <f>'Resumen rta administrativos'!G109</f>
        <v>1.7543859649122806E-2</v>
      </c>
      <c r="L246" s="197">
        <f t="shared" si="6"/>
        <v>1</v>
      </c>
    </row>
    <row r="247" spans="1:12" ht="24" x14ac:dyDescent="0.25">
      <c r="A247" s="5" t="s">
        <v>25</v>
      </c>
      <c r="B247" s="132">
        <v>8</v>
      </c>
      <c r="C247" s="132">
        <v>33</v>
      </c>
      <c r="D247" s="132">
        <v>17</v>
      </c>
      <c r="E247" s="6" t="str">
        <f>'Resumen rta administrativos'!A112</f>
        <v>Cuenta de 17. Tengo claras las funciones a mi cargo.</v>
      </c>
      <c r="F247" s="200">
        <f>'Resumen rta administrativos'!B113</f>
        <v>8.771929824561403E-3</v>
      </c>
      <c r="G247" s="200">
        <f>'Resumen rta administrativos'!C113</f>
        <v>2.6315789473684209E-2</v>
      </c>
      <c r="H247" s="200">
        <f>'Resumen rta administrativos'!D113</f>
        <v>7.8947368421052627E-2</v>
      </c>
      <c r="I247" s="200">
        <f>'Resumen rta administrativos'!E113</f>
        <v>0.26315789473684209</v>
      </c>
      <c r="J247" s="200">
        <f>'Resumen rta administrativos'!F113</f>
        <v>0.60526315789473684</v>
      </c>
      <c r="K247" s="200">
        <f>'Resumen rta administrativos'!G113</f>
        <v>1.7543859649122806E-2</v>
      </c>
      <c r="L247" s="197">
        <f t="shared" si="6"/>
        <v>1</v>
      </c>
    </row>
    <row r="248" spans="1:12" ht="48.75" customHeight="1" x14ac:dyDescent="0.25">
      <c r="A248" s="5" t="s">
        <v>25</v>
      </c>
      <c r="B248" s="132">
        <v>8</v>
      </c>
      <c r="C248" s="132">
        <v>33</v>
      </c>
      <c r="D248" s="132">
        <v>18</v>
      </c>
      <c r="E248" s="6" t="str">
        <f>'Resumen rta administrativos'!A116</f>
        <v>Cuenta de 18. Considero que la representación de los administrativos cumple su papel de comunicación entre los directivos y el personal administrativo.</v>
      </c>
      <c r="F248" s="200">
        <f>'Resumen rta administrativos'!B117</f>
        <v>8.771929824561403E-2</v>
      </c>
      <c r="G248" s="200">
        <f>'Resumen rta administrativos'!C117</f>
        <v>0.12280701754385964</v>
      </c>
      <c r="H248" s="200">
        <f>'Resumen rta administrativos'!D117</f>
        <v>0.26315789473684209</v>
      </c>
      <c r="I248" s="200">
        <f>'Resumen rta administrativos'!E117</f>
        <v>0.32456140350877194</v>
      </c>
      <c r="J248" s="200">
        <f>'Resumen rta administrativos'!F117</f>
        <v>0.11403508771929824</v>
      </c>
      <c r="K248" s="200">
        <f>'Resumen rta administrativos'!G117</f>
        <v>8.771929824561403E-2</v>
      </c>
      <c r="L248" s="197">
        <f t="shared" si="6"/>
        <v>1</v>
      </c>
    </row>
    <row r="249" spans="1:12" ht="60.75" customHeight="1" x14ac:dyDescent="0.25">
      <c r="A249" s="5" t="s">
        <v>25</v>
      </c>
      <c r="B249" s="132">
        <v>8</v>
      </c>
      <c r="C249" s="132">
        <v>33</v>
      </c>
      <c r="D249" s="132">
        <v>19</v>
      </c>
      <c r="E249" s="6" t="str">
        <f>'Resumen rta administrativos'!A120</f>
        <v>Cuenta de 19. Considero que los representantes administrativos han liderado propuestas para el mejoramiento de los programas académicos con los cuales me he relacionado.</v>
      </c>
      <c r="F249" s="200">
        <f>'Resumen rta administrativos'!B121</f>
        <v>8.771929824561403E-2</v>
      </c>
      <c r="G249" s="200">
        <f>'Resumen rta administrativos'!C121</f>
        <v>0.12280701754385964</v>
      </c>
      <c r="H249" s="200">
        <f>'Resumen rta administrativos'!D121</f>
        <v>0.21929824561403508</v>
      </c>
      <c r="I249" s="200">
        <f>'Resumen rta administrativos'!E121</f>
        <v>0.31578947368421051</v>
      </c>
      <c r="J249" s="200">
        <f>'Resumen rta administrativos'!F121</f>
        <v>0.10526315789473684</v>
      </c>
      <c r="K249" s="200">
        <f>'Resumen rta administrativos'!G121</f>
        <v>0.14912280701754385</v>
      </c>
      <c r="L249" s="197">
        <f t="shared" si="6"/>
        <v>1</v>
      </c>
    </row>
    <row r="250" spans="1:12" ht="48.75" customHeight="1" x14ac:dyDescent="0.25">
      <c r="A250" s="5" t="s">
        <v>25</v>
      </c>
      <c r="B250" s="132">
        <v>8</v>
      </c>
      <c r="C250" s="132">
        <v>34</v>
      </c>
      <c r="D250" s="132">
        <v>20</v>
      </c>
      <c r="E250" s="6" t="str">
        <f>'Resumen rta administrativos'!A124</f>
        <v>Cuenta de 20. Considero que los sistemas de información empleados por los programas académicos con los cuales me he relacionado son efectivos.</v>
      </c>
      <c r="F250" s="200">
        <f>'Resumen rta administrativos'!B125</f>
        <v>3.5087719298245612E-2</v>
      </c>
      <c r="G250" s="200">
        <f>'Resumen rta administrativos'!C125</f>
        <v>8.771929824561403E-2</v>
      </c>
      <c r="H250" s="200">
        <f>'Resumen rta administrativos'!D125</f>
        <v>0.27192982456140352</v>
      </c>
      <c r="I250" s="200">
        <f>'Resumen rta administrativos'!E125</f>
        <v>0.42982456140350878</v>
      </c>
      <c r="J250" s="200">
        <f>'Resumen rta administrativos'!F125</f>
        <v>0.10526315789473684</v>
      </c>
      <c r="K250" s="200">
        <f>'Resumen rta administrativos'!G125</f>
        <v>7.0175438596491224E-2</v>
      </c>
      <c r="L250" s="197">
        <f t="shared" si="6"/>
        <v>1</v>
      </c>
    </row>
    <row r="251" spans="1:12" ht="48.75" customHeight="1" x14ac:dyDescent="0.25">
      <c r="A251" s="5" t="s">
        <v>25</v>
      </c>
      <c r="B251" s="132">
        <v>8</v>
      </c>
      <c r="C251" s="132">
        <v>34</v>
      </c>
      <c r="D251" s="132">
        <v>21</v>
      </c>
      <c r="E251" s="6" t="str">
        <f>'Resumen rta administrativos'!A128</f>
        <v>Cuenta de 21. Considero que los mecanismos de comunicación empleados por los programas académicos con los cuales me he relacionado son efectivos.</v>
      </c>
      <c r="F251" s="200">
        <f>'Resumen rta administrativos'!B129</f>
        <v>3.5087719298245612E-2</v>
      </c>
      <c r="G251" s="200">
        <f>'Resumen rta administrativos'!C129</f>
        <v>8.771929824561403E-2</v>
      </c>
      <c r="H251" s="200">
        <f>'Resumen rta administrativos'!D129</f>
        <v>0.35087719298245612</v>
      </c>
      <c r="I251" s="200">
        <f>'Resumen rta administrativos'!E129</f>
        <v>0.36842105263157893</v>
      </c>
      <c r="J251" s="200">
        <f>'Resumen rta administrativos'!F129</f>
        <v>0.10526315789473684</v>
      </c>
      <c r="K251" s="200">
        <f>'Resumen rta administrativos'!G129</f>
        <v>5.2631578947368418E-2</v>
      </c>
      <c r="L251" s="197">
        <f t="shared" si="6"/>
        <v>1</v>
      </c>
    </row>
    <row r="252" spans="1:12" ht="48.75" customHeight="1" x14ac:dyDescent="0.25">
      <c r="A252" s="5" t="s">
        <v>25</v>
      </c>
      <c r="B252" s="132">
        <v>8</v>
      </c>
      <c r="C252" s="132">
        <v>35</v>
      </c>
      <c r="D252" s="132">
        <v>22</v>
      </c>
      <c r="E252" s="6" t="str">
        <f>'Resumen rta administrativos'!A132</f>
        <v>Cuenta de 22. Considero que las orientaciones de los directivos de los programas académicos con los cuales me he relacionado son adecuadas.</v>
      </c>
      <c r="F252" s="199">
        <v>0</v>
      </c>
      <c r="G252" s="200">
        <f>'Resumen rta administrativos'!B133</f>
        <v>4.3859649122807015E-2</v>
      </c>
      <c r="H252" s="200">
        <f>'Resumen rta administrativos'!C133</f>
        <v>0.27192982456140352</v>
      </c>
      <c r="I252" s="200">
        <f>'Resumen rta administrativos'!D133</f>
        <v>0.47368421052631576</v>
      </c>
      <c r="J252" s="200">
        <f>'Resumen rta administrativos'!E133</f>
        <v>0.13157894736842105</v>
      </c>
      <c r="K252" s="200">
        <f>'Resumen rta administrativos'!F133</f>
        <v>7.8947368421052627E-2</v>
      </c>
      <c r="L252" s="197">
        <f>SUM(G252:K252)</f>
        <v>1</v>
      </c>
    </row>
    <row r="253" spans="1:12" ht="48.75" customHeight="1" x14ac:dyDescent="0.25">
      <c r="A253" s="5" t="s">
        <v>25</v>
      </c>
      <c r="B253" s="132">
        <v>8</v>
      </c>
      <c r="C253" s="132">
        <v>35</v>
      </c>
      <c r="D253" s="132">
        <v>23</v>
      </c>
      <c r="E253" s="6" t="str">
        <f>'Resumen rta administrativos'!A136</f>
        <v>Cuenta de 23. Considero que el liderazgo ejercido por los directivos de los programas académicos con los cuales me he relacionado es idóneo.</v>
      </c>
      <c r="F253" s="200">
        <f>'Resumen rta administrativos'!B137</f>
        <v>8.771929824561403E-3</v>
      </c>
      <c r="G253" s="200">
        <f>'Resumen rta administrativos'!C137</f>
        <v>4.3859649122807015E-2</v>
      </c>
      <c r="H253" s="200">
        <f>'Resumen rta administrativos'!D137</f>
        <v>0.25438596491228072</v>
      </c>
      <c r="I253" s="200">
        <f>'Resumen rta administrativos'!E137</f>
        <v>0.43859649122807015</v>
      </c>
      <c r="J253" s="200">
        <f>'Resumen rta administrativos'!F137</f>
        <v>0.15789473684210525</v>
      </c>
      <c r="K253" s="200">
        <f>'Resumen rta administrativos'!G137</f>
        <v>9.6491228070175433E-2</v>
      </c>
      <c r="L253" s="197">
        <f t="shared" si="6"/>
        <v>0.99999999999999989</v>
      </c>
    </row>
    <row r="254" spans="1:12" ht="36.75" customHeight="1" x14ac:dyDescent="0.25">
      <c r="A254" s="5" t="s">
        <v>25</v>
      </c>
      <c r="B254" s="132">
        <v>10</v>
      </c>
      <c r="C254" s="132">
        <v>38</v>
      </c>
      <c r="D254" s="132" t="s">
        <v>1851</v>
      </c>
      <c r="E254" s="6" t="str">
        <f>'Resumen rta administrativos'!A140</f>
        <v>Cuenta de 24.1. Considero que la planta física empleada por los programas académicos con los cuales me he relacionado es: ADECUADA.</v>
      </c>
      <c r="F254" s="200">
        <f>'Resumen rta administrativos'!B141</f>
        <v>1.7543859649122806E-2</v>
      </c>
      <c r="G254" s="200">
        <f>'Resumen rta administrativos'!C141</f>
        <v>9.6491228070175433E-2</v>
      </c>
      <c r="H254" s="200">
        <f>'Resumen rta administrativos'!D141</f>
        <v>0.46491228070175439</v>
      </c>
      <c r="I254" s="200">
        <f>'Resumen rta administrativos'!E141</f>
        <v>0.2982456140350877</v>
      </c>
      <c r="J254" s="200">
        <f>'Resumen rta administrativos'!F141</f>
        <v>9.6491228070175433E-2</v>
      </c>
      <c r="K254" s="200">
        <f>'Resumen rta administrativos'!G141</f>
        <v>2.6315789473684209E-2</v>
      </c>
      <c r="L254" s="197">
        <f t="shared" si="6"/>
        <v>1</v>
      </c>
    </row>
    <row r="255" spans="1:12" ht="36.75" customHeight="1" x14ac:dyDescent="0.25">
      <c r="A255" s="5" t="s">
        <v>25</v>
      </c>
      <c r="B255" s="132">
        <v>10</v>
      </c>
      <c r="C255" s="132">
        <v>38</v>
      </c>
      <c r="D255" s="132" t="s">
        <v>1852</v>
      </c>
      <c r="E255" s="6" t="str">
        <f>'Resumen rta administrativos'!A144</f>
        <v>Cuenta de 24.2. Considero que la planta física empleada por los programas académicos con los cuales me he relacionado es: SUFICIENTE.</v>
      </c>
      <c r="F255" s="200">
        <f>'Resumen rta administrativos'!B145</f>
        <v>0.10526315789473684</v>
      </c>
      <c r="G255" s="200">
        <f>'Resumen rta administrativos'!C145</f>
        <v>0.19298245614035087</v>
      </c>
      <c r="H255" s="200">
        <f>'Resumen rta administrativos'!D145</f>
        <v>0.42105263157894735</v>
      </c>
      <c r="I255" s="200">
        <f>'Resumen rta administrativos'!E145</f>
        <v>0.20175438596491227</v>
      </c>
      <c r="J255" s="200">
        <f>'Resumen rta administrativos'!F145</f>
        <v>5.2631578947368418E-2</v>
      </c>
      <c r="K255" s="200">
        <f>'Resumen rta administrativos'!G145</f>
        <v>2.6315789473684209E-2</v>
      </c>
      <c r="L255" s="197">
        <f t="shared" si="6"/>
        <v>0.99999999999999989</v>
      </c>
    </row>
    <row r="256" spans="1:12" ht="48.75" customHeight="1" x14ac:dyDescent="0.25">
      <c r="A256" s="5" t="s">
        <v>25</v>
      </c>
      <c r="B256" s="132">
        <v>10</v>
      </c>
      <c r="C256" s="132">
        <v>38</v>
      </c>
      <c r="D256" s="132" t="s">
        <v>1853</v>
      </c>
      <c r="E256" s="6" t="str">
        <f>'Resumen rta administrativos'!A148</f>
        <v>Cuenta de 24.3. Considero que la planta física empleada por los programas académicos con los cuales me he relacionado es:. DEBIDAMENTE MANTENIDA.</v>
      </c>
      <c r="F256" s="200">
        <f>'Resumen rta administrativos'!B149</f>
        <v>2.6315789473684209E-2</v>
      </c>
      <c r="G256" s="200">
        <f>'Resumen rta administrativos'!C149</f>
        <v>0.14035087719298245</v>
      </c>
      <c r="H256" s="200">
        <f>'Resumen rta administrativos'!D149</f>
        <v>0.41228070175438597</v>
      </c>
      <c r="I256" s="200">
        <f>'Resumen rta administrativos'!E149</f>
        <v>0.2807017543859649</v>
      </c>
      <c r="J256" s="200">
        <f>'Resumen rta administrativos'!F149</f>
        <v>9.6491228070175433E-2</v>
      </c>
      <c r="K256" s="200">
        <f>'Resumen rta administrativos'!G149</f>
        <v>4.3859649122807015E-2</v>
      </c>
      <c r="L256" s="197">
        <f t="shared" si="6"/>
        <v>1</v>
      </c>
    </row>
    <row r="257" spans="1:12" ht="45" x14ac:dyDescent="0.25">
      <c r="A257" s="5" t="s">
        <v>762</v>
      </c>
      <c r="B257" s="132">
        <v>4</v>
      </c>
      <c r="C257" s="132">
        <v>23</v>
      </c>
      <c r="D257" s="132">
        <v>1</v>
      </c>
      <c r="E257" s="101" t="s">
        <v>763</v>
      </c>
      <c r="F257" s="201">
        <v>0</v>
      </c>
      <c r="G257" s="201">
        <v>0.1111111111111111</v>
      </c>
      <c r="H257" s="201">
        <v>0.44444444444444442</v>
      </c>
      <c r="I257" s="201">
        <v>0.33333333333333331</v>
      </c>
      <c r="J257" s="201">
        <v>0.1111111111111111</v>
      </c>
      <c r="K257" s="201">
        <v>0</v>
      </c>
      <c r="L257" s="197">
        <f t="shared" si="6"/>
        <v>1</v>
      </c>
    </row>
    <row r="258" spans="1:12" ht="45" x14ac:dyDescent="0.25">
      <c r="A258" s="5" t="s">
        <v>762</v>
      </c>
      <c r="B258" s="132">
        <v>9</v>
      </c>
      <c r="C258" s="132">
        <v>36</v>
      </c>
      <c r="D258" s="132">
        <v>2</v>
      </c>
      <c r="E258" s="101" t="s">
        <v>764</v>
      </c>
      <c r="F258" s="201">
        <v>0</v>
      </c>
      <c r="G258" s="201">
        <v>0.1111111111111111</v>
      </c>
      <c r="H258" s="201">
        <v>0</v>
      </c>
      <c r="I258" s="201">
        <v>0.44444444444444442</v>
      </c>
      <c r="J258" s="201">
        <v>0.44444444444444442</v>
      </c>
      <c r="K258" s="201">
        <v>0</v>
      </c>
      <c r="L258" s="197">
        <f t="shared" si="6"/>
        <v>1</v>
      </c>
    </row>
    <row r="259" spans="1:12" ht="45" x14ac:dyDescent="0.25">
      <c r="A259" s="5" t="s">
        <v>762</v>
      </c>
      <c r="B259" s="132">
        <v>9</v>
      </c>
      <c r="C259" s="132">
        <v>37</v>
      </c>
      <c r="D259" s="132" t="s">
        <v>942</v>
      </c>
      <c r="E259" s="101" t="s">
        <v>765</v>
      </c>
      <c r="F259" s="201">
        <v>0</v>
      </c>
      <c r="G259" s="201">
        <v>0.1111111111111111</v>
      </c>
      <c r="H259" s="201">
        <v>0.1111111111111111</v>
      </c>
      <c r="I259" s="201">
        <v>0.66666666666666663</v>
      </c>
      <c r="J259" s="201">
        <v>0.1111111111111111</v>
      </c>
      <c r="K259" s="201">
        <v>0</v>
      </c>
      <c r="L259" s="197">
        <f t="shared" si="6"/>
        <v>1</v>
      </c>
    </row>
    <row r="260" spans="1:12" ht="45" x14ac:dyDescent="0.25">
      <c r="A260" s="5" t="s">
        <v>762</v>
      </c>
      <c r="B260" s="132">
        <v>9</v>
      </c>
      <c r="C260" s="132">
        <v>37</v>
      </c>
      <c r="D260" s="132" t="s">
        <v>943</v>
      </c>
      <c r="E260" s="101" t="s">
        <v>766</v>
      </c>
      <c r="F260" s="201">
        <v>0</v>
      </c>
      <c r="G260" s="201">
        <v>0.1111111111111111</v>
      </c>
      <c r="H260" s="201">
        <v>0.33333333333333331</v>
      </c>
      <c r="I260" s="201">
        <v>0.44444444444444442</v>
      </c>
      <c r="J260" s="201">
        <v>0.1111111111111111</v>
      </c>
      <c r="K260" s="201">
        <v>0</v>
      </c>
      <c r="L260" s="197">
        <f t="shared" si="6"/>
        <v>1</v>
      </c>
    </row>
    <row r="261" spans="1:12" ht="45" x14ac:dyDescent="0.25">
      <c r="A261" s="5" t="s">
        <v>762</v>
      </c>
      <c r="B261" s="132">
        <v>9</v>
      </c>
      <c r="C261" s="132">
        <v>37</v>
      </c>
      <c r="D261" s="132" t="s">
        <v>944</v>
      </c>
      <c r="E261" s="101" t="s">
        <v>767</v>
      </c>
      <c r="F261" s="201">
        <v>0</v>
      </c>
      <c r="G261" s="201">
        <v>0</v>
      </c>
      <c r="H261" s="201">
        <v>0.22222222222222221</v>
      </c>
      <c r="I261" s="201">
        <v>0.66666666666666663</v>
      </c>
      <c r="J261" s="201">
        <v>0.1111111111111111</v>
      </c>
      <c r="K261" s="201">
        <v>0</v>
      </c>
      <c r="L261" s="197">
        <f t="shared" si="6"/>
        <v>1</v>
      </c>
    </row>
    <row r="262" spans="1:12" ht="30" x14ac:dyDescent="0.25">
      <c r="A262" s="5" t="s">
        <v>762</v>
      </c>
      <c r="B262" s="132">
        <v>9</v>
      </c>
      <c r="C262" s="132">
        <v>37</v>
      </c>
      <c r="D262" s="132" t="s">
        <v>945</v>
      </c>
      <c r="E262" s="101" t="s">
        <v>768</v>
      </c>
      <c r="F262" s="201">
        <v>0</v>
      </c>
      <c r="G262" s="201">
        <v>0</v>
      </c>
      <c r="H262" s="201">
        <v>0.66666666666666663</v>
      </c>
      <c r="I262" s="201">
        <v>0.22222222222222221</v>
      </c>
      <c r="J262" s="201">
        <v>0.1111111111111111</v>
      </c>
      <c r="K262" s="201">
        <v>0</v>
      </c>
      <c r="L262" s="197">
        <f t="shared" si="6"/>
        <v>1</v>
      </c>
    </row>
    <row r="263" spans="1:12" ht="60" x14ac:dyDescent="0.25">
      <c r="A263" s="5" t="s">
        <v>762</v>
      </c>
      <c r="B263" s="132">
        <v>9</v>
      </c>
      <c r="C263" s="132">
        <v>37</v>
      </c>
      <c r="D263" s="132" t="s">
        <v>946</v>
      </c>
      <c r="E263" s="101" t="s">
        <v>769</v>
      </c>
      <c r="F263" s="201">
        <v>0</v>
      </c>
      <c r="G263" s="201">
        <v>0</v>
      </c>
      <c r="H263" s="201">
        <v>0.1111111111111111</v>
      </c>
      <c r="I263" s="201">
        <v>0.55555555555555558</v>
      </c>
      <c r="J263" s="201">
        <v>0.33333333333333331</v>
      </c>
      <c r="K263" s="201">
        <v>0</v>
      </c>
      <c r="L263" s="197">
        <f t="shared" si="6"/>
        <v>1</v>
      </c>
    </row>
    <row r="264" spans="1:12" ht="45" x14ac:dyDescent="0.25">
      <c r="A264" s="5" t="s">
        <v>762</v>
      </c>
      <c r="B264" s="132">
        <v>9</v>
      </c>
      <c r="C264" s="132">
        <v>37</v>
      </c>
      <c r="D264" s="132" t="s">
        <v>947</v>
      </c>
      <c r="E264" s="101" t="s">
        <v>770</v>
      </c>
      <c r="F264" s="201">
        <v>0</v>
      </c>
      <c r="G264" s="201">
        <v>0</v>
      </c>
      <c r="H264" s="201">
        <v>0.33333333333333331</v>
      </c>
      <c r="I264" s="201">
        <v>0.33333333333333331</v>
      </c>
      <c r="J264" s="201">
        <v>0.33333333333333331</v>
      </c>
      <c r="K264" s="201">
        <v>0</v>
      </c>
      <c r="L264" s="197">
        <f t="shared" si="6"/>
        <v>1</v>
      </c>
    </row>
    <row r="265" spans="1:12" ht="45" x14ac:dyDescent="0.25">
      <c r="A265" s="5" t="s">
        <v>762</v>
      </c>
      <c r="B265" s="132">
        <v>9</v>
      </c>
      <c r="C265" s="132">
        <v>37</v>
      </c>
      <c r="D265" s="132" t="s">
        <v>948</v>
      </c>
      <c r="E265" s="101" t="s">
        <v>771</v>
      </c>
      <c r="F265" s="201">
        <v>0</v>
      </c>
      <c r="G265" s="201">
        <v>0</v>
      </c>
      <c r="H265" s="201">
        <v>0.22222222222222221</v>
      </c>
      <c r="I265" s="201">
        <v>0.22222222222222221</v>
      </c>
      <c r="J265" s="201">
        <v>0.55555555555555558</v>
      </c>
      <c r="K265" s="201">
        <v>0</v>
      </c>
      <c r="L265" s="197">
        <f t="shared" si="6"/>
        <v>1</v>
      </c>
    </row>
    <row r="266" spans="1:12" ht="45" x14ac:dyDescent="0.25">
      <c r="A266" s="5" t="s">
        <v>762</v>
      </c>
      <c r="B266" s="132">
        <v>9</v>
      </c>
      <c r="C266" s="132">
        <v>37</v>
      </c>
      <c r="D266" s="132" t="s">
        <v>949</v>
      </c>
      <c r="E266" s="101" t="s">
        <v>772</v>
      </c>
      <c r="F266" s="201">
        <v>0</v>
      </c>
      <c r="G266" s="201">
        <v>0.1111111111111111</v>
      </c>
      <c r="H266" s="201">
        <v>0.44444444444444442</v>
      </c>
      <c r="I266" s="201">
        <v>0.33333333333333331</v>
      </c>
      <c r="J266" s="201">
        <v>0.1111111111111111</v>
      </c>
      <c r="K266" s="201">
        <v>0</v>
      </c>
      <c r="L266" s="197">
        <f t="shared" si="6"/>
        <v>1</v>
      </c>
    </row>
    <row r="267" spans="1:12" ht="45" x14ac:dyDescent="0.25">
      <c r="A267" s="5" t="s">
        <v>762</v>
      </c>
      <c r="B267" s="132">
        <v>9</v>
      </c>
      <c r="C267" s="132">
        <v>37</v>
      </c>
      <c r="D267" s="132" t="s">
        <v>950</v>
      </c>
      <c r="E267" s="101" t="s">
        <v>773</v>
      </c>
      <c r="F267" s="201">
        <v>0</v>
      </c>
      <c r="G267" s="201">
        <v>0</v>
      </c>
      <c r="H267" s="201">
        <v>0.1111111111111111</v>
      </c>
      <c r="I267" s="201">
        <v>0.55555555555555558</v>
      </c>
      <c r="J267" s="201">
        <v>0.33333333333333331</v>
      </c>
      <c r="K267" s="201">
        <v>0</v>
      </c>
      <c r="L267" s="197">
        <f t="shared" si="6"/>
        <v>1</v>
      </c>
    </row>
    <row r="268" spans="1:12" ht="45" x14ac:dyDescent="0.25">
      <c r="A268" s="5" t="s">
        <v>762</v>
      </c>
      <c r="B268" s="132">
        <v>9</v>
      </c>
      <c r="C268" s="132">
        <v>37</v>
      </c>
      <c r="D268" s="132" t="s">
        <v>951</v>
      </c>
      <c r="E268" s="101" t="s">
        <v>774</v>
      </c>
      <c r="F268" s="201">
        <v>0</v>
      </c>
      <c r="G268" s="201">
        <v>0</v>
      </c>
      <c r="H268" s="201">
        <v>0.22222222222222221</v>
      </c>
      <c r="I268" s="201">
        <v>0.55555555555555558</v>
      </c>
      <c r="J268" s="201">
        <v>0.22222222222222221</v>
      </c>
      <c r="K268" s="201">
        <v>0</v>
      </c>
      <c r="L268" s="197">
        <f t="shared" si="6"/>
        <v>1</v>
      </c>
    </row>
    <row r="269" spans="1:12" ht="45" x14ac:dyDescent="0.25">
      <c r="A269" s="5" t="s">
        <v>762</v>
      </c>
      <c r="B269" s="132">
        <v>9</v>
      </c>
      <c r="C269" s="132">
        <v>37</v>
      </c>
      <c r="D269" s="132" t="s">
        <v>952</v>
      </c>
      <c r="E269" s="101" t="s">
        <v>775</v>
      </c>
      <c r="F269" s="201">
        <v>0</v>
      </c>
      <c r="G269" s="201">
        <v>0</v>
      </c>
      <c r="H269" s="201">
        <v>0.22222222222222221</v>
      </c>
      <c r="I269" s="201">
        <v>0.77777777777777779</v>
      </c>
      <c r="J269" s="201">
        <v>0</v>
      </c>
      <c r="K269" s="201">
        <v>0</v>
      </c>
      <c r="L269" s="197">
        <f t="shared" si="6"/>
        <v>1</v>
      </c>
    </row>
    <row r="270" spans="1:12" ht="45" x14ac:dyDescent="0.25">
      <c r="A270" s="5" t="s">
        <v>762</v>
      </c>
      <c r="B270" s="132">
        <v>9</v>
      </c>
      <c r="C270" s="132">
        <v>37</v>
      </c>
      <c r="D270" s="132" t="s">
        <v>953</v>
      </c>
      <c r="E270" s="101" t="s">
        <v>776</v>
      </c>
      <c r="F270" s="201">
        <v>0</v>
      </c>
      <c r="G270" s="201">
        <v>0</v>
      </c>
      <c r="H270" s="201">
        <v>0.44444444444444442</v>
      </c>
      <c r="I270" s="201">
        <v>0.33333333333333331</v>
      </c>
      <c r="J270" s="201">
        <v>0.22222222222222221</v>
      </c>
      <c r="K270" s="201">
        <v>0</v>
      </c>
      <c r="L270" s="197">
        <f t="shared" si="6"/>
        <v>0.99999999999999989</v>
      </c>
    </row>
    <row r="271" spans="1:12" ht="45" x14ac:dyDescent="0.25">
      <c r="A271" s="5" t="s">
        <v>762</v>
      </c>
      <c r="B271" s="132">
        <v>9</v>
      </c>
      <c r="C271" s="132">
        <v>37</v>
      </c>
      <c r="D271" s="132" t="s">
        <v>954</v>
      </c>
      <c r="E271" s="101" t="s">
        <v>777</v>
      </c>
      <c r="F271" s="201">
        <v>0</v>
      </c>
      <c r="G271" s="201">
        <v>0</v>
      </c>
      <c r="H271" s="201">
        <v>0.55555555555555558</v>
      </c>
      <c r="I271" s="201">
        <v>0.33333333333333331</v>
      </c>
      <c r="J271" s="201">
        <v>0.1111111111111111</v>
      </c>
      <c r="K271" s="201">
        <v>0</v>
      </c>
      <c r="L271" s="197">
        <f t="shared" si="6"/>
        <v>1</v>
      </c>
    </row>
    <row r="272" spans="1:12" ht="60" x14ac:dyDescent="0.25">
      <c r="A272" s="5" t="s">
        <v>762</v>
      </c>
      <c r="B272" s="132">
        <v>9</v>
      </c>
      <c r="C272" s="132">
        <v>37</v>
      </c>
      <c r="D272" s="132" t="s">
        <v>955</v>
      </c>
      <c r="E272" s="101" t="s">
        <v>778</v>
      </c>
      <c r="F272" s="201">
        <v>0</v>
      </c>
      <c r="G272" s="201">
        <v>0</v>
      </c>
      <c r="H272" s="201">
        <v>0</v>
      </c>
      <c r="I272" s="201">
        <v>0.55555555555555558</v>
      </c>
      <c r="J272" s="201">
        <v>0.44444444444444442</v>
      </c>
      <c r="K272" s="201">
        <v>0</v>
      </c>
      <c r="L272" s="197">
        <f t="shared" si="6"/>
        <v>1</v>
      </c>
    </row>
    <row r="273" spans="1:12" ht="45" x14ac:dyDescent="0.25">
      <c r="A273" s="5" t="s">
        <v>956</v>
      </c>
      <c r="B273" s="132"/>
      <c r="C273" s="132"/>
      <c r="D273" s="132">
        <v>1</v>
      </c>
      <c r="E273" s="101" t="s">
        <v>957</v>
      </c>
      <c r="F273" s="200">
        <v>0</v>
      </c>
      <c r="G273" s="200">
        <v>0</v>
      </c>
      <c r="H273" s="201">
        <f>'Resumen RTA directivos'!B4</f>
        <v>0.26666666666666666</v>
      </c>
      <c r="I273" s="201">
        <f>'Resumen RTA directivos'!C4</f>
        <v>0.46666666666666667</v>
      </c>
      <c r="J273" s="201">
        <f>'Resumen RTA directivos'!D4</f>
        <v>0.26666666666666666</v>
      </c>
      <c r="K273" s="201">
        <f>'Resumen RTA directivos'!G4</f>
        <v>0</v>
      </c>
      <c r="L273" s="216">
        <f>SUM(F273:K273)</f>
        <v>1</v>
      </c>
    </row>
    <row r="274" spans="1:12" ht="60" x14ac:dyDescent="0.25">
      <c r="A274" s="5" t="s">
        <v>956</v>
      </c>
      <c r="B274" s="132"/>
      <c r="C274" s="132"/>
      <c r="D274" s="132">
        <v>2</v>
      </c>
      <c r="E274" s="101" t="s">
        <v>958</v>
      </c>
      <c r="F274" s="201">
        <f>'Resumen RTA directivos'!B8</f>
        <v>6.6666666666666666E-2</v>
      </c>
      <c r="G274" s="201">
        <f>'Resumen RTA directivos'!C8</f>
        <v>0.2</v>
      </c>
      <c r="H274" s="201">
        <f>'Resumen RTA directivos'!D8</f>
        <v>0.26666666666666666</v>
      </c>
      <c r="I274" s="201">
        <f>'Resumen RTA directivos'!E8</f>
        <v>0.2</v>
      </c>
      <c r="J274" s="201">
        <f>'Resumen RTA directivos'!F8</f>
        <v>0.26666666666666666</v>
      </c>
      <c r="K274" s="201">
        <f>'Resumen RTA directivos'!G8</f>
        <v>0</v>
      </c>
      <c r="L274" s="216">
        <f t="shared" ref="L274:L296" si="7">SUM(F274:K274)</f>
        <v>1</v>
      </c>
    </row>
    <row r="275" spans="1:12" ht="30" x14ac:dyDescent="0.25">
      <c r="A275" s="5" t="s">
        <v>956</v>
      </c>
      <c r="B275" s="132"/>
      <c r="C275" s="132"/>
      <c r="D275" s="132">
        <v>3</v>
      </c>
      <c r="E275" s="101" t="s">
        <v>959</v>
      </c>
      <c r="F275" s="199">
        <v>0</v>
      </c>
      <c r="G275" s="201">
        <f>'Resumen RTA directivos'!B12</f>
        <v>0.13333333333333333</v>
      </c>
      <c r="H275" s="201">
        <f>'Resumen RTA directivos'!C12</f>
        <v>0.13333333333333333</v>
      </c>
      <c r="I275" s="201">
        <f>'Resumen RTA directivos'!D12</f>
        <v>0.33333333333333331</v>
      </c>
      <c r="J275" s="201">
        <f>'Resumen RTA directivos'!E12</f>
        <v>0.2</v>
      </c>
      <c r="K275" s="201">
        <f>'Resumen RTA directivos'!F12</f>
        <v>0.2</v>
      </c>
      <c r="L275" s="216">
        <f t="shared" si="7"/>
        <v>1</v>
      </c>
    </row>
    <row r="276" spans="1:12" ht="45" x14ac:dyDescent="0.25">
      <c r="A276" s="5" t="s">
        <v>956</v>
      </c>
      <c r="B276" s="132"/>
      <c r="C276" s="132"/>
      <c r="D276" s="132" t="s">
        <v>947</v>
      </c>
      <c r="E276" s="101" t="s">
        <v>961</v>
      </c>
      <c r="F276" s="201">
        <f>'Resumen RTA directivos'!B16</f>
        <v>6.6666666666666666E-2</v>
      </c>
      <c r="G276" s="201">
        <f>'Resumen RTA directivos'!C16</f>
        <v>6.6666666666666666E-2</v>
      </c>
      <c r="H276" s="201">
        <f>'Resumen RTA directivos'!D16</f>
        <v>0.2</v>
      </c>
      <c r="I276" s="201">
        <f>'Resumen RTA directivos'!E16</f>
        <v>0.2</v>
      </c>
      <c r="J276" s="201">
        <f>'Resumen RTA directivos'!F16</f>
        <v>0.26666666666666666</v>
      </c>
      <c r="K276" s="201">
        <f>'Resumen RTA directivos'!G16</f>
        <v>0.2</v>
      </c>
      <c r="L276" s="216">
        <f t="shared" si="7"/>
        <v>1</v>
      </c>
    </row>
    <row r="277" spans="1:12" ht="45" x14ac:dyDescent="0.25">
      <c r="A277" s="5" t="s">
        <v>956</v>
      </c>
      <c r="B277" s="132"/>
      <c r="C277" s="132"/>
      <c r="D277" s="132" t="s">
        <v>948</v>
      </c>
      <c r="E277" s="101" t="s">
        <v>962</v>
      </c>
      <c r="F277" s="199">
        <v>0</v>
      </c>
      <c r="G277" s="201">
        <f>'Resumen RTA directivos'!B20</f>
        <v>6.6666666666666666E-2</v>
      </c>
      <c r="H277" s="201">
        <f>'Resumen RTA directivos'!C20</f>
        <v>0.2</v>
      </c>
      <c r="I277" s="201">
        <f>'Resumen RTA directivos'!D20</f>
        <v>0.26666666666666666</v>
      </c>
      <c r="J277" s="201">
        <f>'Resumen RTA directivos'!E20</f>
        <v>0.26666666666666666</v>
      </c>
      <c r="K277" s="201">
        <f>'Resumen RTA directivos'!F20</f>
        <v>0.2</v>
      </c>
      <c r="L277" s="216">
        <f t="shared" si="7"/>
        <v>1</v>
      </c>
    </row>
    <row r="278" spans="1:12" ht="60" x14ac:dyDescent="0.25">
      <c r="A278" s="5" t="s">
        <v>956</v>
      </c>
      <c r="B278" s="132"/>
      <c r="C278" s="132"/>
      <c r="D278" s="132" t="s">
        <v>960</v>
      </c>
      <c r="E278" s="101" t="s">
        <v>963</v>
      </c>
      <c r="F278" s="201">
        <f>'Resumen RTA directivos'!B24</f>
        <v>6.6666666666666666E-2</v>
      </c>
      <c r="G278" s="201">
        <f>'Resumen RTA directivos'!C24</f>
        <v>6.6666666666666666E-2</v>
      </c>
      <c r="H278" s="201">
        <f>'Resumen RTA directivos'!D24</f>
        <v>0.13333333333333333</v>
      </c>
      <c r="I278" s="201">
        <f>'Resumen RTA directivos'!E24</f>
        <v>0.2</v>
      </c>
      <c r="J278" s="201">
        <f>'Resumen RTA directivos'!F24</f>
        <v>0.33333333333333331</v>
      </c>
      <c r="K278" s="201">
        <f>'Resumen RTA directivos'!G24</f>
        <v>0.2</v>
      </c>
      <c r="L278" s="216">
        <f t="shared" si="7"/>
        <v>1</v>
      </c>
    </row>
    <row r="279" spans="1:12" ht="45" x14ac:dyDescent="0.25">
      <c r="A279" s="5" t="s">
        <v>956</v>
      </c>
      <c r="B279" s="132"/>
      <c r="C279" s="132"/>
      <c r="D279" s="132">
        <v>5</v>
      </c>
      <c r="E279" s="101" t="s">
        <v>964</v>
      </c>
      <c r="F279" s="200">
        <v>0</v>
      </c>
      <c r="G279" s="201">
        <f>'Resumen RTA directivos'!B28</f>
        <v>6.6666666666666666E-2</v>
      </c>
      <c r="H279" s="201">
        <f>'Resumen RTA directivos'!C28</f>
        <v>0.2</v>
      </c>
      <c r="I279" s="201">
        <f>'Resumen RTA directivos'!D28</f>
        <v>0.13333333333333333</v>
      </c>
      <c r="J279" s="201">
        <f>'Resumen RTA directivos'!E28</f>
        <v>0.46666666666666667</v>
      </c>
      <c r="K279" s="201">
        <f>'Resumen RTA directivos'!F28</f>
        <v>0.13333333333333333</v>
      </c>
      <c r="L279" s="216">
        <f t="shared" si="7"/>
        <v>1</v>
      </c>
    </row>
    <row r="280" spans="1:12" ht="45" x14ac:dyDescent="0.25">
      <c r="A280" s="5" t="s">
        <v>956</v>
      </c>
      <c r="B280" s="132"/>
      <c r="C280" s="132"/>
      <c r="D280" s="132">
        <v>6</v>
      </c>
      <c r="E280" s="101" t="s">
        <v>965</v>
      </c>
      <c r="F280" s="200">
        <v>0</v>
      </c>
      <c r="G280" s="201">
        <f>'Resumen RTA directivos'!B32</f>
        <v>0.13333333333333333</v>
      </c>
      <c r="H280" s="197">
        <v>0</v>
      </c>
      <c r="I280" s="201">
        <f>'Resumen RTA directivos'!C32</f>
        <v>0.46666666666666667</v>
      </c>
      <c r="J280" s="201">
        <f>'Resumen RTA directivos'!D32</f>
        <v>0.26666666666666666</v>
      </c>
      <c r="K280" s="201">
        <f>'Resumen RTA directivos'!E32</f>
        <v>0.13333333333333333</v>
      </c>
      <c r="L280" s="216">
        <f t="shared" si="7"/>
        <v>1</v>
      </c>
    </row>
    <row r="281" spans="1:12" ht="45" x14ac:dyDescent="0.25">
      <c r="A281" s="5" t="s">
        <v>956</v>
      </c>
      <c r="B281" s="132"/>
      <c r="C281" s="132"/>
      <c r="D281" s="132">
        <v>7</v>
      </c>
      <c r="E281" s="101" t="s">
        <v>966</v>
      </c>
      <c r="F281" s="199">
        <v>0</v>
      </c>
      <c r="G281" s="201">
        <f>'Resumen RTA directivos'!B36</f>
        <v>0.2</v>
      </c>
      <c r="H281" s="201">
        <f>'Resumen RTA directivos'!C36</f>
        <v>0.2</v>
      </c>
      <c r="I281" s="201">
        <f>'Resumen RTA directivos'!D36</f>
        <v>6.6666666666666666E-2</v>
      </c>
      <c r="J281" s="201">
        <f>'Resumen RTA directivos'!E36</f>
        <v>0.4</v>
      </c>
      <c r="K281" s="201">
        <f>'Resumen RTA directivos'!F36</f>
        <v>0.13333333333333333</v>
      </c>
      <c r="L281" s="216">
        <f t="shared" si="7"/>
        <v>1</v>
      </c>
    </row>
    <row r="282" spans="1:12" ht="45" x14ac:dyDescent="0.25">
      <c r="A282" s="5" t="s">
        <v>956</v>
      </c>
      <c r="B282" s="132"/>
      <c r="C282" s="132"/>
      <c r="D282" s="132" t="s">
        <v>967</v>
      </c>
      <c r="E282" s="101" t="s">
        <v>970</v>
      </c>
      <c r="F282" s="201">
        <f>'Resumen RTA directivos'!B40</f>
        <v>6.6666666666666666E-2</v>
      </c>
      <c r="G282" s="201">
        <f>'Resumen RTA directivos'!C40</f>
        <v>6.6666666666666666E-2</v>
      </c>
      <c r="H282" s="201">
        <f>'Resumen RTA directivos'!D40</f>
        <v>6.6666666666666666E-2</v>
      </c>
      <c r="I282" s="201">
        <f>'Resumen RTA directivos'!E40</f>
        <v>0.26666666666666666</v>
      </c>
      <c r="J282" s="201">
        <f>'Resumen RTA directivos'!F40</f>
        <v>0.53333333333333333</v>
      </c>
      <c r="K282" s="201">
        <f>'Resumen RTA directivos'!G40</f>
        <v>0</v>
      </c>
      <c r="L282" s="216">
        <f t="shared" si="7"/>
        <v>1</v>
      </c>
    </row>
    <row r="283" spans="1:12" ht="45" x14ac:dyDescent="0.25">
      <c r="A283" s="5" t="s">
        <v>956</v>
      </c>
      <c r="B283" s="132"/>
      <c r="C283" s="132"/>
      <c r="D283" s="132" t="s">
        <v>968</v>
      </c>
      <c r="E283" s="101" t="s">
        <v>971</v>
      </c>
      <c r="F283" s="201">
        <f>'Resumen RTA directivos'!B44</f>
        <v>6.6666666666666666E-2</v>
      </c>
      <c r="G283" s="201">
        <f>'Resumen RTA directivos'!C44</f>
        <v>6.6666666666666666E-2</v>
      </c>
      <c r="H283" s="201">
        <f>'Resumen RTA directivos'!D44</f>
        <v>0.13333333333333333</v>
      </c>
      <c r="I283" s="201">
        <f>'Resumen RTA directivos'!E44</f>
        <v>0.33333333333333331</v>
      </c>
      <c r="J283" s="201">
        <f>'Resumen RTA directivos'!F44</f>
        <v>0.4</v>
      </c>
      <c r="K283" s="201">
        <f>'Resumen RTA directivos'!G44</f>
        <v>0</v>
      </c>
      <c r="L283" s="216">
        <f t="shared" si="7"/>
        <v>1</v>
      </c>
    </row>
    <row r="284" spans="1:12" ht="45" x14ac:dyDescent="0.25">
      <c r="A284" s="5" t="s">
        <v>956</v>
      </c>
      <c r="B284" s="132"/>
      <c r="C284" s="132"/>
      <c r="D284" s="132" t="s">
        <v>969</v>
      </c>
      <c r="E284" s="101" t="s">
        <v>972</v>
      </c>
      <c r="F284" s="201">
        <f>'Resumen RTA directivos'!B48</f>
        <v>6.6666666666666666E-2</v>
      </c>
      <c r="G284" s="201">
        <f>'Resumen RTA directivos'!C48</f>
        <v>6.6666666666666666E-2</v>
      </c>
      <c r="H284" s="201">
        <f>'Resumen RTA directivos'!D48</f>
        <v>0.2</v>
      </c>
      <c r="I284" s="201">
        <f>'Resumen RTA directivos'!E48</f>
        <v>0.26666666666666666</v>
      </c>
      <c r="J284" s="201">
        <f>'Resumen RTA directivos'!F48</f>
        <v>0.4</v>
      </c>
      <c r="K284" s="201">
        <f>'Resumen RTA directivos'!G48</f>
        <v>0</v>
      </c>
      <c r="L284" s="216">
        <f t="shared" si="7"/>
        <v>1</v>
      </c>
    </row>
    <row r="285" spans="1:12" ht="45" x14ac:dyDescent="0.25">
      <c r="A285" s="5" t="s">
        <v>956</v>
      </c>
      <c r="B285" s="132"/>
      <c r="C285" s="132"/>
      <c r="D285" s="132" t="s">
        <v>976</v>
      </c>
      <c r="E285" s="101" t="s">
        <v>973</v>
      </c>
      <c r="F285" s="201">
        <f>'Resumen RTA directivos'!B52</f>
        <v>0.13333333333333333</v>
      </c>
      <c r="G285" s="201">
        <f>'Resumen RTA directivos'!C52</f>
        <v>0.13333333333333333</v>
      </c>
      <c r="H285" s="201">
        <f>'Resumen RTA directivos'!D52</f>
        <v>0.53333333333333333</v>
      </c>
      <c r="I285" s="201">
        <f>'Resumen RTA directivos'!E52</f>
        <v>0.13333333333333333</v>
      </c>
      <c r="J285" s="216">
        <v>0</v>
      </c>
      <c r="K285" s="201">
        <f>'Resumen RTA directivos'!F52</f>
        <v>6.6666666666666666E-2</v>
      </c>
      <c r="L285" s="216">
        <f t="shared" si="7"/>
        <v>1</v>
      </c>
    </row>
    <row r="286" spans="1:12" ht="30" x14ac:dyDescent="0.25">
      <c r="A286" s="5" t="s">
        <v>956</v>
      </c>
      <c r="B286" s="132"/>
      <c r="C286" s="132"/>
      <c r="D286" s="132" t="s">
        <v>977</v>
      </c>
      <c r="E286" s="101" t="s">
        <v>974</v>
      </c>
      <c r="F286" s="201">
        <f>'Resumen RTA directivos'!B56</f>
        <v>0.2</v>
      </c>
      <c r="G286" s="201">
        <f>'Resumen RTA directivos'!C56</f>
        <v>0.2</v>
      </c>
      <c r="H286" s="201">
        <f>'Resumen RTA directivos'!D56</f>
        <v>0.26666666666666666</v>
      </c>
      <c r="I286" s="201">
        <f>'Resumen RTA directivos'!E56</f>
        <v>0.2</v>
      </c>
      <c r="J286" s="216">
        <v>0</v>
      </c>
      <c r="K286" s="201">
        <f>'Resumen RTA directivos'!F56</f>
        <v>0.13333333333333333</v>
      </c>
      <c r="L286" s="216">
        <f t="shared" si="7"/>
        <v>1</v>
      </c>
    </row>
    <row r="287" spans="1:12" ht="45" x14ac:dyDescent="0.25">
      <c r="A287" s="5" t="s">
        <v>956</v>
      </c>
      <c r="B287" s="132"/>
      <c r="C287" s="132"/>
      <c r="D287" s="132" t="s">
        <v>978</v>
      </c>
      <c r="E287" s="101" t="s">
        <v>975</v>
      </c>
      <c r="F287" s="201">
        <f>'Resumen RTA directivos'!B60</f>
        <v>6.6666666666666666E-2</v>
      </c>
      <c r="G287" s="201">
        <f>'Resumen RTA directivos'!C60</f>
        <v>0.33333333333333331</v>
      </c>
      <c r="H287" s="201">
        <f>'Resumen RTA directivos'!D60</f>
        <v>0.26666666666666666</v>
      </c>
      <c r="I287" s="201">
        <f>'Resumen RTA directivos'!E60</f>
        <v>0.13333333333333333</v>
      </c>
      <c r="J287" s="201">
        <f>'Resumen RTA directivos'!F60</f>
        <v>6.6666666666666666E-2</v>
      </c>
      <c r="K287" s="201">
        <f>'Resumen RTA directivos'!G60</f>
        <v>0.13333333333333333</v>
      </c>
      <c r="L287" s="216">
        <f t="shared" si="7"/>
        <v>0.99999999999999989</v>
      </c>
    </row>
    <row r="288" spans="1:12" ht="45" x14ac:dyDescent="0.25">
      <c r="A288" s="5" t="s">
        <v>956</v>
      </c>
      <c r="B288" s="132"/>
      <c r="C288" s="132"/>
      <c r="D288" s="132" t="s">
        <v>927</v>
      </c>
      <c r="E288" s="101" t="s">
        <v>979</v>
      </c>
      <c r="F288" s="199">
        <v>0</v>
      </c>
      <c r="G288" s="201">
        <f>'Resumen RTA directivos'!B64</f>
        <v>0.13333333333333333</v>
      </c>
      <c r="H288" s="201">
        <f>'Resumen RTA directivos'!C64</f>
        <v>6.6666666666666666E-2</v>
      </c>
      <c r="I288" s="201">
        <f>'Resumen RTA directivos'!D64</f>
        <v>0.26666666666666666</v>
      </c>
      <c r="J288" s="201">
        <f>'Resumen RTA directivos'!E64</f>
        <v>0.4</v>
      </c>
      <c r="K288" s="201">
        <f>'Resumen RTA directivos'!F64</f>
        <v>0.13333333333333333</v>
      </c>
      <c r="L288" s="216">
        <f t="shared" si="7"/>
        <v>1</v>
      </c>
    </row>
    <row r="289" spans="1:12" ht="45" x14ac:dyDescent="0.25">
      <c r="A289" s="5" t="s">
        <v>956</v>
      </c>
      <c r="B289" s="132"/>
      <c r="C289" s="132"/>
      <c r="D289" s="132" t="s">
        <v>928</v>
      </c>
      <c r="E289" s="101" t="s">
        <v>980</v>
      </c>
      <c r="F289" s="200">
        <v>0</v>
      </c>
      <c r="G289" s="201">
        <f>'Resumen RTA directivos'!B68</f>
        <v>0.26666666666666666</v>
      </c>
      <c r="H289" s="201">
        <f>'Resumen RTA directivos'!C68</f>
        <v>0.2</v>
      </c>
      <c r="I289" s="201">
        <f>'Resumen RTA directivos'!D68</f>
        <v>0.2</v>
      </c>
      <c r="J289" s="201">
        <f>'Resumen RTA directivos'!E68</f>
        <v>0.26666666666666666</v>
      </c>
      <c r="K289" s="201">
        <f>'Resumen RTA directivos'!F68</f>
        <v>6.6666666666666666E-2</v>
      </c>
      <c r="L289" s="216">
        <f t="shared" si="7"/>
        <v>1</v>
      </c>
    </row>
    <row r="290" spans="1:12" ht="60" x14ac:dyDescent="0.25">
      <c r="A290" s="5" t="s">
        <v>956</v>
      </c>
      <c r="B290" s="132"/>
      <c r="C290" s="132"/>
      <c r="D290" s="132" t="s">
        <v>929</v>
      </c>
      <c r="E290" s="101" t="s">
        <v>981</v>
      </c>
      <c r="F290" s="200">
        <v>0</v>
      </c>
      <c r="G290" s="201">
        <f>'Resumen RTA directivos'!B72</f>
        <v>0.13333333333333333</v>
      </c>
      <c r="H290" s="201">
        <f>'Resumen RTA directivos'!C72</f>
        <v>0.13333333333333333</v>
      </c>
      <c r="I290" s="201">
        <f>'Resumen RTA directivos'!D72</f>
        <v>0.13333333333333333</v>
      </c>
      <c r="J290" s="201">
        <f>'Resumen RTA directivos'!E72</f>
        <v>0.4</v>
      </c>
      <c r="K290" s="201">
        <f>'Resumen RTA directivos'!F72</f>
        <v>0.2</v>
      </c>
      <c r="L290" s="216">
        <f t="shared" si="7"/>
        <v>1</v>
      </c>
    </row>
    <row r="291" spans="1:12" ht="30" x14ac:dyDescent="0.25">
      <c r="A291" s="5" t="s">
        <v>956</v>
      </c>
      <c r="B291" s="132"/>
      <c r="C291" s="132"/>
      <c r="D291" s="132">
        <v>11</v>
      </c>
      <c r="E291" s="101" t="s">
        <v>982</v>
      </c>
      <c r="F291" s="199">
        <v>0</v>
      </c>
      <c r="G291" s="201">
        <f>'Resumen RTA directivos'!B76</f>
        <v>6.6666666666666666E-2</v>
      </c>
      <c r="H291" s="201">
        <f>'Resumen RTA directivos'!C76</f>
        <v>0.13333333333333333</v>
      </c>
      <c r="I291" s="201">
        <f>'Resumen RTA directivos'!D76</f>
        <v>0.26666666666666666</v>
      </c>
      <c r="J291" s="201">
        <f>'Resumen RTA directivos'!E76</f>
        <v>0.4</v>
      </c>
      <c r="K291" s="201">
        <f>'Resumen RTA directivos'!F76</f>
        <v>0.13333333333333333</v>
      </c>
      <c r="L291" s="216">
        <f t="shared" si="7"/>
        <v>1</v>
      </c>
    </row>
    <row r="292" spans="1:12" ht="45" x14ac:dyDescent="0.25">
      <c r="A292" s="5" t="s">
        <v>956</v>
      </c>
      <c r="B292" s="132"/>
      <c r="C292" s="132"/>
      <c r="D292" s="132" t="s">
        <v>939</v>
      </c>
      <c r="E292" s="101" t="s">
        <v>983</v>
      </c>
      <c r="F292" s="200">
        <v>0</v>
      </c>
      <c r="G292" s="201">
        <f>'Resumen RTA directivos'!B80</f>
        <v>6.6666666666666666E-2</v>
      </c>
      <c r="H292" s="201">
        <f>'Resumen RTA directivos'!C80</f>
        <v>6.6666666666666666E-2</v>
      </c>
      <c r="I292" s="201">
        <f>'Resumen RTA directivos'!D80</f>
        <v>0.73333333333333328</v>
      </c>
      <c r="J292" s="201">
        <f>'Resumen RTA directivos'!E80</f>
        <v>6.6666666666666666E-2</v>
      </c>
      <c r="K292" s="201">
        <f>'Resumen RTA directivos'!F80</f>
        <v>6.6666666666666666E-2</v>
      </c>
      <c r="L292" s="216">
        <f t="shared" si="7"/>
        <v>0.99999999999999989</v>
      </c>
    </row>
    <row r="293" spans="1:12" ht="60" x14ac:dyDescent="0.25">
      <c r="A293" s="5" t="s">
        <v>956</v>
      </c>
      <c r="B293" s="132"/>
      <c r="C293" s="132"/>
      <c r="D293" s="132" t="s">
        <v>940</v>
      </c>
      <c r="E293" s="101" t="s">
        <v>984</v>
      </c>
      <c r="F293" s="199">
        <v>0</v>
      </c>
      <c r="G293" s="200">
        <f>'Resumen RTA directivos'!B84</f>
        <v>0.13333333333333333</v>
      </c>
      <c r="H293" s="200">
        <f>'Resumen RTA directivos'!C84</f>
        <v>0.2</v>
      </c>
      <c r="I293" s="200">
        <f>'Resumen RTA directivos'!D84</f>
        <v>0.6</v>
      </c>
      <c r="J293" s="197">
        <v>0</v>
      </c>
      <c r="K293" s="200">
        <f>'Resumen RTA directivos'!E84</f>
        <v>6.6666666666666666E-2</v>
      </c>
      <c r="L293" s="216">
        <f t="shared" si="7"/>
        <v>1</v>
      </c>
    </row>
    <row r="294" spans="1:12" ht="45" x14ac:dyDescent="0.25">
      <c r="A294" s="5" t="s">
        <v>956</v>
      </c>
      <c r="B294" s="132"/>
      <c r="C294" s="132"/>
      <c r="D294" s="132">
        <v>13</v>
      </c>
      <c r="E294" s="101" t="s">
        <v>985</v>
      </c>
      <c r="F294" s="200">
        <v>0</v>
      </c>
      <c r="G294" s="201">
        <f>'Resumen RTA directivos'!B88</f>
        <v>0.13333333333333333</v>
      </c>
      <c r="H294" s="201">
        <f>'Resumen RTA directivos'!C88</f>
        <v>0.13333333333333333</v>
      </c>
      <c r="I294" s="201">
        <f>'Resumen RTA directivos'!D88</f>
        <v>0.2</v>
      </c>
      <c r="J294" s="201">
        <f>'Resumen RTA directivos'!E88</f>
        <v>0.33333333333333331</v>
      </c>
      <c r="K294" s="201">
        <f>'Resumen RTA directivos'!F88</f>
        <v>0.2</v>
      </c>
      <c r="L294" s="216">
        <f t="shared" si="7"/>
        <v>1</v>
      </c>
    </row>
    <row r="295" spans="1:12" ht="45" x14ac:dyDescent="0.25">
      <c r="A295" s="5" t="s">
        <v>956</v>
      </c>
      <c r="B295" s="132"/>
      <c r="C295" s="132"/>
      <c r="D295" s="132">
        <v>14</v>
      </c>
      <c r="E295" s="101" t="s">
        <v>986</v>
      </c>
      <c r="F295" s="200">
        <v>0</v>
      </c>
      <c r="G295" s="201">
        <f>'Resumen RTA directivos'!B92</f>
        <v>0.13333333333333333</v>
      </c>
      <c r="H295" s="201">
        <f>'Resumen RTA directivos'!C92</f>
        <v>0.13333333333333333</v>
      </c>
      <c r="I295" s="201">
        <f>'Resumen RTA directivos'!D92</f>
        <v>0.4</v>
      </c>
      <c r="J295" s="201">
        <f>'Resumen RTA directivos'!E92</f>
        <v>0.2</v>
      </c>
      <c r="K295" s="201">
        <f>'Resumen RTA directivos'!F92</f>
        <v>0.13333333333333333</v>
      </c>
      <c r="L295" s="216">
        <f t="shared" si="7"/>
        <v>1</v>
      </c>
    </row>
    <row r="296" spans="1:12" ht="45" x14ac:dyDescent="0.25">
      <c r="A296" s="5" t="s">
        <v>956</v>
      </c>
      <c r="B296" s="132"/>
      <c r="C296" s="132"/>
      <c r="D296" s="132">
        <v>15</v>
      </c>
      <c r="E296" s="101" t="s">
        <v>987</v>
      </c>
      <c r="F296" s="200">
        <v>0</v>
      </c>
      <c r="G296" s="201">
        <f>'Resumen RTA directivos'!B96</f>
        <v>6.6666666666666666E-2</v>
      </c>
      <c r="H296" s="216">
        <v>0</v>
      </c>
      <c r="I296" s="201">
        <f>'Resumen RTA directivos'!C96</f>
        <v>0.33333333333333331</v>
      </c>
      <c r="J296" s="201">
        <f>'Resumen RTA directivos'!D96</f>
        <v>0.46666666666666667</v>
      </c>
      <c r="K296" s="201">
        <f>'Resumen RTA directivos'!E96</f>
        <v>0.13333333333333333</v>
      </c>
      <c r="L296" s="216">
        <f t="shared" si="7"/>
        <v>1</v>
      </c>
    </row>
  </sheetData>
  <autoFilter ref="A4:L296">
    <sortState ref="A190:L219">
      <sortCondition ref="D4:D296"/>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58"/>
  <sheetViews>
    <sheetView topLeftCell="L1" zoomScale="115" zoomScaleNormal="115" zoomScalePageLayoutView="85" workbookViewId="0">
      <pane ySplit="3" topLeftCell="A4" activePane="bottomLeft" state="frozen"/>
      <selection pane="bottomLeft" activeCell="P644" sqref="P644:P658"/>
    </sheetView>
  </sheetViews>
  <sheetFormatPr baseColWidth="10" defaultColWidth="11.42578125" defaultRowHeight="15" x14ac:dyDescent="0.25"/>
  <cols>
    <col min="1" max="1" width="6.85546875" style="3" bestFit="1" customWidth="1"/>
    <col min="2" max="2" width="3.7109375" style="3" bestFit="1" customWidth="1"/>
    <col min="3" max="3" width="3.42578125" style="3" bestFit="1" customWidth="1"/>
    <col min="4" max="4" width="40.42578125" style="3" bestFit="1" customWidth="1"/>
    <col min="5" max="5" width="15.42578125" style="3" bestFit="1" customWidth="1"/>
    <col min="6" max="6" width="41.140625" style="3" customWidth="1"/>
    <col min="7" max="12" width="8.7109375" style="208" customWidth="1"/>
    <col min="13" max="15" width="5.7109375" style="16" customWidth="1"/>
    <col min="16" max="16" width="7.85546875" style="16" bestFit="1" customWidth="1"/>
    <col min="17" max="17" width="8.7109375" style="16" customWidth="1"/>
    <col min="18" max="18" width="9" style="13" customWidth="1"/>
    <col min="19" max="19" width="8.42578125" style="13" customWidth="1"/>
    <col min="20" max="21" width="7.42578125" style="13" customWidth="1"/>
    <col min="22" max="22" width="8" style="13" customWidth="1"/>
    <col min="23" max="23" width="11.42578125" style="3"/>
    <col min="24" max="24" width="29.42578125" style="3" customWidth="1"/>
    <col min="25" max="25" width="11.42578125" style="3" customWidth="1"/>
    <col min="26" max="29" width="11.42578125" style="3"/>
    <col min="30" max="30" width="23.28515625" style="3" customWidth="1"/>
    <col min="31" max="31" width="23.7109375" style="3" customWidth="1"/>
    <col min="32" max="16384" width="11.42578125" style="3"/>
  </cols>
  <sheetData>
    <row r="1" spans="1:31" ht="23.25" x14ac:dyDescent="0.25">
      <c r="D1" s="351" t="s">
        <v>16</v>
      </c>
      <c r="E1" s="351"/>
      <c r="F1" s="351"/>
      <c r="G1" s="351"/>
      <c r="H1" s="351"/>
      <c r="I1" s="351"/>
      <c r="J1" s="351"/>
      <c r="K1" s="351"/>
      <c r="L1" s="351"/>
      <c r="M1" s="351"/>
      <c r="N1" s="351"/>
      <c r="O1" s="351"/>
      <c r="P1" s="351"/>
      <c r="Q1" s="351"/>
      <c r="R1" s="351"/>
      <c r="S1" s="351"/>
      <c r="T1" s="351"/>
      <c r="U1" s="351"/>
      <c r="V1" s="351"/>
    </row>
    <row r="2" spans="1:31" ht="24" thickBot="1" x14ac:dyDescent="0.3">
      <c r="D2" s="14"/>
      <c r="E2" s="14"/>
      <c r="F2" s="14"/>
      <c r="G2" s="209">
        <f>+(2.4+1)/2</f>
        <v>1.7</v>
      </c>
      <c r="H2" s="209">
        <f>(3.4+2.5)/2</f>
        <v>2.95</v>
      </c>
      <c r="I2" s="209">
        <f>(3.5+3.9)/2</f>
        <v>3.7</v>
      </c>
      <c r="J2" s="209">
        <f>(4+4.4)/2</f>
        <v>4.2</v>
      </c>
      <c r="K2" s="209">
        <f>(4.5+5)/2</f>
        <v>4.75</v>
      </c>
      <c r="L2" s="209">
        <v>0</v>
      </c>
      <c r="M2" s="15"/>
      <c r="N2" s="15"/>
      <c r="O2" s="15"/>
      <c r="P2" s="15"/>
      <c r="Q2" s="15"/>
      <c r="R2" s="14"/>
      <c r="S2" s="14"/>
      <c r="T2" s="14"/>
      <c r="U2" s="14"/>
      <c r="V2" s="14"/>
    </row>
    <row r="3" spans="1:31" ht="102" customHeight="1" thickBot="1" x14ac:dyDescent="0.3">
      <c r="A3" s="22" t="s">
        <v>18</v>
      </c>
      <c r="B3" s="47" t="s">
        <v>21</v>
      </c>
      <c r="C3" s="22" t="s">
        <v>58</v>
      </c>
      <c r="D3" s="22" t="s">
        <v>15</v>
      </c>
      <c r="E3" s="35" t="s">
        <v>11</v>
      </c>
      <c r="F3" s="22" t="s">
        <v>12</v>
      </c>
      <c r="G3" s="202" t="s">
        <v>0</v>
      </c>
      <c r="H3" s="202" t="s">
        <v>1</v>
      </c>
      <c r="I3" s="202" t="s">
        <v>2</v>
      </c>
      <c r="J3" s="202" t="s">
        <v>3</v>
      </c>
      <c r="K3" s="202" t="s">
        <v>4</v>
      </c>
      <c r="L3" s="202" t="s">
        <v>5</v>
      </c>
      <c r="M3" s="36" t="s">
        <v>29</v>
      </c>
      <c r="N3" s="36" t="s">
        <v>30</v>
      </c>
      <c r="O3" s="36" t="s">
        <v>31</v>
      </c>
      <c r="P3" s="36" t="s">
        <v>72</v>
      </c>
      <c r="Q3" s="36" t="s">
        <v>70</v>
      </c>
      <c r="R3" s="37" t="s">
        <v>32</v>
      </c>
      <c r="S3" s="37" t="s">
        <v>33</v>
      </c>
      <c r="T3" s="37" t="s">
        <v>34</v>
      </c>
      <c r="U3" s="37" t="s">
        <v>71</v>
      </c>
      <c r="V3" s="37" t="s">
        <v>35</v>
      </c>
      <c r="X3" s="26" t="s">
        <v>42</v>
      </c>
      <c r="Y3" s="27" t="s">
        <v>41</v>
      </c>
      <c r="Z3" s="356" t="s">
        <v>43</v>
      </c>
      <c r="AA3" s="357"/>
      <c r="AD3" s="26" t="s">
        <v>2743</v>
      </c>
      <c r="AE3" s="27" t="s">
        <v>2744</v>
      </c>
    </row>
    <row r="4" spans="1:31" ht="24" customHeight="1" x14ac:dyDescent="0.25">
      <c r="A4" s="342">
        <v>1</v>
      </c>
      <c r="B4" s="358">
        <v>1</v>
      </c>
      <c r="C4" s="358" t="s">
        <v>55</v>
      </c>
      <c r="D4" s="353" t="s">
        <v>28</v>
      </c>
      <c r="E4" s="62" t="str">
        <f>Apreciación!A5</f>
        <v>Estudiantes</v>
      </c>
      <c r="F4" s="11" t="str">
        <f>Apreciación!E5</f>
        <v>Cuenta de 1. Conozco la misión de la Universidad Distrital Francisco José de Caldas</v>
      </c>
      <c r="G4" s="203">
        <f>Apreciación!F5</f>
        <v>1.7964071856287425E-2</v>
      </c>
      <c r="H4" s="203">
        <f>Apreciación!G5</f>
        <v>3.5928143712574849E-2</v>
      </c>
      <c r="I4" s="203">
        <f>Apreciación!H5</f>
        <v>0.25149700598802394</v>
      </c>
      <c r="J4" s="203">
        <f>Apreciación!I5</f>
        <v>0.40119760479041916</v>
      </c>
      <c r="K4" s="203">
        <f>Apreciación!J5</f>
        <v>0.27544910179640719</v>
      </c>
      <c r="L4" s="203">
        <f>Apreciación!K5</f>
        <v>1.7964071856287425E-2</v>
      </c>
      <c r="M4" s="18">
        <f t="shared" ref="M4:M18" si="0">(G4*$G$2)+(H4*$H$2)+(I4*$I$2)+(J4*$J$2)+(K4*$K$2)+(L4*$L$2)</f>
        <v>4.0604790419161683</v>
      </c>
      <c r="N4" s="350">
        <f>AVERAGE(M4:M6)</f>
        <v>4.3135728542914178</v>
      </c>
      <c r="O4" s="350">
        <f>(N4*$AE$5)+(N7*$AE$4)+(N11*$AE$6)+(N15*$AE$8)+(AVERAGE(N4:N18)*$AE$7)</f>
        <v>4.2453975745932784</v>
      </c>
      <c r="P4" s="324">
        <f>AVERAGE(O4)</f>
        <v>4.2453975745932784</v>
      </c>
      <c r="Q4" s="324">
        <f>(P4*Ponderación!D2)+(P24*Ponderación!D3)+(P33*Ponderación!D4)</f>
        <v>4.0334164651530369</v>
      </c>
      <c r="R4" s="17" t="str">
        <f>IF(((M4&gt;=$Z$4)*AND(M4&lt;=$AA$4)),$Y$4,IF(((M4&gt;$AA$4)*AND(M4&lt;=$AA$5)),$Y$5,IF(((M4&gt;$AA$5)*AND(M4&lt;=$AA$6)),$Y$6,IF(((M4&gt;$AA$6)*AND(M4&lt;=$AA$7)),$Y$7,IF(((M4&gt;$AA$7)*AND(M4&lt;=$AA$8)),$Y$8,IF(EXACT(M4,$Y$9),$Z$9))))))</f>
        <v>B</v>
      </c>
      <c r="S4" s="327" t="str">
        <f>IF(((N4&gt;=$Z$4)*AND(N4&lt;=$AA$4)),$Y$4,IF(((N4&gt;$AA$4)*AND(N4&lt;=$AA$5)),$Y$5,IF(((N4&gt;$AA$5)*AND(N4&lt;=$AA$6)),$Y$6,IF(((N4&gt;$AA$6)*AND(N4&lt;=$AA$7)),$Y$7,IF(((N4&gt;$AA$7)*AND(N4&lt;=$AA$8)),$Y$8,IF(EXACT(N4,$Y$9),$Z$9))))))</f>
        <v>B</v>
      </c>
      <c r="T4" s="327" t="str">
        <f>IF(((O4&gt;=$Z$4)*AND(O4&lt;=$AA$4)),$Y$4,IF(((O4&gt;$AA$4)*AND(O4&lt;=$AA$5)),$Y$5,IF(((O4&gt;$AA$5)*AND(O4&lt;=$AA$6)),$Y$6,IF(((O4&gt;$AA$6)*AND(O4&lt;=$AA$7)),$Y$7,IF(((O4&gt;$AA$7)*AND(O4&lt;=$AA$8)),$Y$8,IF(EXACT(O4,$Y$9),$Z$9))))))</f>
        <v>B</v>
      </c>
      <c r="U4" s="327" t="str">
        <f>IF(((P4&gt;=$Z$4)*AND(P4&lt;=$AA$4)),$Y$4,IF(((P4&gt;$AA$4)*AND(P4&lt;=$AA$5)),$Y$5,IF(((P4&gt;$AA$5)*AND(P4&lt;=$AA$6)),$Y$6,IF(((P4&gt;$AA$6)*AND(P4&lt;=$AA$7)),$Y$7,IF(((P4&gt;$AA$7)*AND(P4&lt;=$AA$8)),$Y$8,IF(EXACT(P4,$Y$9),$Z$9))))))</f>
        <v>B</v>
      </c>
      <c r="V4" s="327" t="str">
        <f>IF(((Q4&gt;=$Z$4)*AND(Q4&lt;=$AA$4)),$Y$4,IF(((Q4&gt;$AA$4)*AND(Q4&lt;=$AA$5)),$Y$5,IF(((Q4&gt;$AA$5)*AND(Q4&lt;=$AA$6)),$Y$6,IF(((Q4&gt;$AA$6)*AND(Q4&lt;=$AA$7)),$Y$7,IF(((Q4&gt;$AA$7)*AND(Q4&lt;=$AA$8)),$Y$8,IF(EXACT(Q4,$Y$9),$Z$9))))))</f>
        <v>B</v>
      </c>
      <c r="W4" s="4"/>
      <c r="X4" s="25" t="s">
        <v>44</v>
      </c>
      <c r="Y4" s="33" t="s">
        <v>38</v>
      </c>
      <c r="Z4" s="56">
        <v>0</v>
      </c>
      <c r="AA4" s="30">
        <v>2.5</v>
      </c>
      <c r="AD4" s="25" t="s">
        <v>787</v>
      </c>
      <c r="AE4" s="192">
        <v>0.4</v>
      </c>
    </row>
    <row r="5" spans="1:31" ht="60" x14ac:dyDescent="0.25">
      <c r="A5" s="343"/>
      <c r="B5" s="358"/>
      <c r="C5" s="358"/>
      <c r="D5" s="353"/>
      <c r="E5" s="62" t="str">
        <f>Apreciación!A6</f>
        <v>Estudiantes</v>
      </c>
      <c r="F5" s="11" t="str">
        <f>Apreciación!E6</f>
        <v>Cuenta de 2. Considero que la Universidad Distrital Francisco José de Caldas es una alternativa real para acceder al conocimiento por parte de la población bogotana de menores ingresos.</v>
      </c>
      <c r="G5" s="203">
        <f>Apreciación!F6</f>
        <v>1.1976047904191617E-2</v>
      </c>
      <c r="H5" s="203">
        <f>Apreciación!G6</f>
        <v>2.9940119760479042E-2</v>
      </c>
      <c r="I5" s="203">
        <f>Apreciación!H6</f>
        <v>0.10179640718562874</v>
      </c>
      <c r="J5" s="203">
        <f>Apreciación!I6</f>
        <v>0.21556886227544911</v>
      </c>
      <c r="K5" s="203">
        <f>Apreciación!J6</f>
        <v>0.64071856287425155</v>
      </c>
      <c r="L5" s="203">
        <f>Apreciación!K6</f>
        <v>0</v>
      </c>
      <c r="M5" s="18">
        <f t="shared" si="0"/>
        <v>4.4341317365269468</v>
      </c>
      <c r="N5" s="350"/>
      <c r="O5" s="350"/>
      <c r="P5" s="325"/>
      <c r="Q5" s="325"/>
      <c r="R5" s="17" t="str">
        <f t="shared" ref="R5:R69" si="1">IF(((M5&gt;=$Z$4)*AND(M5&lt;=$AA$4)),$Y$4,IF(((M5&gt;$AA$4)*AND(M5&lt;=$AA$5)),$Y$5,IF(((M5&gt;$AA$5)*AND(M5&lt;=$AA$6)),$Y$6,IF(((M5&gt;$AA$6)*AND(M5&lt;=$AA$7)),$Y$7,IF(((M5&gt;$AA$7)*AND(M5&lt;=$AA$8)),$Y$8,IF(EXACT(M5,$Y$9),$Z$9))))))</f>
        <v>B</v>
      </c>
      <c r="S5" s="328"/>
      <c r="T5" s="328"/>
      <c r="U5" s="328"/>
      <c r="V5" s="328"/>
      <c r="X5" s="23" t="s">
        <v>45</v>
      </c>
      <c r="Y5" s="33" t="s">
        <v>39</v>
      </c>
      <c r="Z5" s="54">
        <v>2.5099999999999998</v>
      </c>
      <c r="AA5" s="31">
        <v>3.5</v>
      </c>
      <c r="AD5" s="23" t="s">
        <v>22</v>
      </c>
      <c r="AE5" s="192">
        <v>0.3</v>
      </c>
    </row>
    <row r="6" spans="1:31" ht="60" x14ac:dyDescent="0.25">
      <c r="A6" s="343"/>
      <c r="B6" s="358"/>
      <c r="C6" s="358"/>
      <c r="D6" s="353"/>
      <c r="E6" s="62" t="str">
        <f>Apreciación!A7</f>
        <v>Estudiantes</v>
      </c>
      <c r="F6" s="11" t="str">
        <f>Apreciación!E7</f>
        <v>Cuenta de 3. Considero que la Universidad Distrital Francisco José de Caldas desarrolla una educación de alta calidad con capacidad de responder a los retos del Distrito Capital y del país.</v>
      </c>
      <c r="G6" s="203">
        <f>Apreciación!F7</f>
        <v>5.9880239520958087E-3</v>
      </c>
      <c r="H6" s="203">
        <f>Apreciación!G7</f>
        <v>2.3952095808383235E-2</v>
      </c>
      <c r="I6" s="203">
        <f>Apreciación!H7</f>
        <v>8.9820359281437126E-2</v>
      </c>
      <c r="J6" s="203">
        <f>Apreciación!I7</f>
        <v>0.26946107784431139</v>
      </c>
      <c r="K6" s="203">
        <f>Apreciación!J7</f>
        <v>0.6107784431137725</v>
      </c>
      <c r="L6" s="203">
        <f>Apreciación!K7</f>
        <v>0</v>
      </c>
      <c r="M6" s="18">
        <f t="shared" si="0"/>
        <v>4.4461077844311383</v>
      </c>
      <c r="N6" s="350"/>
      <c r="O6" s="350"/>
      <c r="P6" s="325"/>
      <c r="Q6" s="325"/>
      <c r="R6" s="17" t="str">
        <f t="shared" si="1"/>
        <v>B</v>
      </c>
      <c r="S6" s="329"/>
      <c r="T6" s="328"/>
      <c r="U6" s="328"/>
      <c r="V6" s="328"/>
      <c r="X6" s="23" t="s">
        <v>46</v>
      </c>
      <c r="Y6" s="33" t="s">
        <v>40</v>
      </c>
      <c r="Z6" s="54">
        <v>3.51</v>
      </c>
      <c r="AA6" s="31">
        <v>4</v>
      </c>
      <c r="AD6" s="23" t="s">
        <v>24</v>
      </c>
      <c r="AE6" s="192">
        <v>0.15</v>
      </c>
    </row>
    <row r="7" spans="1:31" ht="24" x14ac:dyDescent="0.25">
      <c r="A7" s="343"/>
      <c r="B7" s="358"/>
      <c r="C7" s="358"/>
      <c r="D7" s="353"/>
      <c r="E7" s="62" t="str">
        <f>Apreciación!A102</f>
        <v>Docentes</v>
      </c>
      <c r="F7" s="11" t="str">
        <f>Apreciación!E102</f>
        <v>Cuenta de 1. Conozco la misión de la Universidad Distrital Francisco José de Caldas.</v>
      </c>
      <c r="G7" s="203">
        <f>Apreciación!F102</f>
        <v>0</v>
      </c>
      <c r="H7" s="203">
        <f>Apreciación!G102</f>
        <v>0</v>
      </c>
      <c r="I7" s="203">
        <f>Apreciación!H102</f>
        <v>0</v>
      </c>
      <c r="J7" s="203">
        <f>Apreciación!I102</f>
        <v>0.29629629629629628</v>
      </c>
      <c r="K7" s="203">
        <f>Apreciación!J102</f>
        <v>0.70370370370370372</v>
      </c>
      <c r="L7" s="203">
        <f>Apreciación!K102</f>
        <v>0</v>
      </c>
      <c r="M7" s="18">
        <f t="shared" si="0"/>
        <v>4.587037037037037</v>
      </c>
      <c r="N7" s="350">
        <f>AVERAGE(M7:M10)</f>
        <v>4.5162037037037033</v>
      </c>
      <c r="O7" s="350"/>
      <c r="P7" s="325"/>
      <c r="Q7" s="325"/>
      <c r="R7" s="17" t="str">
        <f t="shared" si="1"/>
        <v>A</v>
      </c>
      <c r="S7" s="327" t="str">
        <f t="shared" ref="S7:S68" si="2">IF(((N7&gt;=$Z$4)*AND(N7&lt;=$AA$4)),$Y$4,IF(((N7&gt;$AA$4)*AND(N7&lt;=$AA$5)),$Y$5,IF(((N7&gt;$AA$5)*AND(N7&lt;=$AA$6)),$Y$6,IF(((N7&gt;$AA$6)*AND(N7&lt;=$AA$7)),$Y$7,IF(((N7&gt;$AA$7)*AND(N7&lt;=$AA$8)),$Y$8,IF(EXACT(N7,$Y$9),$Z$9))))))</f>
        <v>A</v>
      </c>
      <c r="T7" s="328"/>
      <c r="U7" s="328"/>
      <c r="V7" s="328"/>
      <c r="X7" s="23" t="s">
        <v>47</v>
      </c>
      <c r="Y7" s="33" t="s">
        <v>37</v>
      </c>
      <c r="Z7" s="54">
        <v>4.01</v>
      </c>
      <c r="AA7" s="31">
        <v>4.5</v>
      </c>
      <c r="AD7" s="23" t="s">
        <v>956</v>
      </c>
      <c r="AE7" s="192">
        <v>0.1</v>
      </c>
    </row>
    <row r="8" spans="1:31" ht="36" x14ac:dyDescent="0.25">
      <c r="A8" s="343"/>
      <c r="B8" s="358"/>
      <c r="C8" s="358"/>
      <c r="D8" s="353"/>
      <c r="E8" s="62" t="str">
        <f>Apreciación!A103</f>
        <v>Docentes</v>
      </c>
      <c r="F8" s="11" t="str">
        <f>Apreciación!E103</f>
        <v>Cuenta de 2. Me siento identificado con la misión de la Universidad Distrital Francisco José de Caldas.</v>
      </c>
      <c r="G8" s="203">
        <f>Apreciación!F103</f>
        <v>0</v>
      </c>
      <c r="H8" s="203">
        <f>Apreciación!G103</f>
        <v>3.7037037037037035E-2</v>
      </c>
      <c r="I8" s="203">
        <f>Apreciación!H103</f>
        <v>0</v>
      </c>
      <c r="J8" s="203">
        <f>Apreciación!I103</f>
        <v>0.25925925925925924</v>
      </c>
      <c r="K8" s="203">
        <f>Apreciación!J103</f>
        <v>0.70370370370370372</v>
      </c>
      <c r="L8" s="203">
        <f>Apreciación!K103</f>
        <v>0</v>
      </c>
      <c r="M8" s="18">
        <f t="shared" si="0"/>
        <v>4.5407407407407403</v>
      </c>
      <c r="N8" s="350"/>
      <c r="O8" s="350"/>
      <c r="P8" s="325"/>
      <c r="Q8" s="325"/>
      <c r="R8" s="17" t="str">
        <f t="shared" si="1"/>
        <v>A</v>
      </c>
      <c r="S8" s="328"/>
      <c r="T8" s="328"/>
      <c r="U8" s="328"/>
      <c r="V8" s="328"/>
      <c r="X8" s="67" t="s">
        <v>48</v>
      </c>
      <c r="Y8" s="68" t="s">
        <v>36</v>
      </c>
      <c r="Z8" s="55">
        <v>4.51</v>
      </c>
      <c r="AA8" s="69">
        <v>5</v>
      </c>
      <c r="AD8" s="67" t="s">
        <v>2745</v>
      </c>
      <c r="AE8" s="193">
        <v>0.05</v>
      </c>
    </row>
    <row r="9" spans="1:31" ht="60.75" thickBot="1" x14ac:dyDescent="0.3">
      <c r="A9" s="343"/>
      <c r="B9" s="358"/>
      <c r="C9" s="358"/>
      <c r="D9" s="353"/>
      <c r="E9" s="62" t="str">
        <f>Apreciación!A104</f>
        <v>Docentes</v>
      </c>
      <c r="F9" s="11" t="str">
        <f>Apreciación!E104</f>
        <v>Cuenta de 3. Considero que la Universidad Distrital Francisco José de Caldas es una alternativa real para acceder al conocimiento por parte de la población bogotana de menores ingresos.</v>
      </c>
      <c r="G9" s="203">
        <f>Apreciación!F104</f>
        <v>0</v>
      </c>
      <c r="H9" s="203">
        <f>Apreciación!G104</f>
        <v>3.7037037037037035E-2</v>
      </c>
      <c r="I9" s="203">
        <f>Apreciación!H104</f>
        <v>3.7037037037037035E-2</v>
      </c>
      <c r="J9" s="203">
        <f>Apreciación!I104</f>
        <v>0.14814814814814814</v>
      </c>
      <c r="K9" s="203">
        <f>Apreciación!J104</f>
        <v>0.77777777777777779</v>
      </c>
      <c r="L9" s="203">
        <f>Apreciación!K104</f>
        <v>0</v>
      </c>
      <c r="M9" s="18">
        <f t="shared" si="0"/>
        <v>4.5629629629629633</v>
      </c>
      <c r="N9" s="350"/>
      <c r="O9" s="350"/>
      <c r="P9" s="325"/>
      <c r="Q9" s="325"/>
      <c r="R9" s="17" t="str">
        <f t="shared" si="1"/>
        <v>A</v>
      </c>
      <c r="S9" s="328"/>
      <c r="T9" s="328"/>
      <c r="U9" s="328"/>
      <c r="V9" s="328"/>
      <c r="X9" s="24" t="s">
        <v>425</v>
      </c>
      <c r="Y9" s="70" t="s">
        <v>64</v>
      </c>
      <c r="Z9" s="29" t="s">
        <v>64</v>
      </c>
      <c r="AA9" s="32" t="s">
        <v>64</v>
      </c>
      <c r="AD9" s="24" t="s">
        <v>1193</v>
      </c>
      <c r="AE9" s="194">
        <v>1</v>
      </c>
    </row>
    <row r="10" spans="1:31" ht="60" x14ac:dyDescent="0.25">
      <c r="A10" s="343"/>
      <c r="B10" s="358"/>
      <c r="C10" s="358"/>
      <c r="D10" s="353"/>
      <c r="E10" s="62" t="str">
        <f>Apreciación!A105</f>
        <v>Docentes</v>
      </c>
      <c r="F10" s="11" t="str">
        <f>Apreciación!E105</f>
        <v>Cuenta de 4. Considero que la Universidad Distrital Francisco José de Caldas desarrolla una educación de alta calidad con capacidad de responder a los retos del Distrito Capital y del país.</v>
      </c>
      <c r="G10" s="203">
        <f>Apreciación!F105</f>
        <v>0</v>
      </c>
      <c r="H10" s="203">
        <f>Apreciación!G105</f>
        <v>7.407407407407407E-2</v>
      </c>
      <c r="I10" s="203">
        <f>Apreciación!H105</f>
        <v>3.7037037037037035E-2</v>
      </c>
      <c r="J10" s="203">
        <f>Apreciación!I105</f>
        <v>0.37037037037037035</v>
      </c>
      <c r="K10" s="203">
        <f>Apreciación!J105</f>
        <v>0.51851851851851849</v>
      </c>
      <c r="L10" s="203">
        <f>Apreciación!K105</f>
        <v>0</v>
      </c>
      <c r="M10" s="18">
        <f t="shared" si="0"/>
        <v>4.3740740740740742</v>
      </c>
      <c r="N10" s="350"/>
      <c r="O10" s="350"/>
      <c r="P10" s="325"/>
      <c r="Q10" s="325"/>
      <c r="R10" s="17" t="str">
        <f t="shared" si="1"/>
        <v>B</v>
      </c>
      <c r="S10" s="329"/>
      <c r="T10" s="328"/>
      <c r="U10" s="328"/>
      <c r="V10" s="328"/>
    </row>
    <row r="11" spans="1:31" ht="48" x14ac:dyDescent="0.25">
      <c r="A11" s="343"/>
      <c r="B11" s="358"/>
      <c r="C11" s="358"/>
      <c r="D11" s="353"/>
      <c r="E11" s="183" t="str">
        <f>Apreciación!A204</f>
        <v>Egresados</v>
      </c>
      <c r="F11" s="181" t="str">
        <f>Apreciación!E204</f>
        <v>Cuenta de 17. Considero que la representación de los egresados en la Universidad Distrital cumple su papel de comunicación entre los directivos y los egresados.</v>
      </c>
      <c r="G11" s="203">
        <f>Apreciación!F204</f>
        <v>7.6923076923076927E-2</v>
      </c>
      <c r="H11" s="203">
        <f>Apreciación!G204</f>
        <v>8.9743589743589744E-2</v>
      </c>
      <c r="I11" s="203">
        <f>Apreciación!H204</f>
        <v>0.30769230769230771</v>
      </c>
      <c r="J11" s="203">
        <f>Apreciación!I204</f>
        <v>0.25641025641025639</v>
      </c>
      <c r="K11" s="203">
        <f>Apreciación!J204</f>
        <v>0.14102564102564102</v>
      </c>
      <c r="L11" s="203">
        <f>Apreciación!K204</f>
        <v>0.12820512820512819</v>
      </c>
      <c r="M11" s="18">
        <f t="shared" si="0"/>
        <v>3.2807692307692307</v>
      </c>
      <c r="N11" s="352">
        <f>AVERAGE(M11:M14)</f>
        <v>3.5240384615384612</v>
      </c>
      <c r="O11" s="350"/>
      <c r="P11" s="325"/>
      <c r="Q11" s="325"/>
      <c r="R11" s="17" t="str">
        <f t="shared" si="1"/>
        <v>D</v>
      </c>
      <c r="S11" s="327" t="str">
        <f t="shared" si="2"/>
        <v>C</v>
      </c>
      <c r="T11" s="328"/>
      <c r="U11" s="328"/>
      <c r="V11" s="328"/>
    </row>
    <row r="12" spans="1:31" ht="72" x14ac:dyDescent="0.25">
      <c r="A12" s="343"/>
      <c r="B12" s="358"/>
      <c r="C12" s="358"/>
      <c r="D12" s="353"/>
      <c r="E12" s="183" t="str">
        <f>Apreciación!A205</f>
        <v>Egresados</v>
      </c>
      <c r="F12" s="181" t="str">
        <f>Apreciación!E205</f>
        <v>Cuenta de 18. Considero que los representantes de los egresados que participan en los órganos de dirección de la Universidad Distrital Francisco José de Caldas han liderado propuestas para el mejoramiento del vinculo entre los egresados y la Universidad.</v>
      </c>
      <c r="G12" s="203">
        <f>Apreciación!F205</f>
        <v>5.128205128205128E-2</v>
      </c>
      <c r="H12" s="203">
        <f>Apreciación!G205</f>
        <v>0.10256410256410256</v>
      </c>
      <c r="I12" s="203">
        <f>Apreciación!H205</f>
        <v>0.25641025641025639</v>
      </c>
      <c r="J12" s="203">
        <f>Apreciación!I205</f>
        <v>0.24358974358974358</v>
      </c>
      <c r="K12" s="203">
        <f>Apreciación!J205</f>
        <v>6.4102564102564097E-2</v>
      </c>
      <c r="L12" s="203">
        <f>Apreciación!K205</f>
        <v>0.28205128205128205</v>
      </c>
      <c r="M12" s="18">
        <f t="shared" si="0"/>
        <v>2.6660256410256409</v>
      </c>
      <c r="N12" s="352"/>
      <c r="O12" s="350"/>
      <c r="P12" s="325"/>
      <c r="Q12" s="325"/>
      <c r="R12" s="17" t="str">
        <f t="shared" si="1"/>
        <v>D</v>
      </c>
      <c r="S12" s="328"/>
      <c r="T12" s="328"/>
      <c r="U12" s="328"/>
      <c r="V12" s="328"/>
      <c r="X12" s="195"/>
    </row>
    <row r="13" spans="1:31" ht="36" x14ac:dyDescent="0.25">
      <c r="A13" s="343"/>
      <c r="B13" s="358"/>
      <c r="C13" s="358"/>
      <c r="D13" s="353"/>
      <c r="E13" s="183" t="str">
        <f>Apreciación!A206</f>
        <v>Egresados</v>
      </c>
      <c r="F13" s="181" t="str">
        <f>Apreciación!E206</f>
        <v>Cuenta de 19. Considero que mi programa académico me brindó las herramientas necesarias para ejercer mi profesión.</v>
      </c>
      <c r="G13" s="203">
        <f>Apreciación!F206</f>
        <v>1.282051282051282E-2</v>
      </c>
      <c r="H13" s="203">
        <f>Apreciación!G206</f>
        <v>3.8461538461538464E-2</v>
      </c>
      <c r="I13" s="203">
        <f>Apreciación!H206</f>
        <v>0.14102564102564102</v>
      </c>
      <c r="J13" s="203">
        <f>Apreciación!I206</f>
        <v>0.58974358974358976</v>
      </c>
      <c r="K13" s="203">
        <f>Apreciación!J206</f>
        <v>0.21794871794871795</v>
      </c>
      <c r="L13" s="203">
        <f>Apreciación!K206</f>
        <v>0</v>
      </c>
      <c r="M13" s="18">
        <f t="shared" si="0"/>
        <v>4.1692307692307695</v>
      </c>
      <c r="N13" s="352"/>
      <c r="O13" s="350"/>
      <c r="P13" s="325"/>
      <c r="Q13" s="325"/>
      <c r="R13" s="17" t="str">
        <f t="shared" si="1"/>
        <v>B</v>
      </c>
      <c r="S13" s="328"/>
      <c r="T13" s="328"/>
      <c r="U13" s="328"/>
      <c r="V13" s="328"/>
      <c r="X13" s="4"/>
    </row>
    <row r="14" spans="1:31" ht="48" x14ac:dyDescent="0.25">
      <c r="A14" s="343"/>
      <c r="B14" s="358"/>
      <c r="C14" s="358"/>
      <c r="D14" s="353"/>
      <c r="E14" s="183" t="str">
        <f>Apreciación!A207</f>
        <v>Egresados</v>
      </c>
      <c r="F14" s="181" t="str">
        <f>Apreciación!E207</f>
        <v>Cuenta de 20. Considero que mi programa académico me brindó las habilidades para desempeñarme con suficiencia en proyectos de investigación, asesorías y/o consultorías.</v>
      </c>
      <c r="G14" s="203">
        <f>Apreciación!F207</f>
        <v>1.282051282051282E-2</v>
      </c>
      <c r="H14" s="203">
        <f>Apreciación!G207</f>
        <v>7.6923076923076927E-2</v>
      </c>
      <c r="I14" s="203">
        <f>Apreciación!H207</f>
        <v>0.23076923076923078</v>
      </c>
      <c r="J14" s="203">
        <f>Apreciación!I207</f>
        <v>0.52564102564102566</v>
      </c>
      <c r="K14" s="203">
        <f>Apreciación!J207</f>
        <v>0.14102564102564102</v>
      </c>
      <c r="L14" s="203">
        <f>Apreciación!K207</f>
        <v>1.282051282051282E-2</v>
      </c>
      <c r="M14" s="18">
        <f t="shared" si="0"/>
        <v>3.9801282051282052</v>
      </c>
      <c r="N14" s="352"/>
      <c r="O14" s="350"/>
      <c r="P14" s="325"/>
      <c r="Q14" s="325"/>
      <c r="R14" s="17" t="str">
        <f t="shared" si="1"/>
        <v>C</v>
      </c>
      <c r="S14" s="329"/>
      <c r="T14" s="328"/>
      <c r="U14" s="328"/>
      <c r="V14" s="328"/>
    </row>
    <row r="15" spans="1:31" ht="24" x14ac:dyDescent="0.25">
      <c r="A15" s="343"/>
      <c r="B15" s="358"/>
      <c r="C15" s="358"/>
      <c r="D15" s="353"/>
      <c r="E15" s="62" t="str">
        <f>Apreciación!A220</f>
        <v>Administrativos</v>
      </c>
      <c r="F15" s="11" t="str">
        <f>Apreciación!E220</f>
        <v>Cuenta de 1. Conozco la misión de la Universidad Distrital Francisco José de Caldas.</v>
      </c>
      <c r="G15" s="203">
        <f>Apreciación!F220</f>
        <v>1.7543859649122806E-2</v>
      </c>
      <c r="H15" s="203">
        <f>Apreciación!G220</f>
        <v>8.771929824561403E-3</v>
      </c>
      <c r="I15" s="203">
        <f>Apreciación!H220</f>
        <v>0.13157894736842105</v>
      </c>
      <c r="J15" s="203">
        <f>Apreciación!I220</f>
        <v>0.46491228070175439</v>
      </c>
      <c r="K15" s="203">
        <f>Apreciación!J220</f>
        <v>0.33333333333333331</v>
      </c>
      <c r="L15" s="203">
        <f>Apreciación!K220</f>
        <v>4.3859649122807015E-2</v>
      </c>
      <c r="M15" s="18">
        <f t="shared" si="0"/>
        <v>4.0785087719298243</v>
      </c>
      <c r="N15" s="350">
        <f>AVERAGE(M15:M18)</f>
        <v>4.0985745614035087</v>
      </c>
      <c r="O15" s="350"/>
      <c r="P15" s="325"/>
      <c r="Q15" s="325"/>
      <c r="R15" s="17" t="str">
        <f t="shared" si="1"/>
        <v>B</v>
      </c>
      <c r="S15" s="327" t="str">
        <f t="shared" si="2"/>
        <v>B</v>
      </c>
      <c r="T15" s="328"/>
      <c r="U15" s="328"/>
      <c r="V15" s="328"/>
    </row>
    <row r="16" spans="1:31" ht="36" x14ac:dyDescent="0.25">
      <c r="A16" s="343"/>
      <c r="B16" s="358"/>
      <c r="C16" s="358"/>
      <c r="D16" s="353"/>
      <c r="E16" s="62" t="str">
        <f>Apreciación!A221</f>
        <v>Administrativos</v>
      </c>
      <c r="F16" s="11" t="str">
        <f>Apreciación!E221</f>
        <v>Cuenta de 2. Me siento identificado con la misión de la Universidad Distrital Francisco José de Caldas.</v>
      </c>
      <c r="G16" s="203">
        <f>Apreciación!F221</f>
        <v>1.7543859649122806E-2</v>
      </c>
      <c r="H16" s="203">
        <f>Apreciación!G221</f>
        <v>0</v>
      </c>
      <c r="I16" s="203">
        <f>Apreciación!H221</f>
        <v>0.17543859649122806</v>
      </c>
      <c r="J16" s="203">
        <f>Apreciación!I221</f>
        <v>0.40350877192982454</v>
      </c>
      <c r="K16" s="203">
        <f>Apreciación!J221</f>
        <v>0.34210526315789475</v>
      </c>
      <c r="L16" s="203">
        <f>Apreciación!K221</f>
        <v>6.1403508771929821E-2</v>
      </c>
      <c r="M16" s="18">
        <f t="shared" si="0"/>
        <v>3.9986842105263158</v>
      </c>
      <c r="N16" s="350"/>
      <c r="O16" s="350"/>
      <c r="P16" s="325"/>
      <c r="Q16" s="325"/>
      <c r="R16" s="17" t="str">
        <f t="shared" si="1"/>
        <v>C</v>
      </c>
      <c r="S16" s="328"/>
      <c r="T16" s="328"/>
      <c r="U16" s="328"/>
      <c r="V16" s="328"/>
    </row>
    <row r="17" spans="1:22" ht="60" x14ac:dyDescent="0.25">
      <c r="A17" s="343"/>
      <c r="B17" s="358"/>
      <c r="C17" s="358"/>
      <c r="D17" s="353"/>
      <c r="E17" s="62" t="str">
        <f>Apreciación!A222</f>
        <v>Administrativos</v>
      </c>
      <c r="F17" s="11" t="str">
        <f>Apreciación!E222</f>
        <v>Cuenta de 3. Considero que la Universidad Distrital Francisco José de Caldas es una alternativa real para acceder al conocimiento por parte de los mejores egresados de la educación media de Bogotá con menores ingresos.</v>
      </c>
      <c r="G17" s="203">
        <f>Apreciación!F222</f>
        <v>3.5087719298245612E-2</v>
      </c>
      <c r="H17" s="203">
        <f>Apreciación!G222</f>
        <v>0</v>
      </c>
      <c r="I17" s="203">
        <f>Apreciación!H222</f>
        <v>0.14912280701754385</v>
      </c>
      <c r="J17" s="203">
        <f>Apreciación!I222</f>
        <v>0.39473684210526316</v>
      </c>
      <c r="K17" s="203">
        <f>Apreciación!J222</f>
        <v>0.40350877192982454</v>
      </c>
      <c r="L17" s="203">
        <f>Apreciación!K222</f>
        <v>1.7543859649122806E-2</v>
      </c>
      <c r="M17" s="18">
        <f t="shared" si="0"/>
        <v>4.185964912280701</v>
      </c>
      <c r="N17" s="350"/>
      <c r="O17" s="350"/>
      <c r="P17" s="325"/>
      <c r="Q17" s="325"/>
      <c r="R17" s="17" t="str">
        <f t="shared" si="1"/>
        <v>B</v>
      </c>
      <c r="S17" s="328"/>
      <c r="T17" s="328"/>
      <c r="U17" s="328"/>
      <c r="V17" s="328"/>
    </row>
    <row r="18" spans="1:22" ht="60" x14ac:dyDescent="0.25">
      <c r="A18" s="343"/>
      <c r="B18" s="358"/>
      <c r="C18" s="358"/>
      <c r="D18" s="353"/>
      <c r="E18" s="62" t="str">
        <f>Apreciación!A223</f>
        <v>Administrativos</v>
      </c>
      <c r="F18" s="11" t="str">
        <f>Apreciación!E223</f>
        <v>Cuenta de 4. Considero que la Universidad Distrital Francisco José de Caldas desarrolla una educación de alta calidad con capacidad de responder a los retos del Distrito Capital y del país.</v>
      </c>
      <c r="G18" s="203">
        <f>Apreciación!F223</f>
        <v>3.5087719298245612E-2</v>
      </c>
      <c r="H18" s="203">
        <f>Apreciación!G223</f>
        <v>0</v>
      </c>
      <c r="I18" s="203">
        <f>Apreciación!H223</f>
        <v>0.24561403508771928</v>
      </c>
      <c r="J18" s="203">
        <f>Apreciación!I223</f>
        <v>0.38596491228070173</v>
      </c>
      <c r="K18" s="203">
        <f>Apreciación!J223</f>
        <v>0.32456140350877194</v>
      </c>
      <c r="L18" s="203">
        <f>Apreciación!K223</f>
        <v>8.771929824561403E-3</v>
      </c>
      <c r="M18" s="18">
        <f t="shared" si="0"/>
        <v>4.1311403508771933</v>
      </c>
      <c r="N18" s="350"/>
      <c r="O18" s="350"/>
      <c r="P18" s="325"/>
      <c r="Q18" s="325"/>
      <c r="R18" s="17" t="str">
        <f t="shared" si="1"/>
        <v>B</v>
      </c>
      <c r="S18" s="329"/>
      <c r="T18" s="329"/>
      <c r="U18" s="328"/>
      <c r="V18" s="328"/>
    </row>
    <row r="19" spans="1:22" ht="36" x14ac:dyDescent="0.25">
      <c r="A19" s="343"/>
      <c r="B19" s="358"/>
      <c r="C19" s="58" t="str">
        <f>Final!E3</f>
        <v>b</v>
      </c>
      <c r="D19" s="59" t="str">
        <f>Final!F3</f>
        <v>Correspondencia entre la visión y la misión institucional y los objetivos del programa académico</v>
      </c>
      <c r="E19" s="61" t="s">
        <v>64</v>
      </c>
      <c r="F19" s="61" t="s">
        <v>64</v>
      </c>
      <c r="G19" s="204" t="s">
        <v>64</v>
      </c>
      <c r="H19" s="204" t="s">
        <v>64</v>
      </c>
      <c r="I19" s="204" t="s">
        <v>64</v>
      </c>
      <c r="J19" s="204" t="s">
        <v>64</v>
      </c>
      <c r="K19" s="204" t="s">
        <v>64</v>
      </c>
      <c r="L19" s="204" t="s">
        <v>64</v>
      </c>
      <c r="M19" s="18" t="s">
        <v>64</v>
      </c>
      <c r="N19" s="18" t="s">
        <v>64</v>
      </c>
      <c r="O19" s="18" t="s">
        <v>64</v>
      </c>
      <c r="P19" s="325"/>
      <c r="Q19" s="325"/>
      <c r="R19" s="17" t="str">
        <f t="shared" si="1"/>
        <v>NA</v>
      </c>
      <c r="S19" s="17" t="str">
        <f t="shared" si="2"/>
        <v>NA</v>
      </c>
      <c r="T19" s="17" t="str">
        <f t="shared" ref="T19:T67" si="3">IF(((O19&gt;=$Z$4)*AND(O19&lt;=$AA$4)),$Y$4,IF(((O19&gt;$AA$4)*AND(O19&lt;=$AA$5)),$Y$5,IF(((O19&gt;$AA$5)*AND(O19&lt;=$AA$6)),$Y$6,IF(((O19&gt;$AA$6)*AND(O19&lt;=$AA$7)),$Y$7,IF(((O19&gt;$AA$7)*AND(O19&lt;=$AA$8)),$Y$8,IF(EXACT(O19,$Y$9),$Z$9))))))</f>
        <v>NA</v>
      </c>
      <c r="U19" s="328"/>
      <c r="V19" s="328"/>
    </row>
    <row r="20" spans="1:22" ht="84" x14ac:dyDescent="0.25">
      <c r="A20" s="343"/>
      <c r="B20" s="358"/>
      <c r="C20" s="58" t="str">
        <f>Final!E4</f>
        <v>c</v>
      </c>
      <c r="D20" s="59" t="str">
        <f>Final!F4</f>
        <v>El proyecto educativo institucional y de Facultad orienta las acciones y decisiones del proyectocurricular, en la gestión del currículo, la docencia, la investigación científica, la creación artística, la internacionalización, la proyección social, el bienestar de la comunidad y demás áreas estratégicas de la Universidad Distrital.</v>
      </c>
      <c r="E20" s="61" t="s">
        <v>64</v>
      </c>
      <c r="F20" s="61" t="s">
        <v>64</v>
      </c>
      <c r="G20" s="204" t="s">
        <v>64</v>
      </c>
      <c r="H20" s="204" t="s">
        <v>64</v>
      </c>
      <c r="I20" s="204" t="s">
        <v>64</v>
      </c>
      <c r="J20" s="204" t="s">
        <v>64</v>
      </c>
      <c r="K20" s="204" t="s">
        <v>64</v>
      </c>
      <c r="L20" s="204" t="s">
        <v>64</v>
      </c>
      <c r="M20" s="18" t="s">
        <v>64</v>
      </c>
      <c r="N20" s="18" t="s">
        <v>64</v>
      </c>
      <c r="O20" s="18" t="s">
        <v>64</v>
      </c>
      <c r="P20" s="325"/>
      <c r="Q20" s="325"/>
      <c r="R20" s="17" t="str">
        <f t="shared" si="1"/>
        <v>NA</v>
      </c>
      <c r="S20" s="17" t="str">
        <f t="shared" si="2"/>
        <v>NA</v>
      </c>
      <c r="T20" s="17" t="str">
        <f t="shared" si="3"/>
        <v>NA</v>
      </c>
      <c r="U20" s="328"/>
      <c r="V20" s="328"/>
    </row>
    <row r="21" spans="1:22" ht="60" x14ac:dyDescent="0.25">
      <c r="A21" s="343"/>
      <c r="B21" s="358"/>
      <c r="C21" s="58" t="str">
        <f>Final!E5</f>
        <v>d</v>
      </c>
      <c r="D21" s="59" t="str">
        <f>Final!F5</f>
        <v>La Universidad Distrital cuenta con una política eficaz y tiene evidencias sobre alternativas de financiación para facilitar el ingreso y permanencia de los estudiantes que tienen dificultades económicas.</v>
      </c>
      <c r="E21" s="61" t="s">
        <v>64</v>
      </c>
      <c r="F21" s="61" t="s">
        <v>64</v>
      </c>
      <c r="G21" s="204" t="s">
        <v>64</v>
      </c>
      <c r="H21" s="204" t="s">
        <v>64</v>
      </c>
      <c r="I21" s="204" t="s">
        <v>64</v>
      </c>
      <c r="J21" s="204" t="s">
        <v>64</v>
      </c>
      <c r="K21" s="204" t="s">
        <v>64</v>
      </c>
      <c r="L21" s="204" t="s">
        <v>64</v>
      </c>
      <c r="M21" s="18" t="s">
        <v>64</v>
      </c>
      <c r="N21" s="18" t="s">
        <v>64</v>
      </c>
      <c r="O21" s="18" t="s">
        <v>64</v>
      </c>
      <c r="P21" s="325"/>
      <c r="Q21" s="325"/>
      <c r="R21" s="17" t="str">
        <f t="shared" si="1"/>
        <v>NA</v>
      </c>
      <c r="S21" s="17" t="str">
        <f t="shared" si="2"/>
        <v>NA</v>
      </c>
      <c r="T21" s="17" t="str">
        <f t="shared" si="3"/>
        <v>NA</v>
      </c>
      <c r="U21" s="328"/>
      <c r="V21" s="328"/>
    </row>
    <row r="22" spans="1:22" ht="72" x14ac:dyDescent="0.25">
      <c r="A22" s="343"/>
      <c r="B22" s="358"/>
      <c r="C22" s="58" t="str">
        <f>Final!E6</f>
        <v>e</v>
      </c>
      <c r="D22" s="59" t="str">
        <f>Final!F6</f>
        <v>La Universidad Distrital aplica una política eficaz que permite el acceso a la educación superior sin discriminación. Promueve estrategias eficaces orientadas a identificar, eliminar o disminuir barreras comunicativas para poblaciones diversas.</v>
      </c>
      <c r="E22" s="61" t="s">
        <v>64</v>
      </c>
      <c r="F22" s="61" t="s">
        <v>64</v>
      </c>
      <c r="G22" s="204" t="s">
        <v>64</v>
      </c>
      <c r="H22" s="204" t="s">
        <v>64</v>
      </c>
      <c r="I22" s="204" t="s">
        <v>64</v>
      </c>
      <c r="J22" s="204" t="s">
        <v>64</v>
      </c>
      <c r="K22" s="204" t="s">
        <v>64</v>
      </c>
      <c r="L22" s="204" t="s">
        <v>64</v>
      </c>
      <c r="M22" s="18" t="s">
        <v>64</v>
      </c>
      <c r="N22" s="18" t="s">
        <v>64</v>
      </c>
      <c r="O22" s="18" t="s">
        <v>64</v>
      </c>
      <c r="P22" s="325"/>
      <c r="Q22" s="325"/>
      <c r="R22" s="17" t="str">
        <f t="shared" si="1"/>
        <v>NA</v>
      </c>
      <c r="S22" s="17" t="str">
        <f t="shared" si="2"/>
        <v>NA</v>
      </c>
      <c r="T22" s="17" t="str">
        <f t="shared" si="3"/>
        <v>NA</v>
      </c>
      <c r="U22" s="328"/>
      <c r="V22" s="328"/>
    </row>
    <row r="23" spans="1:22" ht="60" x14ac:dyDescent="0.25">
      <c r="A23" s="343"/>
      <c r="B23" s="358"/>
      <c r="C23" s="58" t="str">
        <f>Final!E7</f>
        <v>f</v>
      </c>
      <c r="D23" s="59" t="str">
        <f>Final!F7</f>
        <v>La Universidad Distrital cuenta con una política eficaz orientada a identificar, eliminar o disminuir barreras en infraestructura física. La Universidad Distrital tiene evidencias sobre la aplicación de esta política.</v>
      </c>
      <c r="E23" s="61" t="s">
        <v>64</v>
      </c>
      <c r="F23" s="61" t="s">
        <v>64</v>
      </c>
      <c r="G23" s="204" t="s">
        <v>64</v>
      </c>
      <c r="H23" s="204" t="s">
        <v>64</v>
      </c>
      <c r="I23" s="204" t="s">
        <v>64</v>
      </c>
      <c r="J23" s="204" t="s">
        <v>64</v>
      </c>
      <c r="K23" s="204" t="s">
        <v>64</v>
      </c>
      <c r="L23" s="204" t="s">
        <v>64</v>
      </c>
      <c r="M23" s="18" t="s">
        <v>64</v>
      </c>
      <c r="N23" s="18" t="s">
        <v>64</v>
      </c>
      <c r="O23" s="18" t="s">
        <v>64</v>
      </c>
      <c r="P23" s="326"/>
      <c r="Q23" s="325"/>
      <c r="R23" s="17" t="str">
        <f t="shared" si="1"/>
        <v>NA</v>
      </c>
      <c r="S23" s="17" t="str">
        <f t="shared" si="2"/>
        <v>NA</v>
      </c>
      <c r="T23" s="17" t="str">
        <f t="shared" si="3"/>
        <v>NA</v>
      </c>
      <c r="U23" s="329"/>
      <c r="V23" s="328"/>
    </row>
    <row r="24" spans="1:22" ht="48" x14ac:dyDescent="0.25">
      <c r="A24" s="343"/>
      <c r="B24" s="342">
        <v>2</v>
      </c>
      <c r="C24" s="58" t="str">
        <f>Final!E8</f>
        <v>a</v>
      </c>
      <c r="D24" s="59" t="str">
        <f>Final!F8</f>
        <v>Estrategias y mecanismos establecidos para la discusión, actualización, difusión y evaluación del Proyecto Educativo del proyecto curricular (PEP)</v>
      </c>
      <c r="E24" s="61" t="s">
        <v>64</v>
      </c>
      <c r="F24" s="61" t="s">
        <v>64</v>
      </c>
      <c r="G24" s="204" t="s">
        <v>64</v>
      </c>
      <c r="H24" s="204" t="s">
        <v>64</v>
      </c>
      <c r="I24" s="204" t="s">
        <v>64</v>
      </c>
      <c r="J24" s="204" t="s">
        <v>64</v>
      </c>
      <c r="K24" s="204" t="s">
        <v>64</v>
      </c>
      <c r="L24" s="204" t="s">
        <v>64</v>
      </c>
      <c r="M24" s="18" t="s">
        <v>64</v>
      </c>
      <c r="N24" s="18" t="s">
        <v>64</v>
      </c>
      <c r="O24" s="18" t="s">
        <v>64</v>
      </c>
      <c r="P24" s="324">
        <f>AVERAGE(O24:O32)</f>
        <v>3.6695601584355657</v>
      </c>
      <c r="Q24" s="325"/>
      <c r="R24" s="17" t="str">
        <f t="shared" si="1"/>
        <v>NA</v>
      </c>
      <c r="S24" s="17" t="str">
        <f t="shared" si="2"/>
        <v>NA</v>
      </c>
      <c r="T24" s="17" t="str">
        <f t="shared" si="3"/>
        <v>NA</v>
      </c>
      <c r="U24" s="327" t="str">
        <f>IF(((P24&gt;=$Z$4)*AND(P24&lt;=$AA$4)),$Y$4,IF(((P24&gt;$AA$4)*AND(P24&lt;=$AA$5)),$Y$5,IF(((P24&gt;$AA$5)*AND(P24&lt;=$AA$6)),$Y$6,IF(((P24&gt;$AA$6)*AND(P24&lt;=$AA$7)),$Y$7,IF(((P24&gt;$AA$7)*AND(P24&lt;=$AA$8)),$Y$8,IF(EXACT(P24,$Y$9),$Z$9))))))</f>
        <v>C</v>
      </c>
      <c r="V24" s="328"/>
    </row>
    <row r="25" spans="1:22" ht="24" customHeight="1" x14ac:dyDescent="0.25">
      <c r="A25" s="343"/>
      <c r="B25" s="343"/>
      <c r="C25" s="333" t="str">
        <f>Final!E9</f>
        <v>b</v>
      </c>
      <c r="D25" s="330" t="str">
        <f>Final!F9</f>
        <v>Apropiación del Proyecto Educativo del proyecto curricular por parte de la comunidad académica respectiva</v>
      </c>
      <c r="E25" s="62" t="str">
        <f>Apreciación!A8</f>
        <v>Estudiantes</v>
      </c>
      <c r="F25" s="11" t="str">
        <f>Apreciación!E8</f>
        <v xml:space="preserve">Cuenta de 4. Conozco el proyecto educativo de mi programa académico (PEP). </v>
      </c>
      <c r="G25" s="205">
        <f>Apreciación!F8</f>
        <v>3.5928143712574849E-2</v>
      </c>
      <c r="H25" s="205">
        <f>Apreciación!G8</f>
        <v>3.5928143712574849E-2</v>
      </c>
      <c r="I25" s="205">
        <f>Apreciación!H8</f>
        <v>0.16167664670658682</v>
      </c>
      <c r="J25" s="205">
        <f>Apreciación!I8</f>
        <v>0.3652694610778443</v>
      </c>
      <c r="K25" s="205">
        <f>Apreciación!J8</f>
        <v>0.3532934131736527</v>
      </c>
      <c r="L25" s="205">
        <f>Apreciación!K8</f>
        <v>4.790419161676647E-2</v>
      </c>
      <c r="M25" s="18">
        <f t="shared" ref="M25:M30" si="4">(G25*$G$2)+(H25*$H$2)+(I25*$I$2)+(J25*$J$2)+(K25*$K$2)+(L25*$L$2)</f>
        <v>3.977544910179641</v>
      </c>
      <c r="N25" s="324">
        <f>AVERAGE(M25:M27)</f>
        <v>3.2926147704590818</v>
      </c>
      <c r="O25" s="324">
        <f>(N25*$AE$5)+(N28*$AE$4)+(AVERAGE(N25:N30)*$AE$6)+(N30*$AE$8)+(AVERAGE(N25:N30)*$AE$7)</f>
        <v>3.6695601584355657</v>
      </c>
      <c r="P25" s="325"/>
      <c r="Q25" s="325"/>
      <c r="R25" s="17" t="str">
        <f t="shared" si="1"/>
        <v>C</v>
      </c>
      <c r="S25" s="327" t="str">
        <f t="shared" si="2"/>
        <v>D</v>
      </c>
      <c r="T25" s="327" t="str">
        <f t="shared" si="3"/>
        <v>C</v>
      </c>
      <c r="U25" s="328"/>
      <c r="V25" s="328"/>
    </row>
    <row r="26" spans="1:22" ht="24" x14ac:dyDescent="0.25">
      <c r="A26" s="343"/>
      <c r="B26" s="343"/>
      <c r="C26" s="334"/>
      <c r="D26" s="331"/>
      <c r="E26" s="62" t="str">
        <f>Apreciación!A9</f>
        <v>Estudiantes</v>
      </c>
      <c r="F26" s="11" t="str">
        <f>Apreciación!E9</f>
        <v>Cuenta de 5. He participado en la discusión y actualización del Proyecto Educativo de Programa.</v>
      </c>
      <c r="G26" s="205">
        <f>Apreciación!F9</f>
        <v>0.32335329341317365</v>
      </c>
      <c r="H26" s="205">
        <f>Apreciación!G9</f>
        <v>0.18562874251497005</v>
      </c>
      <c r="I26" s="205">
        <f>Apreciación!H9</f>
        <v>0.20359281437125748</v>
      </c>
      <c r="J26" s="205">
        <f>Apreciación!I9</f>
        <v>0.1377245508982036</v>
      </c>
      <c r="K26" s="205">
        <f>Apreciación!J9</f>
        <v>5.3892215568862277E-2</v>
      </c>
      <c r="L26" s="205">
        <f>Apreciación!K9</f>
        <v>9.580838323353294E-2</v>
      </c>
      <c r="M26" s="18">
        <f t="shared" si="4"/>
        <v>2.6850299401197604</v>
      </c>
      <c r="N26" s="325"/>
      <c r="O26" s="325"/>
      <c r="P26" s="325"/>
      <c r="Q26" s="325"/>
      <c r="R26" s="17" t="str">
        <f t="shared" si="1"/>
        <v>D</v>
      </c>
      <c r="S26" s="328"/>
      <c r="T26" s="328"/>
      <c r="U26" s="328"/>
      <c r="V26" s="328"/>
    </row>
    <row r="27" spans="1:22" ht="36" x14ac:dyDescent="0.25">
      <c r="A27" s="343"/>
      <c r="B27" s="343"/>
      <c r="C27" s="334"/>
      <c r="D27" s="331"/>
      <c r="E27" s="62" t="str">
        <f>Apreciación!A10</f>
        <v>Estudiantes</v>
      </c>
      <c r="F27" s="11" t="str">
        <f>Apreciación!E10</f>
        <v>Cuenta de 6. Conozco las funciones y me entero de las decisiones del Consejo Curricular de mi programa académico.</v>
      </c>
      <c r="G27" s="205">
        <f>Apreciación!F10</f>
        <v>0.20359281437125748</v>
      </c>
      <c r="H27" s="205">
        <f>Apreciación!G10</f>
        <v>0.1497005988023952</v>
      </c>
      <c r="I27" s="205">
        <f>Apreciación!H10</f>
        <v>0.31736526946107785</v>
      </c>
      <c r="J27" s="205">
        <f>Apreciación!I10</f>
        <v>0.20359281437125748</v>
      </c>
      <c r="K27" s="205">
        <f>Apreciación!J10</f>
        <v>8.3832335329341312E-2</v>
      </c>
      <c r="L27" s="205">
        <f>Apreciación!K10</f>
        <v>4.1916167664670656E-2</v>
      </c>
      <c r="M27" s="18">
        <f t="shared" si="4"/>
        <v>3.2152694610778445</v>
      </c>
      <c r="N27" s="326"/>
      <c r="O27" s="325"/>
      <c r="P27" s="325"/>
      <c r="Q27" s="325"/>
      <c r="R27" s="17" t="str">
        <f t="shared" si="1"/>
        <v>D</v>
      </c>
      <c r="S27" s="329"/>
      <c r="T27" s="328"/>
      <c r="U27" s="328"/>
      <c r="V27" s="328"/>
    </row>
    <row r="28" spans="1:22" ht="24" x14ac:dyDescent="0.25">
      <c r="A28" s="343"/>
      <c r="B28" s="343"/>
      <c r="C28" s="334"/>
      <c r="D28" s="331"/>
      <c r="E28" s="62" t="str">
        <f>Apreciación!A106</f>
        <v>Docentes</v>
      </c>
      <c r="F28" s="11" t="str">
        <f>Apreciación!E106</f>
        <v>Cuenta de 5. Conozco el proyecto educativo (PEP) del programa académico al cual pertenezco.</v>
      </c>
      <c r="G28" s="205">
        <f>Apreciación!F106</f>
        <v>3.7037037037037035E-2</v>
      </c>
      <c r="H28" s="205">
        <f>Apreciación!G106</f>
        <v>0</v>
      </c>
      <c r="I28" s="205">
        <f>Apreciación!H106</f>
        <v>0.18518518518518517</v>
      </c>
      <c r="J28" s="205">
        <f>Apreciación!I106</f>
        <v>0.33333333333333331</v>
      </c>
      <c r="K28" s="205">
        <f>Apreciación!J106</f>
        <v>0.44444444444444442</v>
      </c>
      <c r="L28" s="205">
        <f>Apreciación!K106</f>
        <v>0</v>
      </c>
      <c r="M28" s="18">
        <f t="shared" si="4"/>
        <v>4.2592592592592595</v>
      </c>
      <c r="N28" s="324">
        <f>AVERAGE(M28:M29)</f>
        <v>4.0629629629629633</v>
      </c>
      <c r="O28" s="325"/>
      <c r="P28" s="325"/>
      <c r="Q28" s="325"/>
      <c r="R28" s="17" t="str">
        <f t="shared" si="1"/>
        <v>B</v>
      </c>
      <c r="S28" s="327" t="str">
        <f t="shared" si="2"/>
        <v>B</v>
      </c>
      <c r="T28" s="328"/>
      <c r="U28" s="328"/>
      <c r="V28" s="328"/>
    </row>
    <row r="29" spans="1:22" ht="36" x14ac:dyDescent="0.25">
      <c r="A29" s="343"/>
      <c r="B29" s="343"/>
      <c r="C29" s="334"/>
      <c r="D29" s="331"/>
      <c r="E29" s="62" t="str">
        <f>Apreciación!A107</f>
        <v>Docentes</v>
      </c>
      <c r="F29" s="11" t="str">
        <f>Apreciación!E107</f>
        <v>Cuenta de 6. He participado en la elaboración, discusión y actualización del Proyecto Educativo de Programa.</v>
      </c>
      <c r="G29" s="205">
        <f>Apreciación!F107</f>
        <v>0.14814814814814814</v>
      </c>
      <c r="H29" s="205">
        <f>Apreciación!G107</f>
        <v>0</v>
      </c>
      <c r="I29" s="205">
        <f>Apreciación!H107</f>
        <v>0.18518518518518517</v>
      </c>
      <c r="J29" s="205">
        <f>Apreciación!I107</f>
        <v>0.1111111111111111</v>
      </c>
      <c r="K29" s="205">
        <f>Apreciación!J107</f>
        <v>0.51851851851851849</v>
      </c>
      <c r="L29" s="205">
        <f>Apreciación!K107</f>
        <v>3.7037037037037035E-2</v>
      </c>
      <c r="M29" s="18">
        <f t="shared" si="4"/>
        <v>3.8666666666666667</v>
      </c>
      <c r="N29" s="326"/>
      <c r="O29" s="325"/>
      <c r="P29" s="325"/>
      <c r="Q29" s="325"/>
      <c r="R29" s="17" t="str">
        <f t="shared" si="1"/>
        <v>C</v>
      </c>
      <c r="S29" s="329"/>
      <c r="T29" s="328"/>
      <c r="U29" s="328"/>
      <c r="V29" s="328"/>
    </row>
    <row r="30" spans="1:22" ht="36" x14ac:dyDescent="0.25">
      <c r="A30" s="343"/>
      <c r="B30" s="343"/>
      <c r="C30" s="335"/>
      <c r="D30" s="332"/>
      <c r="E30" s="62" t="str">
        <f>Apreciación!A224</f>
        <v>Administrativos</v>
      </c>
      <c r="F30" s="11" t="str">
        <f>Apreciación!E224</f>
        <v>Cuenta de 5. Conozco el Proyecto Educativo (PEP) de los programas académicos con los cuales me he relacionado.</v>
      </c>
      <c r="G30" s="205">
        <f>Apreciación!F224</f>
        <v>2.6315789473684209E-2</v>
      </c>
      <c r="H30" s="205">
        <f>Apreciación!G224</f>
        <v>6.1403508771929821E-2</v>
      </c>
      <c r="I30" s="205">
        <f>Apreciación!H224</f>
        <v>0.2982456140350877</v>
      </c>
      <c r="J30" s="205">
        <f>Apreciación!I224</f>
        <v>0.30701754385964913</v>
      </c>
      <c r="K30" s="205">
        <f>Apreciación!J224</f>
        <v>0.14912280701754385</v>
      </c>
      <c r="L30" s="205">
        <f>Apreciación!K224</f>
        <v>0.15789473684210525</v>
      </c>
      <c r="M30" s="18">
        <f t="shared" si="4"/>
        <v>3.3271929824561406</v>
      </c>
      <c r="N30" s="63">
        <f>AVERAGE(M30)</f>
        <v>3.3271929824561406</v>
      </c>
      <c r="O30" s="326"/>
      <c r="P30" s="325"/>
      <c r="Q30" s="325"/>
      <c r="R30" s="17" t="str">
        <f t="shared" si="1"/>
        <v>D</v>
      </c>
      <c r="S30" s="17" t="str">
        <f t="shared" si="2"/>
        <v>D</v>
      </c>
      <c r="T30" s="329"/>
      <c r="U30" s="328"/>
      <c r="V30" s="328"/>
    </row>
    <row r="31" spans="1:22" ht="84" x14ac:dyDescent="0.25">
      <c r="A31" s="343"/>
      <c r="B31" s="343"/>
      <c r="C31" s="58" t="str">
        <f>Final!E10</f>
        <v>c</v>
      </c>
      <c r="D31" s="59" t="str">
        <f>Final!F10</f>
        <v>Modelo pedagógico o concepción de aprendizaje que sustentan la metodología de enseñanza en que se ofrece el proyecto curricular evaluado. Los fundamentos pedagógicos o concepciones de aprendizaje asumidos por el proyecto curricular son coherentes e inciden en las metodologías de enseñanza.</v>
      </c>
      <c r="E31" s="61" t="s">
        <v>64</v>
      </c>
      <c r="F31" s="61" t="s">
        <v>64</v>
      </c>
      <c r="G31" s="204" t="s">
        <v>64</v>
      </c>
      <c r="H31" s="204" t="s">
        <v>64</v>
      </c>
      <c r="I31" s="204" t="s">
        <v>64</v>
      </c>
      <c r="J31" s="204" t="s">
        <v>64</v>
      </c>
      <c r="K31" s="204" t="s">
        <v>64</v>
      </c>
      <c r="L31" s="204" t="s">
        <v>64</v>
      </c>
      <c r="M31" s="18" t="s">
        <v>64</v>
      </c>
      <c r="N31" s="18" t="s">
        <v>64</v>
      </c>
      <c r="O31" s="18" t="s">
        <v>64</v>
      </c>
      <c r="P31" s="325"/>
      <c r="Q31" s="325"/>
      <c r="R31" s="17" t="str">
        <f t="shared" si="1"/>
        <v>NA</v>
      </c>
      <c r="S31" s="17" t="str">
        <f t="shared" si="2"/>
        <v>NA</v>
      </c>
      <c r="T31" s="17" t="str">
        <f t="shared" si="3"/>
        <v>NA</v>
      </c>
      <c r="U31" s="328"/>
      <c r="V31" s="328"/>
    </row>
    <row r="32" spans="1:22" ht="36" x14ac:dyDescent="0.25">
      <c r="A32" s="343"/>
      <c r="B32" s="344"/>
      <c r="C32" s="58" t="str">
        <f>Final!E11</f>
        <v>d</v>
      </c>
      <c r="D32" s="59" t="str">
        <f>Final!F11</f>
        <v>Coherencia entre el Proyecto Educativo del proyecto curricular y las actividades académicas desarrolladas.</v>
      </c>
      <c r="E32" s="61" t="s">
        <v>64</v>
      </c>
      <c r="F32" s="61" t="s">
        <v>64</v>
      </c>
      <c r="G32" s="204" t="s">
        <v>64</v>
      </c>
      <c r="H32" s="204" t="s">
        <v>64</v>
      </c>
      <c r="I32" s="204" t="s">
        <v>64</v>
      </c>
      <c r="J32" s="204" t="s">
        <v>64</v>
      </c>
      <c r="K32" s="204" t="s">
        <v>64</v>
      </c>
      <c r="L32" s="204" t="s">
        <v>64</v>
      </c>
      <c r="M32" s="18" t="s">
        <v>64</v>
      </c>
      <c r="N32" s="18" t="s">
        <v>64</v>
      </c>
      <c r="O32" s="18" t="s">
        <v>64</v>
      </c>
      <c r="P32" s="326"/>
      <c r="Q32" s="325"/>
      <c r="R32" s="17" t="str">
        <f t="shared" si="1"/>
        <v>NA</v>
      </c>
      <c r="S32" s="17" t="str">
        <f t="shared" si="2"/>
        <v>NA</v>
      </c>
      <c r="T32" s="17" t="str">
        <f t="shared" si="3"/>
        <v>NA</v>
      </c>
      <c r="U32" s="329"/>
      <c r="V32" s="328"/>
    </row>
    <row r="33" spans="1:22" ht="48" x14ac:dyDescent="0.25">
      <c r="A33" s="343"/>
      <c r="B33" s="342">
        <v>3</v>
      </c>
      <c r="C33" s="58" t="str">
        <f>Final!E12</f>
        <v>a</v>
      </c>
      <c r="D33" s="59" t="str">
        <f>Final!F12</f>
        <v>Análisis realizados sobre las tendencias y líneas de desarrollo de la disciplina o profesión en el ámbito local, regional, nacional e internacional, y su incidencia en el proyecto curricular.</v>
      </c>
      <c r="E33" s="61" t="s">
        <v>64</v>
      </c>
      <c r="F33" s="61" t="s">
        <v>64</v>
      </c>
      <c r="G33" s="204" t="s">
        <v>64</v>
      </c>
      <c r="H33" s="204" t="s">
        <v>64</v>
      </c>
      <c r="I33" s="204" t="s">
        <v>64</v>
      </c>
      <c r="J33" s="204" t="s">
        <v>64</v>
      </c>
      <c r="K33" s="204" t="s">
        <v>64</v>
      </c>
      <c r="L33" s="204" t="s">
        <v>64</v>
      </c>
      <c r="M33" s="18" t="s">
        <v>64</v>
      </c>
      <c r="N33" s="18" t="s">
        <v>64</v>
      </c>
      <c r="O33" s="18" t="s">
        <v>64</v>
      </c>
      <c r="P33" s="324">
        <f>AVERAGE(O33:O43)</f>
        <v>4.3189102564102573</v>
      </c>
      <c r="Q33" s="325"/>
      <c r="R33" s="17" t="str">
        <f t="shared" si="1"/>
        <v>NA</v>
      </c>
      <c r="S33" s="17" t="str">
        <f t="shared" si="2"/>
        <v>NA</v>
      </c>
      <c r="T33" s="17" t="str">
        <f t="shared" si="3"/>
        <v>NA</v>
      </c>
      <c r="U33" s="327" t="str">
        <f>IF(((P33&gt;=$Z$4)*AND(P33&lt;=$AA$4)),$Y$4,IF(((P33&gt;$AA$4)*AND(P33&lt;=$AA$5)),$Y$5,IF(((P33&gt;$AA$5)*AND(P33&lt;=$AA$6)),$Y$6,IF(((P33&gt;$AA$6)*AND(P33&lt;=$AA$7)),$Y$7,IF(((P33&gt;$AA$7)*AND(P33&lt;=$AA$8)),$Y$8,IF(EXACT(P33,$Y$9),$Z$9))))))</f>
        <v>B</v>
      </c>
      <c r="V33" s="328"/>
    </row>
    <row r="34" spans="1:22" ht="108" x14ac:dyDescent="0.25">
      <c r="A34" s="343"/>
      <c r="B34" s="343"/>
      <c r="C34" s="58" t="str">
        <f>Final!E13</f>
        <v>b</v>
      </c>
      <c r="D34" s="59" t="str">
        <f>Final!F13</f>
        <v>Estudios orientados a identificar las necesidades y requerimientos del entorno laboral (local, regional y nacional) en términos de requerimientos de formación del recurso humano en los ámbitos productivos, educativos, artísticos, tecnológicos, de talento humano, competitividad, etc. propios del campo de conocimiento del proyecto curricular. Acciones del proyecto curricular para atenderlos.</v>
      </c>
      <c r="E34" s="61" t="s">
        <v>64</v>
      </c>
      <c r="F34" s="61" t="s">
        <v>64</v>
      </c>
      <c r="G34" s="204" t="s">
        <v>64</v>
      </c>
      <c r="H34" s="204" t="s">
        <v>64</v>
      </c>
      <c r="I34" s="204" t="s">
        <v>64</v>
      </c>
      <c r="J34" s="204" t="s">
        <v>64</v>
      </c>
      <c r="K34" s="204" t="s">
        <v>64</v>
      </c>
      <c r="L34" s="204" t="s">
        <v>64</v>
      </c>
      <c r="M34" s="18" t="s">
        <v>64</v>
      </c>
      <c r="N34" s="18" t="s">
        <v>64</v>
      </c>
      <c r="O34" s="18" t="s">
        <v>64</v>
      </c>
      <c r="P34" s="354"/>
      <c r="Q34" s="325"/>
      <c r="R34" s="17" t="str">
        <f t="shared" si="1"/>
        <v>NA</v>
      </c>
      <c r="S34" s="17" t="str">
        <f t="shared" si="2"/>
        <v>NA</v>
      </c>
      <c r="T34" s="17" t="str">
        <f t="shared" si="3"/>
        <v>NA</v>
      </c>
      <c r="U34" s="328"/>
      <c r="V34" s="328"/>
    </row>
    <row r="35" spans="1:22" ht="24" x14ac:dyDescent="0.25">
      <c r="A35" s="343"/>
      <c r="B35" s="343"/>
      <c r="C35" s="333" t="str">
        <f>Final!E14</f>
        <v>c</v>
      </c>
      <c r="D35" s="330" t="str">
        <f>Final!F14</f>
        <v>Estudios que demuestren la necesidad social, económica, cultural y educativa del proyecto curricular en la metodología que se ofrece.</v>
      </c>
      <c r="E35" s="64" t="str">
        <f>Apreciación!A209</f>
        <v>Egresados</v>
      </c>
      <c r="F35" s="180" t="str">
        <f>Apreciación!E209</f>
        <v>Cuenta de 22. El programa académico que cursé satisfizo mis expectativas personales.</v>
      </c>
      <c r="G35" s="204">
        <f>Apreciación!F209</f>
        <v>0</v>
      </c>
      <c r="H35" s="204">
        <f>Apreciación!G209</f>
        <v>0</v>
      </c>
      <c r="I35" s="204">
        <f>Apreciación!H209</f>
        <v>0.19230769230769232</v>
      </c>
      <c r="J35" s="204">
        <f>Apreciación!I209</f>
        <v>0.46153846153846156</v>
      </c>
      <c r="K35" s="204">
        <f>Apreciación!J209</f>
        <v>0.32051282051282054</v>
      </c>
      <c r="L35" s="204">
        <f>Apreciación!K209</f>
        <v>2.564102564102564E-2</v>
      </c>
      <c r="M35" s="159">
        <f>(G35*$G$2)+(H35*$H$2)+(I35*$I$2)+(J35*$J$2)+(K35*$K$2)+(L35*$L$2)</f>
        <v>4.1724358974358982</v>
      </c>
      <c r="N35" s="324">
        <f>AVERAGE(M35:M36)</f>
        <v>4.3189102564102573</v>
      </c>
      <c r="O35" s="324">
        <f>AVERAGE(N35)</f>
        <v>4.3189102564102573</v>
      </c>
      <c r="P35" s="354"/>
      <c r="Q35" s="325"/>
      <c r="R35" s="17" t="str">
        <f t="shared" si="1"/>
        <v>B</v>
      </c>
      <c r="S35" s="327" t="str">
        <f t="shared" si="2"/>
        <v>B</v>
      </c>
      <c r="T35" s="327" t="str">
        <f t="shared" si="3"/>
        <v>B</v>
      </c>
      <c r="U35" s="328"/>
      <c r="V35" s="328"/>
    </row>
    <row r="36" spans="1:22" ht="36" x14ac:dyDescent="0.25">
      <c r="A36" s="343"/>
      <c r="B36" s="343"/>
      <c r="C36" s="335"/>
      <c r="D36" s="332"/>
      <c r="E36" s="64" t="str">
        <f>Apreciación!A210</f>
        <v>Egresados</v>
      </c>
      <c r="F36" s="180" t="str">
        <f>Apreciación!E210</f>
        <v>Cuenta de 23. Considero que la formación profesional recibida ha contribuido en el desarrollo de mi proyecto de vida.</v>
      </c>
      <c r="G36" s="204">
        <f>Apreciación!F210</f>
        <v>1.282051282051282E-2</v>
      </c>
      <c r="H36" s="204">
        <f>Apreciación!G210</f>
        <v>0</v>
      </c>
      <c r="I36" s="204">
        <f>Apreciación!H210</f>
        <v>2.564102564102564E-2</v>
      </c>
      <c r="J36" s="204">
        <f>Apreciación!I210</f>
        <v>0.39743589743589741</v>
      </c>
      <c r="K36" s="204">
        <f>Apreciación!J210</f>
        <v>0.5641025641025641</v>
      </c>
      <c r="L36" s="204">
        <f>Apreciación!K210</f>
        <v>0</v>
      </c>
      <c r="M36" s="159">
        <f>(G36*$G$2)+(H36*$H$2)+(I36*$I$2)+(J36*$J$2)+(K36*$K$2)+(L36*$L$2)</f>
        <v>4.4653846153846155</v>
      </c>
      <c r="N36" s="326"/>
      <c r="O36" s="326"/>
      <c r="P36" s="354"/>
      <c r="Q36" s="325"/>
      <c r="R36" s="17" t="str">
        <f>IF(((M36&gt;=$Z$4)*AND(M36&lt;=$AA$4)),$Y$4,IF(((M36&gt;$AA$4)*AND(M36&lt;=$AA$5)),$Y$5,IF(((M36&gt;$AA$5)*AND(M36&lt;=$AA$6)),$Y$6,IF(((M36&gt;$AA$6)*AND(M36&lt;=$AA$7)),$Y$7,IF(((M36&gt;$AA$7)*AND(M36&lt;=$AA$8)),$Y$8,IF(EXACT(M36,$Y$9),$Z$9))))))</f>
        <v>B</v>
      </c>
      <c r="S36" s="329"/>
      <c r="T36" s="329"/>
      <c r="U36" s="328"/>
      <c r="V36" s="328"/>
    </row>
    <row r="37" spans="1:22" ht="24" x14ac:dyDescent="0.25">
      <c r="A37" s="343"/>
      <c r="B37" s="343"/>
      <c r="C37" s="333" t="str">
        <f>Final!E15</f>
        <v>d</v>
      </c>
      <c r="D37" s="330" t="str">
        <f>Final!F15</f>
        <v>Correspondencia entre el perfil laboral y ocupacional del sector productivo, educativo, cultural y el perfil profesional expresado en el Proyecto Educativo del proyecto curricular.</v>
      </c>
      <c r="E37" s="64" t="str">
        <f>Apreciación!A209</f>
        <v>Egresados</v>
      </c>
      <c r="F37" s="180" t="str">
        <f>Apreciación!E209</f>
        <v>Cuenta de 22. El programa académico que cursé satisfizo mis expectativas personales.</v>
      </c>
      <c r="G37" s="204">
        <f>Apreciación!F209</f>
        <v>0</v>
      </c>
      <c r="H37" s="204">
        <f>Apreciación!G209</f>
        <v>0</v>
      </c>
      <c r="I37" s="204">
        <f>Apreciación!H209</f>
        <v>0.19230769230769232</v>
      </c>
      <c r="J37" s="204">
        <f>Apreciación!I209</f>
        <v>0.46153846153846156</v>
      </c>
      <c r="K37" s="204">
        <f>Apreciación!J209</f>
        <v>0.32051282051282054</v>
      </c>
      <c r="L37" s="204">
        <f>Apreciación!K209</f>
        <v>2.564102564102564E-2</v>
      </c>
      <c r="M37" s="159">
        <f>(G37*$G$2)+(H37*$H$2)+(I37*$I$2)+(J37*$J$2)+(K37*$K$2)+(L37*$L$2)</f>
        <v>4.1724358974358982</v>
      </c>
      <c r="N37" s="324">
        <f>AVERAGE(M37:M38)</f>
        <v>4.3189102564102573</v>
      </c>
      <c r="O37" s="324">
        <f>AVERAGE(N37)</f>
        <v>4.3189102564102573</v>
      </c>
      <c r="P37" s="354"/>
      <c r="Q37" s="325"/>
      <c r="R37" s="17" t="str">
        <f t="shared" si="1"/>
        <v>B</v>
      </c>
      <c r="S37" s="327" t="str">
        <f t="shared" si="2"/>
        <v>B</v>
      </c>
      <c r="T37" s="327" t="str">
        <f t="shared" si="3"/>
        <v>B</v>
      </c>
      <c r="U37" s="328"/>
      <c r="V37" s="328"/>
    </row>
    <row r="38" spans="1:22" ht="36" x14ac:dyDescent="0.25">
      <c r="A38" s="343"/>
      <c r="B38" s="343"/>
      <c r="C38" s="335"/>
      <c r="D38" s="332"/>
      <c r="E38" s="64" t="str">
        <f>Apreciación!A210</f>
        <v>Egresados</v>
      </c>
      <c r="F38" s="180" t="str">
        <f>Apreciación!E210</f>
        <v>Cuenta de 23. Considero que la formación profesional recibida ha contribuido en el desarrollo de mi proyecto de vida.</v>
      </c>
      <c r="G38" s="204">
        <f>Apreciación!F210</f>
        <v>1.282051282051282E-2</v>
      </c>
      <c r="H38" s="204">
        <f>Apreciación!G210</f>
        <v>0</v>
      </c>
      <c r="I38" s="204">
        <f>Apreciación!H210</f>
        <v>2.564102564102564E-2</v>
      </c>
      <c r="J38" s="204">
        <f>Apreciación!I210</f>
        <v>0.39743589743589741</v>
      </c>
      <c r="K38" s="204">
        <f>Apreciación!J210</f>
        <v>0.5641025641025641</v>
      </c>
      <c r="L38" s="204">
        <f>Apreciación!K210</f>
        <v>0</v>
      </c>
      <c r="M38" s="159">
        <f>(G38*$G$2)+(H38*$H$2)+(I38*$I$2)+(J38*$J$2)+(K38*$K$2)+(L38*$L$2)</f>
        <v>4.4653846153846155</v>
      </c>
      <c r="N38" s="326"/>
      <c r="O38" s="326"/>
      <c r="P38" s="354"/>
      <c r="Q38" s="325"/>
      <c r="R38" s="17" t="str">
        <f>IF(((M38&gt;=$Z$4)*AND(M38&lt;=$AA$4)),$Y$4,IF(((M38&gt;$AA$4)*AND(M38&lt;=$AA$5)),$Y$5,IF(((M38&gt;$AA$5)*AND(M38&lt;=$AA$6)),$Y$6,IF(((M38&gt;$AA$6)*AND(M38&lt;=$AA$7)),$Y$7,IF(((M38&gt;$AA$7)*AND(M38&lt;=$AA$8)),$Y$8,IF(EXACT(M38,$Y$9),$Z$9))))))</f>
        <v>B</v>
      </c>
      <c r="S38" s="329"/>
      <c r="T38" s="329"/>
      <c r="U38" s="328"/>
      <c r="V38" s="328"/>
    </row>
    <row r="39" spans="1:22" ht="60" x14ac:dyDescent="0.25">
      <c r="A39" s="343"/>
      <c r="B39" s="343"/>
      <c r="C39" s="58" t="str">
        <f>Final!E16</f>
        <v>e</v>
      </c>
      <c r="D39" s="59" t="str">
        <f>Final!F16</f>
        <v>Estudios y/o proyectos formulados o en desarrollo, que propendan por la modernización, actualización y pertinencia del currículo de acuerdo con las necesidades del entorno en el cual espera incidir el proyecto curricular.</v>
      </c>
      <c r="E39" s="61" t="s">
        <v>64</v>
      </c>
      <c r="F39" s="61" t="s">
        <v>64</v>
      </c>
      <c r="G39" s="204" t="s">
        <v>64</v>
      </c>
      <c r="H39" s="204" t="s">
        <v>64</v>
      </c>
      <c r="I39" s="204" t="s">
        <v>64</v>
      </c>
      <c r="J39" s="204" t="s">
        <v>64</v>
      </c>
      <c r="K39" s="204" t="s">
        <v>64</v>
      </c>
      <c r="L39" s="204" t="s">
        <v>64</v>
      </c>
      <c r="M39" s="18" t="s">
        <v>64</v>
      </c>
      <c r="N39" s="18" t="s">
        <v>64</v>
      </c>
      <c r="O39" s="18" t="s">
        <v>64</v>
      </c>
      <c r="P39" s="354"/>
      <c r="Q39" s="325"/>
      <c r="R39" s="17" t="str">
        <f t="shared" si="1"/>
        <v>NA</v>
      </c>
      <c r="S39" s="17" t="str">
        <f t="shared" si="2"/>
        <v>NA</v>
      </c>
      <c r="T39" s="17" t="str">
        <f t="shared" si="3"/>
        <v>NA</v>
      </c>
      <c r="U39" s="328"/>
      <c r="V39" s="328"/>
    </row>
    <row r="40" spans="1:22" ht="36" x14ac:dyDescent="0.25">
      <c r="A40" s="343"/>
      <c r="B40" s="343"/>
      <c r="C40" s="58" t="str">
        <f>Final!E17</f>
        <v>f</v>
      </c>
      <c r="D40" s="59" t="str">
        <f>Final!F17</f>
        <v>Estudios actualizados sobre las necesidades formativas en la región de influencia del proyecto curricular (ciudad región y país).</v>
      </c>
      <c r="E40" s="61" t="s">
        <v>64</v>
      </c>
      <c r="F40" s="61" t="s">
        <v>64</v>
      </c>
      <c r="G40" s="204" t="s">
        <v>64</v>
      </c>
      <c r="H40" s="204" t="s">
        <v>64</v>
      </c>
      <c r="I40" s="204" t="s">
        <v>64</v>
      </c>
      <c r="J40" s="204" t="s">
        <v>64</v>
      </c>
      <c r="K40" s="204" t="s">
        <v>64</v>
      </c>
      <c r="L40" s="204" t="s">
        <v>64</v>
      </c>
      <c r="M40" s="18" t="s">
        <v>64</v>
      </c>
      <c r="N40" s="18" t="s">
        <v>64</v>
      </c>
      <c r="O40" s="18" t="s">
        <v>64</v>
      </c>
      <c r="P40" s="354"/>
      <c r="Q40" s="325"/>
      <c r="R40" s="17" t="str">
        <f t="shared" si="1"/>
        <v>NA</v>
      </c>
      <c r="S40" s="17" t="str">
        <f t="shared" si="2"/>
        <v>NA</v>
      </c>
      <c r="T40" s="17" t="str">
        <f t="shared" si="3"/>
        <v>NA</v>
      </c>
      <c r="U40" s="328"/>
      <c r="V40" s="328"/>
    </row>
    <row r="41" spans="1:22" ht="48" x14ac:dyDescent="0.25">
      <c r="A41" s="343"/>
      <c r="B41" s="343"/>
      <c r="C41" s="58" t="str">
        <f>Final!E18</f>
        <v>g</v>
      </c>
      <c r="D41" s="59" t="str">
        <f>Final!F18</f>
        <v>Cambios en el plan de estudios, resultantes de experiencias relativas al análisis y propuestas de solución a los problemas del contexto (ciudad región)</v>
      </c>
      <c r="E41" s="61" t="s">
        <v>64</v>
      </c>
      <c r="F41" s="61" t="s">
        <v>64</v>
      </c>
      <c r="G41" s="204" t="s">
        <v>64</v>
      </c>
      <c r="H41" s="204" t="s">
        <v>64</v>
      </c>
      <c r="I41" s="204" t="s">
        <v>64</v>
      </c>
      <c r="J41" s="204" t="s">
        <v>64</v>
      </c>
      <c r="K41" s="204" t="s">
        <v>64</v>
      </c>
      <c r="L41" s="204" t="s">
        <v>64</v>
      </c>
      <c r="M41" s="18" t="s">
        <v>64</v>
      </c>
      <c r="N41" s="18" t="s">
        <v>64</v>
      </c>
      <c r="O41" s="18" t="s">
        <v>64</v>
      </c>
      <c r="P41" s="354"/>
      <c r="Q41" s="325"/>
      <c r="R41" s="17" t="str">
        <f t="shared" si="1"/>
        <v>NA</v>
      </c>
      <c r="S41" s="17" t="str">
        <f t="shared" si="2"/>
        <v>NA</v>
      </c>
      <c r="T41" s="17" t="str">
        <f t="shared" si="3"/>
        <v>NA</v>
      </c>
      <c r="U41" s="328"/>
      <c r="V41" s="328"/>
    </row>
    <row r="42" spans="1:22" ht="84" x14ac:dyDescent="0.25">
      <c r="A42" s="343"/>
      <c r="B42" s="343"/>
      <c r="C42" s="58" t="str">
        <f>Final!E19</f>
        <v>h</v>
      </c>
      <c r="D42" s="59" t="str">
        <f>Final!F19</f>
        <v>Proyectos que adelanta el proyecto curricular, mediante sus funciones de docencia, investigación, innovación, creación artística y cultural, extensión y proyección social tendientes a ejercer un impacto sobre el medio, en desarrollo de lo expresado en el Proyecto Educativo del proyecto curricular.</v>
      </c>
      <c r="E42" s="61" t="s">
        <v>64</v>
      </c>
      <c r="F42" s="61" t="s">
        <v>64</v>
      </c>
      <c r="G42" s="204" t="s">
        <v>64</v>
      </c>
      <c r="H42" s="204" t="s">
        <v>64</v>
      </c>
      <c r="I42" s="204" t="s">
        <v>64</v>
      </c>
      <c r="J42" s="204" t="s">
        <v>64</v>
      </c>
      <c r="K42" s="204" t="s">
        <v>64</v>
      </c>
      <c r="L42" s="204" t="s">
        <v>64</v>
      </c>
      <c r="M42" s="18" t="s">
        <v>64</v>
      </c>
      <c r="N42" s="18" t="s">
        <v>64</v>
      </c>
      <c r="O42" s="18" t="s">
        <v>64</v>
      </c>
      <c r="P42" s="354"/>
      <c r="Q42" s="325"/>
      <c r="R42" s="17" t="str">
        <f t="shared" si="1"/>
        <v>NA</v>
      </c>
      <c r="S42" s="17" t="str">
        <f t="shared" si="2"/>
        <v>NA</v>
      </c>
      <c r="T42" s="17" t="str">
        <f t="shared" si="3"/>
        <v>NA</v>
      </c>
      <c r="U42" s="328"/>
      <c r="V42" s="328"/>
    </row>
    <row r="43" spans="1:22" ht="60" x14ac:dyDescent="0.25">
      <c r="A43" s="344"/>
      <c r="B43" s="344"/>
      <c r="C43" s="58" t="str">
        <f>Final!E20</f>
        <v>i</v>
      </c>
      <c r="D43" s="59" t="str">
        <f>Final!F20</f>
        <v>Estudios orientados a evaluar el impacto del proyecto curricular con respecto al cumplimiento de sus propósitos y objetivos, así como la incidencia en el entorno social y/o cultural y su grupo de referencia disciplinar o profesional.</v>
      </c>
      <c r="E43" s="61" t="s">
        <v>64</v>
      </c>
      <c r="F43" s="61" t="s">
        <v>64</v>
      </c>
      <c r="G43" s="204" t="s">
        <v>64</v>
      </c>
      <c r="H43" s="204" t="s">
        <v>64</v>
      </c>
      <c r="I43" s="204" t="s">
        <v>64</v>
      </c>
      <c r="J43" s="204" t="s">
        <v>64</v>
      </c>
      <c r="K43" s="204" t="s">
        <v>64</v>
      </c>
      <c r="L43" s="204" t="s">
        <v>64</v>
      </c>
      <c r="M43" s="18" t="s">
        <v>64</v>
      </c>
      <c r="N43" s="18" t="s">
        <v>64</v>
      </c>
      <c r="O43" s="18" t="s">
        <v>64</v>
      </c>
      <c r="P43" s="355"/>
      <c r="Q43" s="326"/>
      <c r="R43" s="17" t="str">
        <f t="shared" si="1"/>
        <v>NA</v>
      </c>
      <c r="S43" s="17" t="str">
        <f t="shared" si="2"/>
        <v>NA</v>
      </c>
      <c r="T43" s="17" t="str">
        <f t="shared" si="3"/>
        <v>NA</v>
      </c>
      <c r="U43" s="329"/>
      <c r="V43" s="329"/>
    </row>
    <row r="44" spans="1:22" ht="48" x14ac:dyDescent="0.25">
      <c r="A44" s="342">
        <v>2</v>
      </c>
      <c r="B44" s="342">
        <v>4</v>
      </c>
      <c r="C44" s="333" t="str">
        <f>Final!E21</f>
        <v>a</v>
      </c>
      <c r="D44" s="330" t="str">
        <f>Final!F21</f>
        <v>Mecanismos de ingreso -selección y admisión- de estudiantes utilizados por el proyecto curricular en los últimos 5 años, que garantizan la transparencia y la equidad en el proceso de selección de los estudiantes.</v>
      </c>
      <c r="E44" s="64" t="str">
        <f>Apreciación!A11</f>
        <v>Estudiantes</v>
      </c>
      <c r="F44" s="64" t="str">
        <f>Apreciación!E11</f>
        <v>Cuenta de 7. Conozco el proceso de admisiones a cada uno de los niveles de formación de los programas académicos por ciclos ofrecidos en la Facultad Tecnológica.</v>
      </c>
      <c r="G44" s="204">
        <f>Apreciación!F11</f>
        <v>2.9940119760479042E-2</v>
      </c>
      <c r="H44" s="204">
        <f>Apreciación!G11</f>
        <v>5.3892215568862277E-2</v>
      </c>
      <c r="I44" s="204">
        <f>Apreciación!H11</f>
        <v>0.23952095808383234</v>
      </c>
      <c r="J44" s="204">
        <f>Apreciación!I11</f>
        <v>0.32934131736526945</v>
      </c>
      <c r="K44" s="204">
        <f>Apreciación!J11</f>
        <v>0.33532934131736525</v>
      </c>
      <c r="L44" s="204">
        <f>Apreciación!K11</f>
        <v>1.1976047904191617E-2</v>
      </c>
      <c r="M44" s="18">
        <f t="shared" ref="M44:M49" si="5">(G44*$G$2)+(H44*$H$2)+(I44*$I$2)+(J44*$J$2)+(K44*$K$2)+(L44*$L$2)</f>
        <v>4.0721556886227539</v>
      </c>
      <c r="N44" s="324">
        <f>AVERAGE(M44:M45)</f>
        <v>3.9681137724550894</v>
      </c>
      <c r="O44" s="324">
        <f>(N44*$AE$5)+(N46*$AE$4)+(N48*$AE$6)+(AVERAGE(N44:N49)*$AE$8)+(AVERAGE(N44:N49)*$AE$7)</f>
        <v>4.0807628972823586</v>
      </c>
      <c r="P44" s="324">
        <f>AVERAGE(O44)</f>
        <v>4.0807628972823586</v>
      </c>
      <c r="Q44" s="324">
        <f>(P44*Ponderación!D5)+(P53*Ponderación!D6)+(P57*Ponderación!D7)+(P66*Ponderación!D8)</f>
        <v>3.8748998517388302</v>
      </c>
      <c r="R44" s="17" t="str">
        <f t="shared" si="1"/>
        <v>B</v>
      </c>
      <c r="S44" s="327" t="str">
        <f t="shared" si="2"/>
        <v>C</v>
      </c>
      <c r="T44" s="327" t="str">
        <f t="shared" si="3"/>
        <v>B</v>
      </c>
      <c r="U44" s="327" t="str">
        <f>IF(((P44&gt;=$Z$4)*AND(P44&lt;=$AA$4)),$Y$4,IF(((P44&gt;$AA$4)*AND(P44&lt;=$AA$5)),$Y$5,IF(((P44&gt;$AA$5)*AND(P44&lt;=$AA$6)),$Y$6,IF(((P44&gt;$AA$6)*AND(P44&lt;=$AA$7)),$Y$7,IF(((P44&gt;$AA$7)*AND(P44&lt;=$AA$8)),$Y$8,IF(EXACT(P44,$Y$9),$Z$9))))))</f>
        <v>B</v>
      </c>
      <c r="V44" s="327" t="str">
        <f>IF(((Q44&gt;=$Z$4)*AND(Q44&lt;=$AA$4)),$Y$4,IF(((Q44&gt;$AA$4)*AND(Q44&lt;=$AA$5)),$Y$5,IF(((Q44&gt;$AA$5)*AND(Q44&lt;=$AA$6)),$Y$6,IF(((Q44&gt;$AA$6)*AND(Q44&lt;=$AA$7)),$Y$7,IF(((Q44&gt;$AA$7)*AND(Q44&lt;=$AA$8)),$Y$8,IF(EXACT(Q44,$Y$9),$Z$9))))))</f>
        <v>C</v>
      </c>
    </row>
    <row r="45" spans="1:22" ht="24" x14ac:dyDescent="0.25">
      <c r="A45" s="343"/>
      <c r="B45" s="343"/>
      <c r="C45" s="334"/>
      <c r="D45" s="331"/>
      <c r="E45" s="64" t="str">
        <f>Apreciación!A12</f>
        <v>Estudiantes</v>
      </c>
      <c r="F45" s="64" t="str">
        <f>Apreciación!E12</f>
        <v>Cuenta de 8. Considero que el proceso admisión es transparente y equitativo.</v>
      </c>
      <c r="G45" s="204">
        <f>Apreciación!F12</f>
        <v>3.5928143712574849E-2</v>
      </c>
      <c r="H45" s="204">
        <f>Apreciación!G12</f>
        <v>5.3892215568862277E-2</v>
      </c>
      <c r="I45" s="204">
        <f>Apreciación!H12</f>
        <v>0.20359281437125748</v>
      </c>
      <c r="J45" s="204">
        <f>Apreciación!I12</f>
        <v>0.32934131736526945</v>
      </c>
      <c r="K45" s="204">
        <f>Apreciación!J12</f>
        <v>0.31736526946107785</v>
      </c>
      <c r="L45" s="204">
        <f>Apreciación!K12</f>
        <v>5.9880239520958084E-2</v>
      </c>
      <c r="M45" s="18">
        <f t="shared" si="5"/>
        <v>3.864071856287425</v>
      </c>
      <c r="N45" s="326"/>
      <c r="O45" s="325"/>
      <c r="P45" s="325"/>
      <c r="Q45" s="325"/>
      <c r="R45" s="17" t="str">
        <f t="shared" si="1"/>
        <v>C</v>
      </c>
      <c r="S45" s="329"/>
      <c r="T45" s="328"/>
      <c r="U45" s="328"/>
      <c r="V45" s="328"/>
    </row>
    <row r="46" spans="1:22" ht="48" x14ac:dyDescent="0.25">
      <c r="A46" s="343"/>
      <c r="B46" s="343"/>
      <c r="C46" s="334"/>
      <c r="D46" s="331"/>
      <c r="E46" s="64" t="str">
        <f>Apreciación!A108</f>
        <v>Docentes</v>
      </c>
      <c r="F46" s="64" t="str">
        <f>Apreciación!E108</f>
        <v>Cuenta de 7. Considero que el proceso de admisión a cada uno de los niveles de formación de los programas académicos por ciclos es el apropiado.</v>
      </c>
      <c r="G46" s="204">
        <f>Apreciación!F108</f>
        <v>0</v>
      </c>
      <c r="H46" s="204">
        <f>Apreciación!G108</f>
        <v>0.14814814814814814</v>
      </c>
      <c r="I46" s="204">
        <f>Apreciación!H108</f>
        <v>0.14814814814814814</v>
      </c>
      <c r="J46" s="204">
        <f>Apreciación!I108</f>
        <v>0.37037037037037035</v>
      </c>
      <c r="K46" s="204">
        <f>Apreciación!J108</f>
        <v>0.33333333333333331</v>
      </c>
      <c r="L46" s="204">
        <f>Apreciación!K108</f>
        <v>0</v>
      </c>
      <c r="M46" s="18">
        <f t="shared" si="5"/>
        <v>4.1240740740740742</v>
      </c>
      <c r="N46" s="324">
        <f>AVERAGE(M46:M47)</f>
        <v>4.3129629629629633</v>
      </c>
      <c r="O46" s="325"/>
      <c r="P46" s="325"/>
      <c r="Q46" s="325"/>
      <c r="R46" s="17" t="str">
        <f t="shared" si="1"/>
        <v>B</v>
      </c>
      <c r="S46" s="327" t="str">
        <f t="shared" si="2"/>
        <v>B</v>
      </c>
      <c r="T46" s="328"/>
      <c r="U46" s="328"/>
      <c r="V46" s="328"/>
    </row>
    <row r="47" spans="1:22" ht="36" x14ac:dyDescent="0.25">
      <c r="A47" s="343"/>
      <c r="B47" s="343"/>
      <c r="C47" s="334"/>
      <c r="D47" s="331"/>
      <c r="E47" s="64" t="str">
        <f>Apreciación!A109</f>
        <v>Docentes</v>
      </c>
      <c r="F47" s="64" t="str">
        <f>Apreciación!E109</f>
        <v>Cuenta de 8. Considero que el proceso de admisión de estudiantes a los programas de la Facultad Tecnológica es transparente y equitativo.</v>
      </c>
      <c r="G47" s="204">
        <f>Apreciación!F109</f>
        <v>0</v>
      </c>
      <c r="H47" s="204">
        <f>Apreciación!G109</f>
        <v>3.7037037037037035E-2</v>
      </c>
      <c r="I47" s="204">
        <f>Apreciación!H109</f>
        <v>3.7037037037037035E-2</v>
      </c>
      <c r="J47" s="204">
        <f>Apreciación!I109</f>
        <v>0.25925925925925924</v>
      </c>
      <c r="K47" s="204">
        <f>Apreciación!J109</f>
        <v>0.66666666666666663</v>
      </c>
      <c r="L47" s="204">
        <f>Apreciación!K109</f>
        <v>0</v>
      </c>
      <c r="M47" s="18">
        <f t="shared" si="5"/>
        <v>4.5018518518518515</v>
      </c>
      <c r="N47" s="326"/>
      <c r="O47" s="325"/>
      <c r="P47" s="325"/>
      <c r="Q47" s="325"/>
      <c r="R47" s="17" t="str">
        <f t="shared" si="1"/>
        <v>A</v>
      </c>
      <c r="S47" s="329"/>
      <c r="T47" s="328"/>
      <c r="U47" s="328"/>
      <c r="V47" s="328"/>
    </row>
    <row r="48" spans="1:22" ht="24" x14ac:dyDescent="0.25">
      <c r="A48" s="343"/>
      <c r="B48" s="343"/>
      <c r="C48" s="334"/>
      <c r="D48" s="331"/>
      <c r="E48" s="64" t="str">
        <f>Apreciación!A190</f>
        <v>Egresados</v>
      </c>
      <c r="F48" s="180" t="str">
        <f>Apreciación!E190</f>
        <v>Cuenta de 1. Conozco la misión de la Universidad Distrital Francisco José de Caldas.</v>
      </c>
      <c r="G48" s="204">
        <f>Apreciación!F190</f>
        <v>6.4102564102564097E-2</v>
      </c>
      <c r="H48" s="204">
        <f>Apreciación!G190</f>
        <v>0</v>
      </c>
      <c r="I48" s="204">
        <f>Apreciación!H190</f>
        <v>0.16666666666666666</v>
      </c>
      <c r="J48" s="204">
        <f>Apreciación!I190</f>
        <v>0.38461538461538464</v>
      </c>
      <c r="K48" s="204">
        <f>Apreciación!J190</f>
        <v>0.30769230769230771</v>
      </c>
      <c r="L48" s="204">
        <f>Apreciación!K190</f>
        <v>7.6923076923076927E-2</v>
      </c>
      <c r="M48" s="18">
        <f t="shared" si="5"/>
        <v>3.8025641025641028</v>
      </c>
      <c r="N48" s="324">
        <f>AVERAGE(M48:M49)</f>
        <v>3.7554487179487186</v>
      </c>
      <c r="O48" s="325"/>
      <c r="P48" s="325"/>
      <c r="Q48" s="325"/>
      <c r="R48" s="17" t="str">
        <f t="shared" si="1"/>
        <v>C</v>
      </c>
      <c r="S48" s="327" t="str">
        <f t="shared" si="2"/>
        <v>C</v>
      </c>
      <c r="T48" s="328"/>
      <c r="U48" s="328"/>
      <c r="V48" s="328"/>
    </row>
    <row r="49" spans="1:22" ht="36" x14ac:dyDescent="0.25">
      <c r="A49" s="343"/>
      <c r="B49" s="343"/>
      <c r="C49" s="335"/>
      <c r="D49" s="332"/>
      <c r="E49" s="64" t="str">
        <f>Apreciación!A191</f>
        <v>Egresados</v>
      </c>
      <c r="F49" s="180" t="str">
        <f>Apreciación!E191</f>
        <v>Cuenta de 2. Me siento identificado con la misión de la Universidad Distrital Francisco José de Caldas.</v>
      </c>
      <c r="G49" s="204">
        <f>Apreciación!F191</f>
        <v>2.564102564102564E-2</v>
      </c>
      <c r="H49" s="204">
        <f>Apreciación!G191</f>
        <v>0</v>
      </c>
      <c r="I49" s="204">
        <f>Apreciación!H191</f>
        <v>0.10256410256410256</v>
      </c>
      <c r="J49" s="204">
        <f>Apreciación!I191</f>
        <v>0.44871794871794873</v>
      </c>
      <c r="K49" s="204">
        <f>Apreciación!J191</f>
        <v>0.29487179487179488</v>
      </c>
      <c r="L49" s="204">
        <f>Apreciación!K191</f>
        <v>0.12820512820512819</v>
      </c>
      <c r="M49" s="18">
        <f t="shared" si="5"/>
        <v>3.7083333333333339</v>
      </c>
      <c r="N49" s="326"/>
      <c r="O49" s="326"/>
      <c r="P49" s="325"/>
      <c r="Q49" s="325"/>
      <c r="R49" s="17" t="str">
        <f t="shared" si="1"/>
        <v>C</v>
      </c>
      <c r="S49" s="329"/>
      <c r="T49" s="329"/>
      <c r="U49" s="328"/>
      <c r="V49" s="328"/>
    </row>
    <row r="50" spans="1:22" ht="48" x14ac:dyDescent="0.25">
      <c r="A50" s="343"/>
      <c r="B50" s="343"/>
      <c r="C50" s="58" t="str">
        <f>Final!E22</f>
        <v>b</v>
      </c>
      <c r="D50" s="59" t="str">
        <f>Final!F22</f>
        <v>Estudiantes que ingresaron mediante la aplicación de reglas generales y mecanismos de admisión excepcionales, en los últimos cinco años.</v>
      </c>
      <c r="E50" s="61" t="s">
        <v>64</v>
      </c>
      <c r="F50" s="61" t="s">
        <v>64</v>
      </c>
      <c r="G50" s="204" t="s">
        <v>64</v>
      </c>
      <c r="H50" s="204" t="s">
        <v>64</v>
      </c>
      <c r="I50" s="204" t="s">
        <v>64</v>
      </c>
      <c r="J50" s="204" t="s">
        <v>64</v>
      </c>
      <c r="K50" s="204" t="s">
        <v>64</v>
      </c>
      <c r="L50" s="204" t="s">
        <v>64</v>
      </c>
      <c r="M50" s="18" t="s">
        <v>64</v>
      </c>
      <c r="N50" s="18" t="s">
        <v>64</v>
      </c>
      <c r="O50" s="18" t="s">
        <v>64</v>
      </c>
      <c r="P50" s="325"/>
      <c r="Q50" s="325"/>
      <c r="R50" s="17" t="str">
        <f t="shared" si="1"/>
        <v>NA</v>
      </c>
      <c r="S50" s="17" t="str">
        <f t="shared" si="2"/>
        <v>NA</v>
      </c>
      <c r="T50" s="17" t="str">
        <f t="shared" si="3"/>
        <v>NA</v>
      </c>
      <c r="U50" s="328"/>
      <c r="V50" s="328"/>
    </row>
    <row r="51" spans="1:22" ht="48" x14ac:dyDescent="0.25">
      <c r="A51" s="343"/>
      <c r="B51" s="343"/>
      <c r="C51" s="58" t="str">
        <f>Final!E23</f>
        <v>c</v>
      </c>
      <c r="D51" s="59" t="str">
        <f>Final!F23</f>
        <v>Existencia y utilización de sistemas y mecanismos de evaluación de los procesos de selección y admisión, y aplicación de los resultados de dicha evaluación.</v>
      </c>
      <c r="E51" s="61" t="s">
        <v>64</v>
      </c>
      <c r="F51" s="61" t="s">
        <v>64</v>
      </c>
      <c r="G51" s="204" t="s">
        <v>64</v>
      </c>
      <c r="H51" s="204" t="s">
        <v>64</v>
      </c>
      <c r="I51" s="204" t="s">
        <v>64</v>
      </c>
      <c r="J51" s="204" t="s">
        <v>64</v>
      </c>
      <c r="K51" s="204" t="s">
        <v>64</v>
      </c>
      <c r="L51" s="204" t="s">
        <v>64</v>
      </c>
      <c r="M51" s="18" t="s">
        <v>64</v>
      </c>
      <c r="N51" s="18" t="s">
        <v>64</v>
      </c>
      <c r="O51" s="18" t="s">
        <v>64</v>
      </c>
      <c r="P51" s="325"/>
      <c r="Q51" s="325"/>
      <c r="R51" s="17" t="str">
        <f t="shared" si="1"/>
        <v>NA</v>
      </c>
      <c r="S51" s="17" t="str">
        <f t="shared" si="2"/>
        <v>NA</v>
      </c>
      <c r="T51" s="17" t="str">
        <f t="shared" si="3"/>
        <v>NA</v>
      </c>
      <c r="U51" s="328"/>
      <c r="V51" s="328"/>
    </row>
    <row r="52" spans="1:22" ht="84" x14ac:dyDescent="0.25">
      <c r="A52" s="343"/>
      <c r="B52" s="344"/>
      <c r="C52" s="58" t="str">
        <f>Final!E24</f>
        <v>d</v>
      </c>
      <c r="D52" s="59" t="str">
        <f>Final!F24</f>
        <v>Requerimientos para el ingreso de estudiantes en condición de transferencia, homologación u otro proceso que amerite criterios específicos para el tránsito entre ciclos, niveles y/o instituciones. Beneficios de estos requerimientos en la formación integral de los estudiantes.</v>
      </c>
      <c r="E52" s="61" t="s">
        <v>64</v>
      </c>
      <c r="F52" s="61" t="s">
        <v>64</v>
      </c>
      <c r="G52" s="204" t="s">
        <v>64</v>
      </c>
      <c r="H52" s="204" t="s">
        <v>64</v>
      </c>
      <c r="I52" s="204" t="s">
        <v>64</v>
      </c>
      <c r="J52" s="204" t="s">
        <v>64</v>
      </c>
      <c r="K52" s="204" t="s">
        <v>64</v>
      </c>
      <c r="L52" s="204" t="s">
        <v>64</v>
      </c>
      <c r="M52" s="18" t="s">
        <v>64</v>
      </c>
      <c r="N52" s="18" t="s">
        <v>64</v>
      </c>
      <c r="O52" s="18" t="s">
        <v>64</v>
      </c>
      <c r="P52" s="326"/>
      <c r="Q52" s="325"/>
      <c r="R52" s="17" t="str">
        <f t="shared" si="1"/>
        <v>NA</v>
      </c>
      <c r="S52" s="17" t="str">
        <f t="shared" si="2"/>
        <v>NA</v>
      </c>
      <c r="T52" s="17" t="str">
        <f t="shared" si="3"/>
        <v>NA</v>
      </c>
      <c r="U52" s="329"/>
      <c r="V52" s="328"/>
    </row>
    <row r="53" spans="1:22" ht="60" x14ac:dyDescent="0.25">
      <c r="A53" s="343"/>
      <c r="B53" s="342">
        <v>5</v>
      </c>
      <c r="C53" s="58" t="str">
        <f>Final!E25</f>
        <v>a</v>
      </c>
      <c r="D53" s="59" t="str">
        <f>Final!F25</f>
        <v>Políticas institucionales para la definición del número de estudiantes que se admiten al proyecto curricular, acorde con la cantidad de docentes, los recursos físicos y de apoyo académico disponibles.</v>
      </c>
      <c r="E53" s="61" t="s">
        <v>64</v>
      </c>
      <c r="F53" s="61" t="s">
        <v>64</v>
      </c>
      <c r="G53" s="204" t="s">
        <v>64</v>
      </c>
      <c r="H53" s="204" t="s">
        <v>64</v>
      </c>
      <c r="I53" s="204" t="s">
        <v>64</v>
      </c>
      <c r="J53" s="204" t="s">
        <v>64</v>
      </c>
      <c r="K53" s="204" t="s">
        <v>64</v>
      </c>
      <c r="L53" s="204" t="s">
        <v>64</v>
      </c>
      <c r="M53" s="18" t="s">
        <v>64</v>
      </c>
      <c r="N53" s="18" t="s">
        <v>64</v>
      </c>
      <c r="O53" s="18" t="s">
        <v>64</v>
      </c>
      <c r="P53" s="324">
        <f>AVERAGE(O53:O56)</f>
        <v>3.9562674650698604</v>
      </c>
      <c r="Q53" s="325"/>
      <c r="R53" s="17" t="str">
        <f t="shared" si="1"/>
        <v>NA</v>
      </c>
      <c r="S53" s="17" t="str">
        <f t="shared" si="2"/>
        <v>NA</v>
      </c>
      <c r="T53" s="17" t="str">
        <f t="shared" si="3"/>
        <v>NA</v>
      </c>
      <c r="U53" s="327" t="str">
        <f>IF(((P53&gt;=$Z$4)*AND(P53&lt;=$AA$4)),$Y$4,IF(((P53&gt;$AA$4)*AND(P53&lt;=$AA$5)),$Y$5,IF(((P53&gt;$AA$5)*AND(P53&lt;=$AA$6)),$Y$6,IF(((P53&gt;$AA$6)*AND(P53&lt;=$AA$7)),$Y$7,IF(((P53&gt;$AA$7)*AND(P53&lt;=$AA$8)),$Y$8,IF(EXACT(P53,$Y$9),$Z$9))))))</f>
        <v>C</v>
      </c>
      <c r="V53" s="328"/>
    </row>
    <row r="54" spans="1:22" ht="36" x14ac:dyDescent="0.25">
      <c r="A54" s="343"/>
      <c r="B54" s="343"/>
      <c r="C54" s="333" t="str">
        <f>Final!E26</f>
        <v>b</v>
      </c>
      <c r="D54" s="330" t="str">
        <f>Final!F26</f>
        <v>Apreciación de profesores y estudiantes del proyecto curricular con respecto a la relación entre el número de admitidos, el número de docentes y los recursos académicos y físicos disponibles.</v>
      </c>
      <c r="E54" s="10" t="str">
        <f>Apreciación!A13</f>
        <v>Estudiantes</v>
      </c>
      <c r="F54" s="73" t="str">
        <f>Apreciación!E13</f>
        <v>Cuenta de 9. Me siento a gusto con el número de estudiantes que se admiten y se inscriben en los diferentes espacios académicos.</v>
      </c>
      <c r="G54" s="205">
        <f>Apreciación!F13</f>
        <v>8.3832335329341312E-2</v>
      </c>
      <c r="H54" s="205">
        <f>Apreciación!G13</f>
        <v>8.9820359281437126E-2</v>
      </c>
      <c r="I54" s="205">
        <f>Apreciación!H13</f>
        <v>0.28143712574850299</v>
      </c>
      <c r="J54" s="205">
        <f>Apreciación!I13</f>
        <v>0.3413173652694611</v>
      </c>
      <c r="K54" s="205">
        <f>Apreciación!J13</f>
        <v>0.16766467065868262</v>
      </c>
      <c r="L54" s="205">
        <f>Apreciación!K13</f>
        <v>3.5928143712574849E-2</v>
      </c>
      <c r="M54" s="18">
        <f>(G54*$G$2)+(H54*$H$2)+(I54*$I$2)+(J54*$J$2)+(K54*$K$2)+(L54*$L$2)</f>
        <v>3.6787425149700601</v>
      </c>
      <c r="N54" s="63">
        <f>AVERAGE(M54)</f>
        <v>3.6787425149700601</v>
      </c>
      <c r="O54" s="324">
        <f>(N54*$AE$5)+(N55*$AE$4)+(AVERAGE(N54:N55)*$AE$6)+(AVERAGE(N54:N55)*$AE$8)+(AVERAGE(N54:N55)*$AE$7)</f>
        <v>3.9562674650698604</v>
      </c>
      <c r="P54" s="325"/>
      <c r="Q54" s="325"/>
      <c r="R54" s="17" t="str">
        <f t="shared" si="1"/>
        <v>C</v>
      </c>
      <c r="S54" s="17" t="str">
        <f t="shared" si="2"/>
        <v>C</v>
      </c>
      <c r="T54" s="327" t="str">
        <f t="shared" si="3"/>
        <v>C</v>
      </c>
      <c r="U54" s="328"/>
      <c r="V54" s="328"/>
    </row>
    <row r="55" spans="1:22" ht="36" x14ac:dyDescent="0.25">
      <c r="A55" s="343"/>
      <c r="B55" s="343"/>
      <c r="C55" s="335"/>
      <c r="D55" s="332"/>
      <c r="E55" s="10" t="str">
        <f>Apreciación!A110</f>
        <v>Docentes</v>
      </c>
      <c r="F55" s="73" t="str">
        <f>Apreciación!E110</f>
        <v>Cuenta de 9. Me siento cómodo con el número de estudiantes que se inscriben en los diferentes espacios académicos que lidero.</v>
      </c>
      <c r="G55" s="205">
        <f>Apreciación!F110</f>
        <v>3.7037037037037035E-2</v>
      </c>
      <c r="H55" s="205">
        <f>Apreciación!G110</f>
        <v>7.407407407407407E-2</v>
      </c>
      <c r="I55" s="205">
        <f>Apreciación!H110</f>
        <v>0.1111111111111111</v>
      </c>
      <c r="J55" s="205">
        <f>Apreciación!I110</f>
        <v>0.37037037037037035</v>
      </c>
      <c r="K55" s="205">
        <f>Apreciación!J110</f>
        <v>0.40740740740740738</v>
      </c>
      <c r="L55" s="205">
        <f>Apreciación!K110</f>
        <v>0</v>
      </c>
      <c r="M55" s="18">
        <f>(G55*$G$2)+(H55*$H$2)+(I55*$I$2)+(J55*$J$2)+(K55*$K$2)+(L55*$L$2)</f>
        <v>4.1833333333333336</v>
      </c>
      <c r="N55" s="63">
        <f>AVERAGE(M55)</f>
        <v>4.1833333333333336</v>
      </c>
      <c r="O55" s="326"/>
      <c r="P55" s="325"/>
      <c r="Q55" s="325"/>
      <c r="R55" s="17" t="str">
        <f t="shared" si="1"/>
        <v>B</v>
      </c>
      <c r="S55" s="17" t="str">
        <f t="shared" si="2"/>
        <v>B</v>
      </c>
      <c r="T55" s="329"/>
      <c r="U55" s="328"/>
      <c r="V55" s="328"/>
    </row>
    <row r="56" spans="1:22" ht="120" x14ac:dyDescent="0.25">
      <c r="A56" s="343"/>
      <c r="B56" s="344"/>
      <c r="C56" s="58" t="str">
        <f>Final!E27</f>
        <v>c</v>
      </c>
      <c r="D56" s="59" t="str">
        <f>Final!F27</f>
        <v>Población de estudiantes que ingresó al proyecto curricular en los últimos cinco años, puntaje promedio obtenido por los admitidos en las Pruebas de Estado, puntaje promedio estandarizado en pruebas de admisión (cuando éstas se realizan), puntaje mínimo aceptable para ingresar y capacidad de selección y absorción de estudiantes por parte del proyecto curricular (relación entre inscritos y admitidos, relación entre inscritos y matriculados).</v>
      </c>
      <c r="E56" s="61" t="s">
        <v>64</v>
      </c>
      <c r="F56" s="61" t="s">
        <v>64</v>
      </c>
      <c r="G56" s="204" t="s">
        <v>64</v>
      </c>
      <c r="H56" s="204" t="s">
        <v>64</v>
      </c>
      <c r="I56" s="204" t="s">
        <v>64</v>
      </c>
      <c r="J56" s="204" t="s">
        <v>64</v>
      </c>
      <c r="K56" s="204" t="s">
        <v>64</v>
      </c>
      <c r="L56" s="204" t="s">
        <v>64</v>
      </c>
      <c r="M56" s="18" t="s">
        <v>64</v>
      </c>
      <c r="N56" s="18" t="s">
        <v>64</v>
      </c>
      <c r="O56" s="18" t="s">
        <v>64</v>
      </c>
      <c r="P56" s="326"/>
      <c r="Q56" s="325"/>
      <c r="R56" s="17" t="str">
        <f t="shared" si="1"/>
        <v>NA</v>
      </c>
      <c r="S56" s="17" t="str">
        <f t="shared" si="2"/>
        <v>NA</v>
      </c>
      <c r="T56" s="17" t="str">
        <f t="shared" si="3"/>
        <v>NA</v>
      </c>
      <c r="U56" s="329"/>
      <c r="V56" s="328"/>
    </row>
    <row r="57" spans="1:22" ht="36" x14ac:dyDescent="0.25">
      <c r="A57" s="343"/>
      <c r="B57" s="342">
        <v>6</v>
      </c>
      <c r="C57" s="58" t="str">
        <f>Final!E28</f>
        <v>a</v>
      </c>
      <c r="D57" s="59" t="str">
        <f>Final!F28</f>
        <v>Políticas y estrategias definidas por el proyecto curricular en materia de formación integral de los estudiantes.</v>
      </c>
      <c r="E57" s="61" t="s">
        <v>64</v>
      </c>
      <c r="F57" s="61" t="s">
        <v>64</v>
      </c>
      <c r="G57" s="204" t="s">
        <v>64</v>
      </c>
      <c r="H57" s="204" t="s">
        <v>64</v>
      </c>
      <c r="I57" s="204" t="s">
        <v>64</v>
      </c>
      <c r="J57" s="204" t="s">
        <v>64</v>
      </c>
      <c r="K57" s="204" t="s">
        <v>64</v>
      </c>
      <c r="L57" s="204" t="s">
        <v>64</v>
      </c>
      <c r="M57" s="18" t="s">
        <v>64</v>
      </c>
      <c r="N57" s="18" t="s">
        <v>64</v>
      </c>
      <c r="O57" s="18" t="s">
        <v>64</v>
      </c>
      <c r="P57" s="324">
        <f>AVERAGE(O57:O65)</f>
        <v>3.9356287425149703</v>
      </c>
      <c r="Q57" s="325"/>
      <c r="R57" s="17" t="str">
        <f t="shared" si="1"/>
        <v>NA</v>
      </c>
      <c r="S57" s="17" t="str">
        <f t="shared" si="2"/>
        <v>NA</v>
      </c>
      <c r="T57" s="17" t="str">
        <f t="shared" si="3"/>
        <v>NA</v>
      </c>
      <c r="U57" s="327" t="str">
        <f>IF(((P57&gt;=$Z$4)*AND(P57&lt;=$AA$4)),$Y$4,IF(((P57&gt;$AA$4)*AND(P57&lt;=$AA$5)),$Y$5,IF(((P57&gt;$AA$5)*AND(P57&lt;=$AA$6)),$Y$6,IF(((P57&gt;$AA$6)*AND(P57&lt;=$AA$7)),$Y$7,IF(((P57&gt;$AA$7)*AND(P57&lt;=$AA$8)),$Y$8,IF(EXACT(P57,$Y$9),$Z$9))))))</f>
        <v>C</v>
      </c>
      <c r="V57" s="328"/>
    </row>
    <row r="58" spans="1:22" ht="48" x14ac:dyDescent="0.25">
      <c r="A58" s="343"/>
      <c r="B58" s="343"/>
      <c r="C58" s="58" t="str">
        <f>Final!E29</f>
        <v>b</v>
      </c>
      <c r="D58" s="59" t="str">
        <f>Final!F29</f>
        <v>Evaluación de la efectividad de las políticas y estrategias definidas por el proyecto curricular en materia de formación integral de los estudiantes.</v>
      </c>
      <c r="E58" s="61" t="s">
        <v>64</v>
      </c>
      <c r="F58" s="61" t="s">
        <v>64</v>
      </c>
      <c r="G58" s="204" t="s">
        <v>64</v>
      </c>
      <c r="H58" s="204" t="s">
        <v>64</v>
      </c>
      <c r="I58" s="204" t="s">
        <v>64</v>
      </c>
      <c r="J58" s="204" t="s">
        <v>64</v>
      </c>
      <c r="K58" s="204" t="s">
        <v>64</v>
      </c>
      <c r="L58" s="204" t="s">
        <v>64</v>
      </c>
      <c r="M58" s="18" t="s">
        <v>64</v>
      </c>
      <c r="N58" s="18" t="s">
        <v>64</v>
      </c>
      <c r="O58" s="18" t="s">
        <v>64</v>
      </c>
      <c r="P58" s="325"/>
      <c r="Q58" s="325"/>
      <c r="R58" s="17" t="str">
        <f t="shared" si="1"/>
        <v>NA</v>
      </c>
      <c r="S58" s="17" t="str">
        <f t="shared" si="2"/>
        <v>NA</v>
      </c>
      <c r="T58" s="17" t="str">
        <f t="shared" si="3"/>
        <v>NA</v>
      </c>
      <c r="U58" s="328"/>
      <c r="V58" s="328"/>
    </row>
    <row r="59" spans="1:22" ht="48" x14ac:dyDescent="0.25">
      <c r="A59" s="343"/>
      <c r="B59" s="343"/>
      <c r="C59" s="333" t="str">
        <f>Final!E30</f>
        <v>c</v>
      </c>
      <c r="D59" s="336" t="str">
        <f>Final!F30</f>
        <v>Apreciación de los estudiantes sobre la calidad de los espacios y estrategias, para la participación en semilleros y/o grupos de investigación, grupos de estudio y demás actividades académicas y culturales distintas a la docencia, que contribuyen a su formación integral, brindadas por la institución o el proyecto curricular, según la naturaleza y orientación del mismo.</v>
      </c>
      <c r="E59" s="62" t="str">
        <f>Apreciación!A23</f>
        <v>Estudiantes</v>
      </c>
      <c r="F59" s="73" t="str">
        <f>Apreciación!E23</f>
        <v>Cuenta de 17.1. El programa académico al que pertenezco me brinda las posibilidades necesarias para: DESARROLLAR PROCESOS DE INVESTIGACIÓN.</v>
      </c>
      <c r="G59" s="205">
        <f>Apreciación!F23</f>
        <v>0.17365269461077845</v>
      </c>
      <c r="H59" s="205">
        <f>Apreciación!G23</f>
        <v>0.11976047904191617</v>
      </c>
      <c r="I59" s="205">
        <f>Apreciación!H23</f>
        <v>0.20359281437125748</v>
      </c>
      <c r="J59" s="205">
        <f>Apreciación!I23</f>
        <v>0.42514970059880242</v>
      </c>
      <c r="K59" s="205">
        <f>Apreciación!J23</f>
        <v>5.3892215568862277E-2</v>
      </c>
      <c r="L59" s="205">
        <f>Apreciación!K23</f>
        <v>2.3952095808383235E-2</v>
      </c>
      <c r="M59" s="18">
        <f t="shared" ref="M59:M64" si="6">(G59*$G$2)+(H59*$H$2)+(I59*$I$2)+(J59*$J$2)+(K59*$K$2)+(L59*$L$2)</f>
        <v>3.4434131736526945</v>
      </c>
      <c r="N59" s="324">
        <f>AVERAGE(M59:M64)</f>
        <v>3.9356287425149703</v>
      </c>
      <c r="O59" s="324">
        <f>AVERAGE(N59)</f>
        <v>3.9356287425149703</v>
      </c>
      <c r="P59" s="325"/>
      <c r="Q59" s="325"/>
      <c r="R59" s="17" t="str">
        <f t="shared" si="1"/>
        <v>D</v>
      </c>
      <c r="S59" s="327" t="str">
        <f t="shared" si="2"/>
        <v>C</v>
      </c>
      <c r="T59" s="327" t="str">
        <f t="shared" si="3"/>
        <v>C</v>
      </c>
      <c r="U59" s="328"/>
      <c r="V59" s="328"/>
    </row>
    <row r="60" spans="1:22" ht="48" x14ac:dyDescent="0.25">
      <c r="A60" s="343"/>
      <c r="B60" s="343"/>
      <c r="C60" s="334"/>
      <c r="D60" s="337"/>
      <c r="E60" s="62" t="str">
        <f>Apreciación!A24</f>
        <v>Estudiantes</v>
      </c>
      <c r="F60" s="73" t="str">
        <f>Apreciación!E24</f>
        <v>Cuenta de 17.2. El programa académico al que pertenezco me brinda las posibilidades necesarias para: FORMAR UN PENSAMIENTO CRÍTICO Y ÉTICO.</v>
      </c>
      <c r="G60" s="205">
        <f>Apreciación!F24</f>
        <v>4.1916167664670656E-2</v>
      </c>
      <c r="H60" s="205">
        <f>Apreciación!G24</f>
        <v>2.3952095808383235E-2</v>
      </c>
      <c r="I60" s="205">
        <f>Apreciación!H24</f>
        <v>0.1497005988023952</v>
      </c>
      <c r="J60" s="205">
        <f>Apreciación!I24</f>
        <v>0.40718562874251496</v>
      </c>
      <c r="K60" s="205">
        <f>Apreciación!J24</f>
        <v>0.3712574850299401</v>
      </c>
      <c r="L60" s="205">
        <f>Apreciación!K24</f>
        <v>5.9880239520958087E-3</v>
      </c>
      <c r="M60" s="18">
        <f t="shared" si="6"/>
        <v>4.1694610778443115</v>
      </c>
      <c r="N60" s="325"/>
      <c r="O60" s="325"/>
      <c r="P60" s="325"/>
      <c r="Q60" s="325"/>
      <c r="R60" s="17" t="str">
        <f t="shared" si="1"/>
        <v>B</v>
      </c>
      <c r="S60" s="328"/>
      <c r="T60" s="328"/>
      <c r="U60" s="328"/>
      <c r="V60" s="328"/>
    </row>
    <row r="61" spans="1:22" ht="48" x14ac:dyDescent="0.25">
      <c r="A61" s="343"/>
      <c r="B61" s="343"/>
      <c r="C61" s="334"/>
      <c r="D61" s="337"/>
      <c r="E61" s="62" t="str">
        <f>Apreciación!A25</f>
        <v>Estudiantes</v>
      </c>
      <c r="F61" s="73" t="str">
        <f>Apreciación!E25</f>
        <v>Cuenta de 17.3. El programa académico al que pertenezco me brinda las posibilidades necesarias para: GENERAR CONOCIMIENTO AL SERVICIO DE LA SOCIEDAD.</v>
      </c>
      <c r="G61" s="205">
        <f>Apreciación!F25</f>
        <v>2.9940119760479042E-2</v>
      </c>
      <c r="H61" s="205">
        <f>Apreciación!G25</f>
        <v>2.3952095808383235E-2</v>
      </c>
      <c r="I61" s="205">
        <f>Apreciación!H25</f>
        <v>0.16167664670658682</v>
      </c>
      <c r="J61" s="205">
        <f>Apreciación!I25</f>
        <v>0.44910179640718562</v>
      </c>
      <c r="K61" s="205">
        <f>Apreciación!J25</f>
        <v>0.32335329341317365</v>
      </c>
      <c r="L61" s="205">
        <f>Apreciación!K25</f>
        <v>1.1976047904191617E-2</v>
      </c>
      <c r="M61" s="18">
        <f t="shared" si="6"/>
        <v>4.1419161676646707</v>
      </c>
      <c r="N61" s="325"/>
      <c r="O61" s="325"/>
      <c r="P61" s="325"/>
      <c r="Q61" s="325"/>
      <c r="R61" s="17" t="str">
        <f t="shared" si="1"/>
        <v>B</v>
      </c>
      <c r="S61" s="328"/>
      <c r="T61" s="328"/>
      <c r="U61" s="328"/>
      <c r="V61" s="328"/>
    </row>
    <row r="62" spans="1:22" ht="48" x14ac:dyDescent="0.25">
      <c r="A62" s="343"/>
      <c r="B62" s="343"/>
      <c r="C62" s="334"/>
      <c r="D62" s="337"/>
      <c r="E62" s="62" t="str">
        <f>Apreciación!A26</f>
        <v>Estudiantes</v>
      </c>
      <c r="F62" s="73" t="str">
        <f>Apreciación!E26</f>
        <v>Cuenta de 17.4. El programa académico al que pertenezco me brinda las posibilidades necesarias para: SER PARTE ACTIVA Y PARTICIPATIVA EN LA CULTURA CIUDADANA.</v>
      </c>
      <c r="G62" s="205">
        <f>Apreciación!F26</f>
        <v>2.3952095808383235E-2</v>
      </c>
      <c r="H62" s="205">
        <f>Apreciación!G26</f>
        <v>6.5868263473053898E-2</v>
      </c>
      <c r="I62" s="205">
        <f>Apreciación!H26</f>
        <v>0.20359281437125748</v>
      </c>
      <c r="J62" s="205">
        <f>Apreciación!I26</f>
        <v>0.41317365269461076</v>
      </c>
      <c r="K62" s="205">
        <f>Apreciación!J26</f>
        <v>0.28143712574850299</v>
      </c>
      <c r="L62" s="205">
        <f>Apreciación!K26</f>
        <v>1.1976047904191617E-2</v>
      </c>
      <c r="M62" s="18">
        <f t="shared" si="6"/>
        <v>4.0604790419161674</v>
      </c>
      <c r="N62" s="325"/>
      <c r="O62" s="325"/>
      <c r="P62" s="325"/>
      <c r="Q62" s="325"/>
      <c r="R62" s="17" t="str">
        <f t="shared" si="1"/>
        <v>B</v>
      </c>
      <c r="S62" s="328"/>
      <c r="T62" s="328"/>
      <c r="U62" s="328"/>
      <c r="V62" s="328"/>
    </row>
    <row r="63" spans="1:22" ht="48" x14ac:dyDescent="0.25">
      <c r="A63" s="343"/>
      <c r="B63" s="343"/>
      <c r="C63" s="334"/>
      <c r="D63" s="337"/>
      <c r="E63" s="62" t="str">
        <f>Apreciación!A27</f>
        <v>Estudiantes</v>
      </c>
      <c r="F63" s="73" t="str">
        <f>Apreciación!E27</f>
        <v>Cuenta de 17.5. El programa académico al que pertenezco me brinda las posibilidades necesarias para: DESARROLLAR TEXTOS QUE ARGUMENTEN OPINIONES Y/O CONCEPTOS.</v>
      </c>
      <c r="G63" s="205">
        <f>Apreciación!F27</f>
        <v>2.3952095808383235E-2</v>
      </c>
      <c r="H63" s="205">
        <f>Apreciación!G27</f>
        <v>2.3952095808383235E-2</v>
      </c>
      <c r="I63" s="205">
        <f>Apreciación!H27</f>
        <v>0.23952095808383234</v>
      </c>
      <c r="J63" s="205">
        <f>Apreciación!I27</f>
        <v>0.46107784431137727</v>
      </c>
      <c r="K63" s="205">
        <f>Apreciación!J27</f>
        <v>0.24550898203592814</v>
      </c>
      <c r="L63" s="205">
        <f>Apreciación!K27</f>
        <v>5.9880239520958087E-3</v>
      </c>
      <c r="M63" s="18">
        <f t="shared" si="6"/>
        <v>4.1002994011976046</v>
      </c>
      <c r="N63" s="325"/>
      <c r="O63" s="325"/>
      <c r="P63" s="325"/>
      <c r="Q63" s="325"/>
      <c r="R63" s="17" t="str">
        <f t="shared" si="1"/>
        <v>B</v>
      </c>
      <c r="S63" s="328"/>
      <c r="T63" s="328"/>
      <c r="U63" s="328"/>
      <c r="V63" s="328"/>
    </row>
    <row r="64" spans="1:22" ht="24" x14ac:dyDescent="0.25">
      <c r="A64" s="343"/>
      <c r="B64" s="343"/>
      <c r="C64" s="335"/>
      <c r="D64" s="338"/>
      <c r="E64" s="62" t="str">
        <f>Apreciación!A76</f>
        <v>Estudiantes</v>
      </c>
      <c r="F64" s="73" t="str">
        <f>Apreciación!E76</f>
        <v>Cuenta de 53. Mi programa académico promueve la participación en proyectos de investigación.</v>
      </c>
      <c r="G64" s="205">
        <f>Apreciación!F76</f>
        <v>8.9820359281437126E-2</v>
      </c>
      <c r="H64" s="205">
        <f>Apreciación!G76</f>
        <v>7.7844311377245512E-2</v>
      </c>
      <c r="I64" s="205">
        <f>Apreciación!H76</f>
        <v>0.27544910179640719</v>
      </c>
      <c r="J64" s="205">
        <f>Apreciación!I76</f>
        <v>0.32335329341317365</v>
      </c>
      <c r="K64" s="205">
        <f>Apreciación!J76</f>
        <v>0.19760479041916168</v>
      </c>
      <c r="L64" s="205">
        <f>Apreciación!K76</f>
        <v>3.5928143712574849E-2</v>
      </c>
      <c r="M64" s="121">
        <f t="shared" si="6"/>
        <v>3.6982035928143713</v>
      </c>
      <c r="N64" s="326"/>
      <c r="O64" s="326"/>
      <c r="P64" s="325"/>
      <c r="Q64" s="325"/>
      <c r="R64" s="17" t="str">
        <f t="shared" si="1"/>
        <v>C</v>
      </c>
      <c r="S64" s="329"/>
      <c r="T64" s="329"/>
      <c r="U64" s="328"/>
      <c r="V64" s="328"/>
    </row>
    <row r="65" spans="1:22" ht="96" x14ac:dyDescent="0.25">
      <c r="A65" s="343"/>
      <c r="B65" s="344"/>
      <c r="C65" s="58" t="str">
        <f>Final!E31</f>
        <v>d</v>
      </c>
      <c r="D65" s="59" t="str">
        <f>Final!F31</f>
        <v>Estudiantes que participan efectivamente en grupos o centros de estudio, proyectos de experimentación, pedagógicos, culturales, artísticos o de desarrollo empresarial, o en las demás actividades académicas y culturales distintas de la docencia que brinda la institución o el proyecto curricular para contribuir a la formación integral.</v>
      </c>
      <c r="E65" s="61" t="s">
        <v>64</v>
      </c>
      <c r="F65" s="61" t="s">
        <v>64</v>
      </c>
      <c r="G65" s="204" t="s">
        <v>64</v>
      </c>
      <c r="H65" s="204" t="s">
        <v>64</v>
      </c>
      <c r="I65" s="204" t="s">
        <v>64</v>
      </c>
      <c r="J65" s="204" t="s">
        <v>64</v>
      </c>
      <c r="K65" s="204" t="s">
        <v>64</v>
      </c>
      <c r="L65" s="204" t="s">
        <v>64</v>
      </c>
      <c r="M65" s="18" t="s">
        <v>64</v>
      </c>
      <c r="N65" s="18" t="s">
        <v>64</v>
      </c>
      <c r="O65" s="18" t="s">
        <v>64</v>
      </c>
      <c r="P65" s="326"/>
      <c r="Q65" s="325"/>
      <c r="R65" s="17" t="str">
        <f t="shared" si="1"/>
        <v>NA</v>
      </c>
      <c r="S65" s="17" t="str">
        <f t="shared" si="2"/>
        <v>NA</v>
      </c>
      <c r="T65" s="17" t="str">
        <f t="shared" si="3"/>
        <v>NA</v>
      </c>
      <c r="U65" s="329"/>
      <c r="V65" s="328"/>
    </row>
    <row r="66" spans="1:22" ht="24" x14ac:dyDescent="0.25">
      <c r="A66" s="343"/>
      <c r="B66" s="342">
        <v>7</v>
      </c>
      <c r="C66" s="120" t="str">
        <f>Final!E32</f>
        <v>a</v>
      </c>
      <c r="D66" s="119" t="str">
        <f>Final!F32</f>
        <v>Mecanismos utilizados para la divulgación del reglamento estudiantil y académico.</v>
      </c>
      <c r="E66" s="61" t="s">
        <v>64</v>
      </c>
      <c r="F66" s="61" t="s">
        <v>64</v>
      </c>
      <c r="G66" s="204" t="s">
        <v>64</v>
      </c>
      <c r="H66" s="204" t="s">
        <v>64</v>
      </c>
      <c r="I66" s="204" t="s">
        <v>64</v>
      </c>
      <c r="J66" s="204" t="s">
        <v>64</v>
      </c>
      <c r="K66" s="204" t="s">
        <v>64</v>
      </c>
      <c r="L66" s="204" t="s">
        <v>64</v>
      </c>
      <c r="M66" s="121" t="s">
        <v>64</v>
      </c>
      <c r="N66" s="121" t="s">
        <v>64</v>
      </c>
      <c r="O66" s="121" t="s">
        <v>64</v>
      </c>
      <c r="P66" s="324">
        <f>AVERAGE(O66:O74)</f>
        <v>3.5068292581503657</v>
      </c>
      <c r="Q66" s="325"/>
      <c r="R66" s="17" t="str">
        <f t="shared" si="1"/>
        <v>NA</v>
      </c>
      <c r="S66" s="118" t="str">
        <f t="shared" si="2"/>
        <v>NA</v>
      </c>
      <c r="T66" s="118" t="str">
        <f t="shared" si="3"/>
        <v>NA</v>
      </c>
      <c r="U66" s="327" t="str">
        <f>IF(((P66&gt;=$Z$4)*AND(P66&lt;=$AA$4)),$Y$4,IF(((P66&gt;$AA$4)*AND(P66&lt;=$AA$5)),$Y$5,IF(((P66&gt;$AA$5)*AND(P66&lt;=$AA$6)),$Y$6,IF(((P66&gt;$AA$6)*AND(P66&lt;=$AA$7)),$Y$7,IF(((P66&gt;$AA$7)*AND(P66&lt;=$AA$8)),$Y$8,IF(EXACT(P66,$Y$9),$Z$9))))))</f>
        <v>C</v>
      </c>
      <c r="V66" s="328"/>
    </row>
    <row r="67" spans="1:22" ht="48" customHeight="1" x14ac:dyDescent="0.25">
      <c r="A67" s="343"/>
      <c r="B67" s="343"/>
      <c r="C67" s="333" t="str">
        <f>Final!E33</f>
        <v>b</v>
      </c>
      <c r="D67" s="330" t="str">
        <f>Final!F33</f>
        <v>Apreciación de estudiantes y profesores del proyecto curricular sobre la pertinencia, vigencia y aplicación del reglamento estudiantil y académico.</v>
      </c>
      <c r="E67" s="62" t="str">
        <f>Apreciación!A14</f>
        <v>Estudiantes</v>
      </c>
      <c r="F67" s="11" t="str">
        <f>Apreciación!E14</f>
        <v>Cuenta de 10. Considero que en mi programa académico se aplican debidamente las normas establecidas en los reglamentos estudiantil y académico.</v>
      </c>
      <c r="G67" s="205">
        <f>Apreciación!F14</f>
        <v>2.3952095808383235E-2</v>
      </c>
      <c r="H67" s="205">
        <f>Apreciación!G14</f>
        <v>5.9880239520958084E-2</v>
      </c>
      <c r="I67" s="205">
        <f>Apreciación!H14</f>
        <v>0.21556886227544911</v>
      </c>
      <c r="J67" s="205">
        <f>Apreciación!I14</f>
        <v>0.41317365269461076</v>
      </c>
      <c r="K67" s="205">
        <f>Apreciación!J14</f>
        <v>0.23952095808383234</v>
      </c>
      <c r="L67" s="205">
        <f>Apreciación!K14</f>
        <v>4.790419161676647E-2</v>
      </c>
      <c r="M67" s="18">
        <f>(G67*$G$2)+(H67*$H$2)+(I67*$I$2)+(J67*$J$2)+(K67*$K$2)+(L67*$L$2)</f>
        <v>3.8880239520958089</v>
      </c>
      <c r="N67" s="96">
        <f>AVERAGE(M67)</f>
        <v>3.8880239520958089</v>
      </c>
      <c r="O67" s="324">
        <f>(N67*$AE$5)+(N68*$AE$4)+(AVERAGE(N67:N69)*$AE$6)+(AVERAGE(N67:N69)*$AE$8)+(AVERAGE(N67:N69)*$AE$7)</f>
        <v>4.1069718895542247</v>
      </c>
      <c r="P67" s="325"/>
      <c r="Q67" s="325"/>
      <c r="R67" s="17" t="str">
        <f t="shared" si="1"/>
        <v>C</v>
      </c>
      <c r="S67" s="17" t="str">
        <f t="shared" si="2"/>
        <v>C</v>
      </c>
      <c r="T67" s="327" t="str">
        <f t="shared" si="3"/>
        <v>B</v>
      </c>
      <c r="U67" s="328"/>
      <c r="V67" s="328"/>
    </row>
    <row r="68" spans="1:22" ht="37.5" customHeight="1" x14ac:dyDescent="0.25">
      <c r="A68" s="343"/>
      <c r="B68" s="343"/>
      <c r="C68" s="334"/>
      <c r="D68" s="331"/>
      <c r="E68" s="62" t="str">
        <f>Apreciación!A111</f>
        <v>Docentes</v>
      </c>
      <c r="F68" s="11" t="str">
        <f>Apreciación!E111</f>
        <v>Cuenta de 10. Considero que los principales reglamentos de la Universidad Distrital son apropiados.</v>
      </c>
      <c r="G68" s="205">
        <f>Apreciación!F111</f>
        <v>3.7037037037037035E-2</v>
      </c>
      <c r="H68" s="205">
        <f>Apreciación!G111</f>
        <v>0</v>
      </c>
      <c r="I68" s="205">
        <f>Apreciación!H111</f>
        <v>0.29629629629629628</v>
      </c>
      <c r="J68" s="205">
        <f>Apreciación!I111</f>
        <v>0.40740740740740738</v>
      </c>
      <c r="K68" s="205">
        <f>Apreciación!J111</f>
        <v>0.25925925925925924</v>
      </c>
      <c r="L68" s="205">
        <f>Apreciación!K111</f>
        <v>0</v>
      </c>
      <c r="M68" s="18">
        <f>(G68*$G$2)+(H68*$H$2)+(I68*$I$2)+(J68*$J$2)+(K68*$K$2)+(L68*$L$2)</f>
        <v>4.1018518518518512</v>
      </c>
      <c r="N68" s="325">
        <f>AVERAGE(M68:M69)</f>
        <v>4.2861111111111105</v>
      </c>
      <c r="O68" s="325"/>
      <c r="P68" s="325"/>
      <c r="Q68" s="325"/>
      <c r="R68" s="17" t="str">
        <f t="shared" si="1"/>
        <v>B</v>
      </c>
      <c r="S68" s="327" t="str">
        <f t="shared" si="2"/>
        <v>B</v>
      </c>
      <c r="T68" s="328"/>
      <c r="U68" s="328"/>
      <c r="V68" s="328"/>
    </row>
    <row r="69" spans="1:22" ht="48" x14ac:dyDescent="0.25">
      <c r="A69" s="343"/>
      <c r="B69" s="343"/>
      <c r="C69" s="334"/>
      <c r="D69" s="331"/>
      <c r="E69" s="62" t="str">
        <f>Apreciación!A112</f>
        <v>Docentes</v>
      </c>
      <c r="F69" s="11" t="str">
        <f>Apreciación!E112</f>
        <v>Cuenta de 11. Considero que en el programa académico al cual pertenezco se aplican debidamente las normas establecidas en los reglamentos estudiantil y académico.</v>
      </c>
      <c r="G69" s="205">
        <f>Apreciación!F112</f>
        <v>0</v>
      </c>
      <c r="H69" s="205">
        <f>Apreciación!G112</f>
        <v>0</v>
      </c>
      <c r="I69" s="205">
        <f>Apreciación!H112</f>
        <v>0.1111111111111111</v>
      </c>
      <c r="J69" s="205">
        <f>Apreciación!I112</f>
        <v>0.29629629629629628</v>
      </c>
      <c r="K69" s="205">
        <f>Apreciación!J112</f>
        <v>0.59259259259259256</v>
      </c>
      <c r="L69" s="205">
        <f>Apreciación!K112</f>
        <v>0</v>
      </c>
      <c r="M69" s="18">
        <f>(G69*$G$2)+(H69*$H$2)+(I69*$I$2)+(J69*$J$2)+(K69*$K$2)+(L69*$L$2)</f>
        <v>4.4703703703703699</v>
      </c>
      <c r="N69" s="326"/>
      <c r="O69" s="325"/>
      <c r="P69" s="325"/>
      <c r="Q69" s="325"/>
      <c r="R69" s="17" t="str">
        <f t="shared" si="1"/>
        <v>B</v>
      </c>
      <c r="S69" s="329"/>
      <c r="T69" s="328"/>
      <c r="U69" s="328"/>
      <c r="V69" s="328"/>
    </row>
    <row r="70" spans="1:22" ht="48" x14ac:dyDescent="0.25">
      <c r="A70" s="343"/>
      <c r="B70" s="343"/>
      <c r="C70" s="58" t="str">
        <f>Final!E34</f>
        <v>c</v>
      </c>
      <c r="D70" s="59" t="str">
        <f>Final!F34</f>
        <v>Evidencias sobre la aplicación de las normas establecidas en los reglamentos estudiantil y académico para atender las situaciones presentadas con los estudiantes.</v>
      </c>
      <c r="E70" s="61" t="s">
        <v>64</v>
      </c>
      <c r="F70" s="61" t="s">
        <v>64</v>
      </c>
      <c r="G70" s="204" t="s">
        <v>64</v>
      </c>
      <c r="H70" s="204" t="s">
        <v>64</v>
      </c>
      <c r="I70" s="204" t="s">
        <v>64</v>
      </c>
      <c r="J70" s="204" t="s">
        <v>64</v>
      </c>
      <c r="K70" s="204" t="s">
        <v>64</v>
      </c>
      <c r="L70" s="204" t="s">
        <v>64</v>
      </c>
      <c r="M70" s="18" t="s">
        <v>64</v>
      </c>
      <c r="N70" s="18" t="s">
        <v>64</v>
      </c>
      <c r="O70" s="18" t="s">
        <v>64</v>
      </c>
      <c r="P70" s="325"/>
      <c r="Q70" s="325"/>
      <c r="R70" s="17" t="str">
        <f t="shared" ref="R70:R131" si="7">IF(((M70&gt;=$Z$4)*AND(M70&lt;=$AA$4)),$Y$4,IF(((M70&gt;$AA$4)*AND(M70&lt;=$AA$5)),$Y$5,IF(((M70&gt;$AA$5)*AND(M70&lt;=$AA$6)),$Y$6,IF(((M70&gt;$AA$6)*AND(M70&lt;=$AA$7)),$Y$7,IF(((M70&gt;$AA$7)*AND(M70&lt;=$AA$8)),$Y$8,IF(EXACT(M70,$Y$9),$Z$9))))))</f>
        <v>NA</v>
      </c>
      <c r="S70" s="17" t="str">
        <f t="shared" ref="S70:S131" si="8">IF(((N70&gt;=$Z$4)*AND(N70&lt;=$AA$4)),$Y$4,IF(((N70&gt;$AA$4)*AND(N70&lt;=$AA$5)),$Y$5,IF(((N70&gt;$AA$5)*AND(N70&lt;=$AA$6)),$Y$6,IF(((N70&gt;$AA$6)*AND(N70&lt;=$AA$7)),$Y$7,IF(((N70&gt;$AA$7)*AND(N70&lt;=$AA$8)),$Y$8,IF(EXACT(N70,$Y$9),$Z$9))))))</f>
        <v>NA</v>
      </c>
      <c r="T70" s="17" t="str">
        <f t="shared" ref="T70:T131" si="9">IF(((O70&gt;=$Z$4)*AND(O70&lt;=$AA$4)),$Y$4,IF(((O70&gt;$AA$4)*AND(O70&lt;=$AA$5)),$Y$5,IF(((O70&gt;$AA$5)*AND(O70&lt;=$AA$6)),$Y$6,IF(((O70&gt;$AA$6)*AND(O70&lt;=$AA$7)),$Y$7,IF(((O70&gt;$AA$7)*AND(O70&lt;=$AA$8)),$Y$8,IF(EXACT(O70,$Y$9),$Z$9))))))</f>
        <v>NA</v>
      </c>
      <c r="U70" s="328"/>
      <c r="V70" s="328"/>
    </row>
    <row r="71" spans="1:22" ht="36" x14ac:dyDescent="0.25">
      <c r="A71" s="343"/>
      <c r="B71" s="343"/>
      <c r="C71" s="333" t="str">
        <f>Final!E35</f>
        <v>d</v>
      </c>
      <c r="D71" s="330" t="str">
        <f>Final!F35</f>
        <v>Apreciación de directivos, profesores y estudiantes sobre la participación del estudiantado en los órganos de dirección del proyecto curricular.</v>
      </c>
      <c r="E71" s="62" t="str">
        <f>Apreciación!A15</f>
        <v>Estudiantes</v>
      </c>
      <c r="F71" s="11" t="str">
        <f>Apreciación!E15</f>
        <v>Cuenta de 11. Conozco los procedimientos para hacer parte de los órganos de dirección de mi programa académico.</v>
      </c>
      <c r="G71" s="205">
        <f>Apreciación!F15</f>
        <v>0.24550898203592814</v>
      </c>
      <c r="H71" s="205">
        <f>Apreciación!G15</f>
        <v>0.1437125748502994</v>
      </c>
      <c r="I71" s="205">
        <f>Apreciación!H15</f>
        <v>0.22754491017964071</v>
      </c>
      <c r="J71" s="205">
        <f>Apreciación!I15</f>
        <v>0.25748502994011974</v>
      </c>
      <c r="K71" s="205">
        <f>Apreciación!J15</f>
        <v>7.7844311377245512E-2</v>
      </c>
      <c r="L71" s="205">
        <f>Apreciación!K15</f>
        <v>4.790419161676647E-2</v>
      </c>
      <c r="M71" s="18">
        <f>(G71*$G$2)+(H71*$H$2)+(I71*$I$2)+(J71*$J$2)+(K71*$K$2)+(L71*$L$2)</f>
        <v>3.1344311377245506</v>
      </c>
      <c r="N71" s="324">
        <f>AVERAGE(M71:M73)</f>
        <v>2.9066866267465072</v>
      </c>
      <c r="O71" s="324">
        <f>AVERAGE(N71)</f>
        <v>2.9066866267465072</v>
      </c>
      <c r="P71" s="325"/>
      <c r="Q71" s="325"/>
      <c r="R71" s="17" t="str">
        <f t="shared" si="7"/>
        <v>D</v>
      </c>
      <c r="S71" s="327" t="str">
        <f t="shared" si="8"/>
        <v>D</v>
      </c>
      <c r="T71" s="327" t="str">
        <f t="shared" si="9"/>
        <v>D</v>
      </c>
      <c r="U71" s="328"/>
      <c r="V71" s="328"/>
    </row>
    <row r="72" spans="1:22" ht="36" x14ac:dyDescent="0.25">
      <c r="A72" s="343"/>
      <c r="B72" s="343"/>
      <c r="C72" s="334"/>
      <c r="D72" s="331"/>
      <c r="E72" s="62" t="str">
        <f>Apreciación!A91</f>
        <v>Estudiantes</v>
      </c>
      <c r="F72" s="11" t="str">
        <f>Apreciación!E91</f>
        <v>Cuenta de 64. Considero que la representación estudiantil cumple su papel de comunicación entre los directivos y los estudiantes.</v>
      </c>
      <c r="G72" s="205">
        <f>Apreciación!F91</f>
        <v>0.15568862275449102</v>
      </c>
      <c r="H72" s="205">
        <f>Apreciación!G91</f>
        <v>0.1377245508982036</v>
      </c>
      <c r="I72" s="205">
        <f>Apreciación!H91</f>
        <v>0.24550898203592814</v>
      </c>
      <c r="J72" s="205">
        <f>Apreciación!I91</f>
        <v>0.18562874251497005</v>
      </c>
      <c r="K72" s="205">
        <f>Apreciación!J91</f>
        <v>0.12574850299401197</v>
      </c>
      <c r="L72" s="205">
        <f>Apreciación!K91</f>
        <v>0.1497005988023952</v>
      </c>
      <c r="M72" s="18">
        <f>(G72*$G$2)+(H72*$H$2)+(I72*$I$2)+(J72*$J$2)+(K72*$K$2)+(L72*$L$2)</f>
        <v>2.9562874251497004</v>
      </c>
      <c r="N72" s="325"/>
      <c r="O72" s="325"/>
      <c r="P72" s="325"/>
      <c r="Q72" s="325"/>
      <c r="R72" s="17" t="str">
        <f t="shared" si="7"/>
        <v>D</v>
      </c>
      <c r="S72" s="328"/>
      <c r="T72" s="328"/>
      <c r="U72" s="328"/>
      <c r="V72" s="328"/>
    </row>
    <row r="73" spans="1:22" ht="36" x14ac:dyDescent="0.25">
      <c r="A73" s="343"/>
      <c r="B73" s="343"/>
      <c r="C73" s="335"/>
      <c r="D73" s="332"/>
      <c r="E73" s="62" t="str">
        <f>Apreciación!A92</f>
        <v>Estudiantes</v>
      </c>
      <c r="F73" s="11" t="str">
        <f>Apreciación!E92</f>
        <v xml:space="preserve">Cuenta de 65. Los representantes estudiantiles han liderado propuestas para el mejoramiento de mi programa académico. </v>
      </c>
      <c r="G73" s="205">
        <f>Apreciación!F92</f>
        <v>0.1497005988023952</v>
      </c>
      <c r="H73" s="205">
        <f>Apreciación!G92</f>
        <v>9.580838323353294E-2</v>
      </c>
      <c r="I73" s="205">
        <f>Apreciación!H92</f>
        <v>0.25748502994011974</v>
      </c>
      <c r="J73" s="205">
        <f>Apreciación!I92</f>
        <v>0.20359281437125748</v>
      </c>
      <c r="K73" s="205">
        <f>Apreciación!J92</f>
        <v>5.9880239520958084E-2</v>
      </c>
      <c r="L73" s="205">
        <f>Apreciación!K92</f>
        <v>0.23353293413173654</v>
      </c>
      <c r="M73" s="18">
        <f>(G73*$G$2)+(H73*$H$2)+(I73*$I$2)+(J73*$J$2)+(K73*$K$2)+(L73*$L$2)</f>
        <v>2.6293413173652693</v>
      </c>
      <c r="N73" s="326"/>
      <c r="O73" s="326"/>
      <c r="P73" s="325"/>
      <c r="Q73" s="325"/>
      <c r="R73" s="17" t="str">
        <f t="shared" si="7"/>
        <v>D</v>
      </c>
      <c r="S73" s="329"/>
      <c r="T73" s="329"/>
      <c r="U73" s="328"/>
      <c r="V73" s="328"/>
    </row>
    <row r="74" spans="1:22" ht="48" x14ac:dyDescent="0.25">
      <c r="A74" s="344"/>
      <c r="B74" s="344"/>
      <c r="C74" s="58" t="str">
        <f>Final!E36</f>
        <v>e</v>
      </c>
      <c r="D74" s="59" t="str">
        <f>Final!F36</f>
        <v>Políticas y estrategias sobre estímulos académicos para los estudiantes. Evidencias sobre la aplicación de estas políticas y estrategias.</v>
      </c>
      <c r="E74" s="61" t="s">
        <v>64</v>
      </c>
      <c r="F74" s="61" t="s">
        <v>64</v>
      </c>
      <c r="G74" s="204" t="s">
        <v>64</v>
      </c>
      <c r="H74" s="204" t="s">
        <v>64</v>
      </c>
      <c r="I74" s="204" t="s">
        <v>64</v>
      </c>
      <c r="J74" s="204" t="s">
        <v>64</v>
      </c>
      <c r="K74" s="204" t="s">
        <v>64</v>
      </c>
      <c r="L74" s="204" t="s">
        <v>64</v>
      </c>
      <c r="M74" s="18" t="s">
        <v>64</v>
      </c>
      <c r="N74" s="18" t="s">
        <v>64</v>
      </c>
      <c r="O74" s="18" t="s">
        <v>64</v>
      </c>
      <c r="P74" s="326"/>
      <c r="Q74" s="326"/>
      <c r="R74" s="17" t="str">
        <f t="shared" si="7"/>
        <v>NA</v>
      </c>
      <c r="S74" s="17" t="str">
        <f t="shared" si="8"/>
        <v>NA</v>
      </c>
      <c r="T74" s="17" t="str">
        <f t="shared" si="9"/>
        <v>NA</v>
      </c>
      <c r="U74" s="329"/>
      <c r="V74" s="329"/>
    </row>
    <row r="75" spans="1:22" ht="72" x14ac:dyDescent="0.25">
      <c r="A75" s="342">
        <v>3</v>
      </c>
      <c r="B75" s="342">
        <v>8</v>
      </c>
      <c r="C75" s="58" t="str">
        <f>Final!E37</f>
        <v>a</v>
      </c>
      <c r="D75" s="59" t="str">
        <f>Final!F37</f>
        <v>Aplicación de las políticas, las normas y los criterios académicos establecidos por la institución para la selección y la vinculación de los profesores, según el tipo de contratación. (Planta y Vinculación especial). Datos de los últimos 5 años.</v>
      </c>
      <c r="E75" s="61" t="s">
        <v>64</v>
      </c>
      <c r="F75" s="61" t="s">
        <v>64</v>
      </c>
      <c r="G75" s="204" t="s">
        <v>64</v>
      </c>
      <c r="H75" s="204" t="s">
        <v>64</v>
      </c>
      <c r="I75" s="204" t="s">
        <v>64</v>
      </c>
      <c r="J75" s="204" t="s">
        <v>64</v>
      </c>
      <c r="K75" s="204" t="s">
        <v>64</v>
      </c>
      <c r="L75" s="204" t="s">
        <v>64</v>
      </c>
      <c r="M75" s="18" t="s">
        <v>64</v>
      </c>
      <c r="N75" s="18" t="s">
        <v>64</v>
      </c>
      <c r="O75" s="18" t="s">
        <v>64</v>
      </c>
      <c r="P75" s="324">
        <f>AVERAGE(O75:O81)</f>
        <v>3.4235702668736594</v>
      </c>
      <c r="Q75" s="324">
        <f>(P75*Ponderación!D9)+(P82*Ponderación!D10)+(P89*Ponderación!D11)+(P105*Ponderación!D12)+(P112*Ponderación!D13)+(P119*Ponderación!D15)+(P122*Ponderación!D16)</f>
        <v>3.1317518646041247</v>
      </c>
      <c r="R75" s="17" t="str">
        <f t="shared" si="7"/>
        <v>NA</v>
      </c>
      <c r="S75" s="17" t="str">
        <f t="shared" si="8"/>
        <v>NA</v>
      </c>
      <c r="T75" s="17" t="str">
        <f t="shared" si="9"/>
        <v>NA</v>
      </c>
      <c r="U75" s="327" t="str">
        <f>IF(((P75&gt;=$Z$4)*AND(P75&lt;=$AA$4)),$Y$4,IF(((P75&gt;$AA$4)*AND(P75&lt;=$AA$5)),$Y$5,IF(((P75&gt;$AA$5)*AND(P75&lt;=$AA$6)),$Y$6,IF(((P75&gt;$AA$6)*AND(P75&lt;=$AA$7)),$Y$7,IF(((P75&gt;$AA$7)*AND(P75&lt;=$AA$8)),$Y$8,IF(EXACT(P75,$Y$9),$Z$9))))))</f>
        <v>D</v>
      </c>
      <c r="V75" s="327" t="str">
        <f>IF(((Q75&gt;=$Z$4)*AND(Q75&lt;=$AA$4)),$Y$4,IF(((Q75&gt;$AA$4)*AND(Q75&lt;=$AA$5)),$Y$5,IF(((Q75&gt;$AA$5)*AND(Q75&lt;=$AA$6)),$Y$6,IF(((Q75&gt;$AA$6)*AND(Q75&lt;=$AA$7)),$Y$7,IF(((Q75&gt;$AA$7)*AND(Q75&lt;=$AA$8)),$Y$8,IF(EXACT(Q75,$Y$9),$Z$9))))))</f>
        <v>D</v>
      </c>
    </row>
    <row r="76" spans="1:22" ht="36" x14ac:dyDescent="0.25">
      <c r="A76" s="343"/>
      <c r="B76" s="343"/>
      <c r="C76" s="58" t="str">
        <f>Final!E38</f>
        <v>b</v>
      </c>
      <c r="D76" s="59" t="str">
        <f>Final!F38</f>
        <v>Aplicación de las estrategias de la Institución para propiciar la permanencia de los profesores en el proyecto curricular y el relevo generacional.</v>
      </c>
      <c r="E76" s="61" t="s">
        <v>64</v>
      </c>
      <c r="F76" s="61" t="s">
        <v>64</v>
      </c>
      <c r="G76" s="204" t="s">
        <v>64</v>
      </c>
      <c r="H76" s="204" t="s">
        <v>64</v>
      </c>
      <c r="I76" s="204" t="s">
        <v>64</v>
      </c>
      <c r="J76" s="204" t="s">
        <v>64</v>
      </c>
      <c r="K76" s="204" t="s">
        <v>64</v>
      </c>
      <c r="L76" s="204" t="s">
        <v>64</v>
      </c>
      <c r="M76" s="18" t="s">
        <v>64</v>
      </c>
      <c r="N76" s="18" t="s">
        <v>64</v>
      </c>
      <c r="O76" s="18" t="s">
        <v>64</v>
      </c>
      <c r="P76" s="325"/>
      <c r="Q76" s="325"/>
      <c r="R76" s="17" t="str">
        <f t="shared" si="7"/>
        <v>NA</v>
      </c>
      <c r="S76" s="17" t="str">
        <f t="shared" si="8"/>
        <v>NA</v>
      </c>
      <c r="T76" s="17" t="str">
        <f t="shared" si="9"/>
        <v>NA</v>
      </c>
      <c r="U76" s="328"/>
      <c r="V76" s="328"/>
    </row>
    <row r="77" spans="1:22" ht="24" x14ac:dyDescent="0.25">
      <c r="A77" s="343"/>
      <c r="B77" s="343"/>
      <c r="C77" s="333" t="str">
        <f>Final!E39</f>
        <v>c</v>
      </c>
      <c r="D77" s="330" t="str">
        <f>Final!F39</f>
        <v>Apreciación de directivos, profesores y estudiantes sobre la aplicación, pertinencia y vigencia de las políticas, las normas y los criterios académicos establecidos por la institución para la selección,  inculación y permanencia de sus profesores.</v>
      </c>
      <c r="E77" s="62" t="str">
        <f>Apreciación!A16</f>
        <v>Estudiantes</v>
      </c>
      <c r="F77" s="11" t="str">
        <f>Apreciación!E16</f>
        <v>Cuenta de 12. Conozco el proceso de selección y vinculación de los docentes.</v>
      </c>
      <c r="G77" s="205">
        <f>Apreciación!F16</f>
        <v>0.40718562874251496</v>
      </c>
      <c r="H77" s="205">
        <f>Apreciación!G16</f>
        <v>0.17365269461077845</v>
      </c>
      <c r="I77" s="205">
        <f>Apreciación!H16</f>
        <v>0.20958083832335328</v>
      </c>
      <c r="J77" s="205">
        <f>Apreciación!I16</f>
        <v>8.3832335329341312E-2</v>
      </c>
      <c r="K77" s="205">
        <f>Apreciación!J16</f>
        <v>3.5928143712574849E-2</v>
      </c>
      <c r="L77" s="205">
        <f>Apreciación!K16</f>
        <v>8.9820359281437126E-2</v>
      </c>
      <c r="M77" s="18">
        <f>(G77*$G$2)+(H77*$H$2)+(I77*$I$2)+(J77*$J$2)+(K77*$K$2)+(L77*$L$2)</f>
        <v>2.5026946107784429</v>
      </c>
      <c r="N77" s="324">
        <f>AVERAGE(M77:M78)</f>
        <v>2.7907185628742512</v>
      </c>
      <c r="O77" s="324">
        <f>(N77*$AE$5)+(N79*$AE$4)+(AVERAGE(N77:N81)*$AE$6)+(AVERAGE(N77:N81)*$AE$8)+(AVERAGE(N77:N81)*$AE$7)</f>
        <v>3.4235702668736594</v>
      </c>
      <c r="P77" s="325"/>
      <c r="Q77" s="325"/>
      <c r="R77" s="17" t="str">
        <f t="shared" si="7"/>
        <v>D</v>
      </c>
      <c r="S77" s="327" t="str">
        <f t="shared" si="8"/>
        <v>D</v>
      </c>
      <c r="T77" s="327" t="str">
        <f t="shared" si="9"/>
        <v>D</v>
      </c>
      <c r="U77" s="328"/>
      <c r="V77" s="328"/>
    </row>
    <row r="78" spans="1:22" ht="36" x14ac:dyDescent="0.25">
      <c r="A78" s="343"/>
      <c r="B78" s="343"/>
      <c r="C78" s="334"/>
      <c r="D78" s="331"/>
      <c r="E78" s="62" t="str">
        <f>Apreciación!A17</f>
        <v>Estudiantes</v>
      </c>
      <c r="F78" s="11" t="str">
        <f>Apreciación!E17</f>
        <v>Cuenta de 13. Considero que la evaluación de docentes se utiliza para definir la permanencia de los docentes de mi programa académico.</v>
      </c>
      <c r="G78" s="205">
        <f>Apreciación!F17</f>
        <v>0.22754491017964071</v>
      </c>
      <c r="H78" s="205">
        <f>Apreciación!G17</f>
        <v>0.22754491017964071</v>
      </c>
      <c r="I78" s="205">
        <f>Apreciación!H17</f>
        <v>0.22155688622754491</v>
      </c>
      <c r="J78" s="205">
        <f>Apreciación!I17</f>
        <v>0.1437125748502994</v>
      </c>
      <c r="K78" s="205">
        <f>Apreciación!J17</f>
        <v>0.12574850299401197</v>
      </c>
      <c r="L78" s="205">
        <f>Apreciación!K17</f>
        <v>5.3892215568862277E-2</v>
      </c>
      <c r="M78" s="18">
        <f>(G78*$G$2)+(H78*$H$2)+(I78*$I$2)+(J78*$J$2)+(K78*$K$2)+(L78*$L$2)</f>
        <v>3.0787425149700596</v>
      </c>
      <c r="N78" s="326"/>
      <c r="O78" s="325"/>
      <c r="P78" s="325"/>
      <c r="Q78" s="325"/>
      <c r="R78" s="17" t="str">
        <f>IF(((M78&gt;=$Z$4)*AND(M78&lt;=$AA$4)),$Y$4,IF(((M78&gt;$AA$4)*AND(M78&lt;=$AA$5)),$Y$5,IF(((M78&gt;$AA$5)*AND(M78&lt;=$AA$6)),$Y$6,IF(((M78&gt;$AA$6)*AND(M78&lt;=$AA$7)),$Y$7,IF(((M78&gt;$AA$7)*AND(M78&lt;=$AA$8)),$Y$8,IF(EXACT(M78,$Y$9),$Z$9))))))</f>
        <v>D</v>
      </c>
      <c r="S78" s="329"/>
      <c r="T78" s="328"/>
      <c r="U78" s="328"/>
      <c r="V78" s="328"/>
    </row>
    <row r="79" spans="1:22" ht="48" x14ac:dyDescent="0.25">
      <c r="A79" s="343"/>
      <c r="B79" s="343"/>
      <c r="C79" s="334"/>
      <c r="D79" s="331"/>
      <c r="E79" s="62" t="str">
        <f>Apreciación!A113</f>
        <v>Docentes</v>
      </c>
      <c r="F79" s="11" t="str">
        <f>Apreciación!E113</f>
        <v>Cuenta de 12. Considero que el proceso de selección y vinculación de docentes DE PLANTA a la Universidad Distrital Francisco José de Caldas es trasparente y equitativo.</v>
      </c>
      <c r="G79" s="205">
        <f>Apreciación!F113</f>
        <v>0.1111111111111111</v>
      </c>
      <c r="H79" s="205">
        <f>Apreciación!G113</f>
        <v>0.1111111111111111</v>
      </c>
      <c r="I79" s="205">
        <f>Apreciación!H113</f>
        <v>7.407407407407407E-2</v>
      </c>
      <c r="J79" s="205">
        <f>Apreciación!I113</f>
        <v>0.33333333333333331</v>
      </c>
      <c r="K79" s="205">
        <f>Apreciación!J113</f>
        <v>0.33333333333333331</v>
      </c>
      <c r="L79" s="205">
        <f>Apreciación!K113</f>
        <v>3.7037037037037035E-2</v>
      </c>
      <c r="M79" s="18">
        <f>(G79*$G$2)+(H79*$H$2)+(I79*$I$2)+(J79*$J$2)+(K79*$K$2)+(L79*$L$2)</f>
        <v>3.7740740740740737</v>
      </c>
      <c r="N79" s="324">
        <f>AVERAGE(M79:M81)</f>
        <v>3.9413580246913575</v>
      </c>
      <c r="O79" s="325"/>
      <c r="P79" s="325"/>
      <c r="Q79" s="325"/>
      <c r="R79" s="17" t="str">
        <f>IF(((M79&gt;=$Z$4)*AND(M79&lt;=$AA$4)),$Y$4,IF(((M79&gt;$AA$4)*AND(M79&lt;=$AA$5)),$Y$5,IF(((M79&gt;$AA$5)*AND(M79&lt;=$AA$6)),$Y$6,IF(((M79&gt;$AA$6)*AND(M79&lt;=$AA$7)),$Y$7,IF(((M79&gt;$AA$7)*AND(M79&lt;=$AA$8)),$Y$8,IF(EXACT(M79,$Y$9),$Z$9))))))</f>
        <v>C</v>
      </c>
      <c r="S79" s="327" t="str">
        <f>IF(((N79&gt;=$Z$4)*AND(N79&lt;=$AA$4)),$Y$4,IF(((N79&gt;$AA$4)*AND(N79&lt;=$AA$5)),$Y$5,IF(((N79&gt;$AA$5)*AND(N79&lt;=$AA$6)),$Y$6,IF(((N79&gt;$AA$6)*AND(N79&lt;=$AA$7)),$Y$7,IF(((N79&gt;$AA$7)*AND(N79&lt;=$AA$8)),$Y$8,IF(EXACT(N79,$Y$9),$Z$9))))))</f>
        <v>C</v>
      </c>
      <c r="T79" s="328"/>
      <c r="U79" s="328"/>
      <c r="V79" s="328"/>
    </row>
    <row r="80" spans="1:22" ht="48" x14ac:dyDescent="0.25">
      <c r="A80" s="343"/>
      <c r="B80" s="343"/>
      <c r="C80" s="334"/>
      <c r="D80" s="331"/>
      <c r="E80" s="62" t="str">
        <f>Apreciación!A114</f>
        <v>Docentes</v>
      </c>
      <c r="F80" s="11" t="str">
        <f>Apreciación!E114</f>
        <v>Cuenta de 13. Considero que el proceso de selección y vinculación de docentes OCASIONALES a la Universidad Distrital Francisco José de Caldas es trasparente y equitativo.</v>
      </c>
      <c r="G80" s="205">
        <f>Apreciación!F114</f>
        <v>3.7037037037037035E-2</v>
      </c>
      <c r="H80" s="205">
        <f>Apreciación!G114</f>
        <v>0.1111111111111111</v>
      </c>
      <c r="I80" s="205">
        <f>Apreciación!H114</f>
        <v>0.1111111111111111</v>
      </c>
      <c r="J80" s="205">
        <f>Apreciación!I114</f>
        <v>0.40740740740740738</v>
      </c>
      <c r="K80" s="205">
        <f>Apreciación!J114</f>
        <v>0.29629629629629628</v>
      </c>
      <c r="L80" s="205">
        <f>Apreciación!K114</f>
        <v>3.7037037037037035E-2</v>
      </c>
      <c r="M80" s="18">
        <f>(G80*$G$2)+(H80*$H$2)+(I80*$I$2)+(J80*$J$2)+(K80*$K$2)+(L80*$L$2)</f>
        <v>3.9203703703703701</v>
      </c>
      <c r="N80" s="325"/>
      <c r="O80" s="325"/>
      <c r="P80" s="325"/>
      <c r="Q80" s="325"/>
      <c r="R80" s="17" t="str">
        <f>IF(((M80&gt;=$Z$4)*AND(M80&lt;=$AA$4)),$Y$4,IF(((M80&gt;$AA$4)*AND(M80&lt;=$AA$5)),$Y$5,IF(((M80&gt;$AA$5)*AND(M80&lt;=$AA$6)),$Y$6,IF(((M80&gt;$AA$6)*AND(M80&lt;=$AA$7)),$Y$7,IF(((M80&gt;$AA$7)*AND(M80&lt;=$AA$8)),$Y$8,IF(EXACT(M80,$Y$9),$Z$9))))))</f>
        <v>C</v>
      </c>
      <c r="S80" s="328"/>
      <c r="T80" s="328"/>
      <c r="U80" s="328"/>
      <c r="V80" s="328"/>
    </row>
    <row r="81" spans="1:22" ht="48" x14ac:dyDescent="0.25">
      <c r="A81" s="343"/>
      <c r="B81" s="343"/>
      <c r="C81" s="334"/>
      <c r="D81" s="331"/>
      <c r="E81" s="62" t="str">
        <f>Apreciación!A115</f>
        <v>Docentes</v>
      </c>
      <c r="F81" s="11" t="str">
        <f>Apreciación!E115</f>
        <v>Cuenta de 14. Conozco los criterios académicos establecidos para definir la permanencia de los docentes en la Universidad Distrital Francisco José de Caldas.</v>
      </c>
      <c r="G81" s="205">
        <f>Apreciación!F115</f>
        <v>7.407407407407407E-2</v>
      </c>
      <c r="H81" s="205">
        <f>Apreciación!G115</f>
        <v>0</v>
      </c>
      <c r="I81" s="205">
        <f>Apreciación!H115</f>
        <v>0.1111111111111111</v>
      </c>
      <c r="J81" s="205">
        <f>Apreciación!I115</f>
        <v>0.18518518518518517</v>
      </c>
      <c r="K81" s="205">
        <f>Apreciación!J115</f>
        <v>0.59259259259259256</v>
      </c>
      <c r="L81" s="205">
        <f>Apreciación!K115</f>
        <v>3.7037037037037035E-2</v>
      </c>
      <c r="M81" s="18">
        <f>(G81*$G$2)+(H81*$H$2)+(I81*$I$2)+(J81*$J$2)+(K81*$K$2)+(L81*$L$2)</f>
        <v>4.1296296296296298</v>
      </c>
      <c r="N81" s="326"/>
      <c r="O81" s="325"/>
      <c r="P81" s="325"/>
      <c r="Q81" s="325"/>
      <c r="R81" s="17" t="str">
        <f>IF(((M81&gt;=$Z$4)*AND(M81&lt;=$AA$4)),$Y$4,IF(((M81&gt;$AA$4)*AND(M81&lt;=$AA$5)),$Y$5,IF(((M81&gt;$AA$5)*AND(M81&lt;=$AA$6)),$Y$6,IF(((M81&gt;$AA$6)*AND(M81&lt;=$AA$7)),$Y$7,IF(((M81&gt;$AA$7)*AND(M81&lt;=$AA$8)),$Y$8,IF(EXACT(M81,$Y$9),$Z$9))))))</f>
        <v>B</v>
      </c>
      <c r="S81" s="329"/>
      <c r="T81" s="328"/>
      <c r="U81" s="328"/>
      <c r="V81" s="328"/>
    </row>
    <row r="82" spans="1:22" ht="24" x14ac:dyDescent="0.25">
      <c r="A82" s="343"/>
      <c r="B82" s="342">
        <v>9</v>
      </c>
      <c r="C82" s="58" t="str">
        <f>Final!E40</f>
        <v>a</v>
      </c>
      <c r="D82" s="59" t="str">
        <f>Final!F40</f>
        <v>Mecanismos de divulgación del estatuto profesoral.</v>
      </c>
      <c r="E82" s="61" t="s">
        <v>64</v>
      </c>
      <c r="F82" s="61" t="s">
        <v>64</v>
      </c>
      <c r="G82" s="204" t="s">
        <v>64</v>
      </c>
      <c r="H82" s="204" t="s">
        <v>64</v>
      </c>
      <c r="I82" s="204" t="s">
        <v>64</v>
      </c>
      <c r="J82" s="204" t="s">
        <v>64</v>
      </c>
      <c r="K82" s="204" t="s">
        <v>64</v>
      </c>
      <c r="L82" s="204" t="s">
        <v>64</v>
      </c>
      <c r="M82" s="84" t="s">
        <v>64</v>
      </c>
      <c r="N82" s="84" t="s">
        <v>64</v>
      </c>
      <c r="O82" s="84" t="s">
        <v>64</v>
      </c>
      <c r="P82" s="324">
        <f>AVERAGE(O82:O88)</f>
        <v>4.0597222222222218</v>
      </c>
      <c r="Q82" s="325"/>
      <c r="R82" s="17" t="str">
        <f>IF(((M82&gt;=$Z$4)*AND(M82&lt;=$AA$4)),$Y$4,IF(((M82&gt;$AA$4)*AND(M82&lt;=$AA$5)),$Y$5,IF(((M82&gt;$AA$5)*AND(M82&lt;=$AA$6)),$Y$6,IF(((M82&gt;$AA$6)*AND(M82&lt;=$AA$7)),$Y$7,IF(((M82&gt;$AA$7)*AND(M82&lt;=$AA$8)),$Y$8,IF(EXACT(M82,$Y$9),$Z$9))))))</f>
        <v>NA</v>
      </c>
      <c r="S82" s="17" t="str">
        <f t="shared" si="8"/>
        <v>NA</v>
      </c>
      <c r="T82" s="17" t="str">
        <f t="shared" si="9"/>
        <v>NA</v>
      </c>
      <c r="U82" s="327" t="str">
        <f>IF(((P82&gt;=$Z$4)*AND(P82&lt;=$AA$4)),$Y$4,IF(((P82&gt;$AA$4)*AND(P82&lt;=$AA$5)),$Y$5,IF(((P82&gt;$AA$5)*AND(P82&lt;=$AA$6)),$Y$6,IF(((P82&gt;$AA$6)*AND(P82&lt;=$AA$7)),$Y$7,IF(((P82&gt;$AA$7)*AND(P82&lt;=$AA$8)),$Y$8,IF(EXACT(P82,$Y$9),$Z$9))))))</f>
        <v>B</v>
      </c>
      <c r="V82" s="328"/>
    </row>
    <row r="83" spans="1:22" ht="36" customHeight="1" x14ac:dyDescent="0.25">
      <c r="A83" s="343"/>
      <c r="B83" s="343"/>
      <c r="C83" s="333" t="str">
        <f>Final!E41</f>
        <v>b</v>
      </c>
      <c r="D83" s="330" t="str">
        <f>Final!F41</f>
        <v>Apreciación de directivos y profesores del proyecto curricular sobre la pertinencia, vigencia y aplicación del estatuto profesoral.</v>
      </c>
      <c r="E83" s="11" t="str">
        <f>Apreciación!A116</f>
        <v>Docentes</v>
      </c>
      <c r="F83" s="11" t="str">
        <f>Apreciación!E116</f>
        <v>Cuenta de 15. Considero que en el programa académico al cual pertenezco se aplican debidamente las normas establecidas en el estatuto docente.</v>
      </c>
      <c r="G83" s="205">
        <f>Apreciación!F116</f>
        <v>0</v>
      </c>
      <c r="H83" s="205">
        <f>Apreciación!G116</f>
        <v>0</v>
      </c>
      <c r="I83" s="205">
        <f>Apreciación!H116</f>
        <v>0.1111111111111111</v>
      </c>
      <c r="J83" s="205">
        <f>Apreciación!I116</f>
        <v>0.22222222222222221</v>
      </c>
      <c r="K83" s="205">
        <f>Apreciación!J116</f>
        <v>0.62962962962962965</v>
      </c>
      <c r="L83" s="205">
        <f>Apreciación!K116</f>
        <v>3.7037037037037035E-2</v>
      </c>
      <c r="M83" s="18">
        <f>(G83*$G$2)+(H83*$H$2)+(I83*$I$2)+(J83*$J$2)+(K83*$K$2)+(L83*$L$2)</f>
        <v>4.3351851851851855</v>
      </c>
      <c r="N83" s="63">
        <f>AVERAGE(M83)</f>
        <v>4.3351851851851855</v>
      </c>
      <c r="O83" s="324">
        <f>AVERAGE(N83:N84)</f>
        <v>4.0638888888888891</v>
      </c>
      <c r="P83" s="325"/>
      <c r="Q83" s="325"/>
      <c r="R83" s="17" t="str">
        <f t="shared" si="7"/>
        <v>B</v>
      </c>
      <c r="S83" s="17" t="str">
        <f t="shared" si="8"/>
        <v>B</v>
      </c>
      <c r="T83" s="327" t="str">
        <f t="shared" si="9"/>
        <v>B</v>
      </c>
      <c r="U83" s="328"/>
      <c r="V83" s="328"/>
    </row>
    <row r="84" spans="1:22" ht="24" x14ac:dyDescent="0.25">
      <c r="A84" s="343"/>
      <c r="B84" s="343"/>
      <c r="C84" s="335"/>
      <c r="D84" s="332"/>
      <c r="E84" s="11" t="str">
        <f>Apreciación!A117</f>
        <v>Docentes</v>
      </c>
      <c r="F84" s="11" t="str">
        <f>Apreciación!E117</f>
        <v>Cuenta de 16. Considero que el estatuto docente es pertinente y es vigente.</v>
      </c>
      <c r="G84" s="205">
        <f>Apreciación!F117</f>
        <v>7.407407407407407E-2</v>
      </c>
      <c r="H84" s="205">
        <f>Apreciación!G117</f>
        <v>0.18518518518518517</v>
      </c>
      <c r="I84" s="205">
        <f>Apreciación!H117</f>
        <v>0.18518518518518517</v>
      </c>
      <c r="J84" s="205">
        <f>Apreciación!I117</f>
        <v>0.37037037037037035</v>
      </c>
      <c r="K84" s="205">
        <f>Apreciación!J117</f>
        <v>0.18518518518518517</v>
      </c>
      <c r="L84" s="205">
        <f>Apreciación!K117</f>
        <v>0</v>
      </c>
      <c r="M84" s="84">
        <f>(G84*$G$2)+(H84*$H$2)+(I84*$I$2)+(J84*$J$2)+(K84*$K$2)+(L84*$L$2)</f>
        <v>3.7925925925925927</v>
      </c>
      <c r="N84" s="83">
        <f>AVERAGE(M84)</f>
        <v>3.7925925925925927</v>
      </c>
      <c r="O84" s="326"/>
      <c r="P84" s="325"/>
      <c r="Q84" s="325"/>
      <c r="R84" s="17" t="str">
        <f>IF(((M84&gt;=$Z$4)*AND(M84&lt;=$AA$4)),$Y$4,IF(((M84&gt;$AA$4)*AND(M84&lt;=$AA$5)),$Y$5,IF(((M84&gt;$AA$5)*AND(M84&lt;=$AA$6)),$Y$6,IF(((M84&gt;$AA$6)*AND(M84&lt;=$AA$7)),$Y$7,IF(((M84&gt;$AA$7)*AND(M84&lt;=$AA$8)),$Y$8,IF(EXACT(M84,$Y$9),$Z$9))))))</f>
        <v>C</v>
      </c>
      <c r="S84" s="17" t="str">
        <f>IF(((N84&gt;=$Z$4)*AND(N84&lt;=$AA$4)),$Y$4,IF(((N84&gt;$AA$4)*AND(N84&lt;=$AA$5)),$Y$5,IF(((N84&gt;$AA$5)*AND(N84&lt;=$AA$6)),$Y$6,IF(((N84&gt;$AA$6)*AND(N84&lt;=$AA$7)),$Y$7,IF(((N84&gt;$AA$7)*AND(N84&lt;=$AA$8)),$Y$8,IF(EXACT(N84,$Y$9),$Z$9))))))</f>
        <v>C</v>
      </c>
      <c r="T84" s="329"/>
      <c r="U84" s="328"/>
      <c r="V84" s="328"/>
    </row>
    <row r="85" spans="1:22" ht="60" x14ac:dyDescent="0.25">
      <c r="A85" s="343"/>
      <c r="B85" s="343"/>
      <c r="C85" s="58" t="str">
        <f>Final!E42</f>
        <v>c</v>
      </c>
      <c r="D85" s="59" t="str">
        <f>Final!F42</f>
        <v>Información actualizada sobre el número de profesores – de planta y vinculación especial- que prestan sus servicios al proyecto curricular indicando para cada uno la categoría del escalafón en la cual se encuentra ubicado.</v>
      </c>
      <c r="E85" s="61" t="s">
        <v>64</v>
      </c>
      <c r="F85" s="61" t="s">
        <v>64</v>
      </c>
      <c r="G85" s="204" t="s">
        <v>64</v>
      </c>
      <c r="H85" s="204" t="s">
        <v>64</v>
      </c>
      <c r="I85" s="204" t="s">
        <v>64</v>
      </c>
      <c r="J85" s="204" t="s">
        <v>64</v>
      </c>
      <c r="K85" s="204" t="s">
        <v>64</v>
      </c>
      <c r="L85" s="204" t="s">
        <v>64</v>
      </c>
      <c r="M85" s="84" t="s">
        <v>64</v>
      </c>
      <c r="N85" s="84" t="s">
        <v>64</v>
      </c>
      <c r="O85" s="84" t="s">
        <v>64</v>
      </c>
      <c r="P85" s="325"/>
      <c r="Q85" s="325"/>
      <c r="R85" s="17" t="str">
        <f t="shared" si="7"/>
        <v>NA</v>
      </c>
      <c r="S85" s="17" t="str">
        <f t="shared" si="8"/>
        <v>NA</v>
      </c>
      <c r="T85" s="17" t="str">
        <f t="shared" si="9"/>
        <v>NA</v>
      </c>
      <c r="U85" s="328"/>
      <c r="V85" s="328"/>
    </row>
    <row r="86" spans="1:22" ht="36" x14ac:dyDescent="0.25">
      <c r="A86" s="343"/>
      <c r="B86" s="343"/>
      <c r="C86" s="58" t="str">
        <f>Final!E43</f>
        <v>d</v>
      </c>
      <c r="D86" s="59" t="str">
        <f>Final!F43</f>
        <v>Aplicación de las políticas institucionales en materia de ubicación, permanencia y ascenso en las categorías del escalafón docente.</v>
      </c>
      <c r="E86" s="61" t="s">
        <v>64</v>
      </c>
      <c r="F86" s="61" t="s">
        <v>64</v>
      </c>
      <c r="G86" s="204" t="s">
        <v>64</v>
      </c>
      <c r="H86" s="204" t="s">
        <v>64</v>
      </c>
      <c r="I86" s="204" t="s">
        <v>64</v>
      </c>
      <c r="J86" s="204" t="s">
        <v>64</v>
      </c>
      <c r="K86" s="204" t="s">
        <v>64</v>
      </c>
      <c r="L86" s="204" t="s">
        <v>64</v>
      </c>
      <c r="M86" s="84" t="s">
        <v>64</v>
      </c>
      <c r="N86" s="84" t="s">
        <v>64</v>
      </c>
      <c r="O86" s="84" t="s">
        <v>64</v>
      </c>
      <c r="P86" s="325"/>
      <c r="Q86" s="325"/>
      <c r="R86" s="17" t="str">
        <f t="shared" si="7"/>
        <v>NA</v>
      </c>
      <c r="S86" s="17" t="str">
        <f t="shared" si="8"/>
        <v>NA</v>
      </c>
      <c r="T86" s="17" t="str">
        <f t="shared" si="9"/>
        <v>NA</v>
      </c>
      <c r="U86" s="328"/>
      <c r="V86" s="328"/>
    </row>
    <row r="87" spans="1:22" ht="60" x14ac:dyDescent="0.25">
      <c r="A87" s="343"/>
      <c r="B87" s="343"/>
      <c r="C87" s="58" t="str">
        <f>Final!E44</f>
        <v>e</v>
      </c>
      <c r="D87" s="59" t="str">
        <f>Final!F44</f>
        <v>Apreciación de directivos y profesores sobre la aplicación de las políticas institucionales en materia de participación del profesorado en los órganos colegiados de dirección de la institución y del proyecto curricular.</v>
      </c>
      <c r="E87" s="11" t="str">
        <f>Apreciación!A118</f>
        <v>Docentes</v>
      </c>
      <c r="F87" s="11" t="str">
        <f>Apreciación!E118</f>
        <v>Cuenta de 17. Conozco los procedimientos para hacer parte de los órganos de dirección del programa académico al cual pertenezco, de la Facultad Tecnológica y de la Universidad Distrital Francisco José de Caldas.</v>
      </c>
      <c r="G87" s="205">
        <f>Apreciación!F118</f>
        <v>0.1111111111111111</v>
      </c>
      <c r="H87" s="205">
        <f>Apreciación!G118</f>
        <v>0</v>
      </c>
      <c r="I87" s="205">
        <f>Apreciación!H118</f>
        <v>0.22222222222222221</v>
      </c>
      <c r="J87" s="205">
        <f>Apreciación!I118</f>
        <v>0.22222222222222221</v>
      </c>
      <c r="K87" s="205">
        <f>Apreciación!J118</f>
        <v>0.44444444444444442</v>
      </c>
      <c r="L87" s="205">
        <f>Apreciación!K118</f>
        <v>0</v>
      </c>
      <c r="M87" s="18">
        <f>(G87*$G$2)+(H87*$H$2)+(I87*$I$2)+(J87*$J$2)+(K87*$K$2)+(L87*$L$2)</f>
        <v>4.0555555555555554</v>
      </c>
      <c r="N87" s="63">
        <f>AVERAGE(M87)</f>
        <v>4.0555555555555554</v>
      </c>
      <c r="O87" s="18">
        <f>AVERAGE(N87)</f>
        <v>4.0555555555555554</v>
      </c>
      <c r="P87" s="325"/>
      <c r="Q87" s="325"/>
      <c r="R87" s="17" t="str">
        <f t="shared" si="7"/>
        <v>B</v>
      </c>
      <c r="S87" s="17" t="str">
        <f t="shared" si="8"/>
        <v>B</v>
      </c>
      <c r="T87" s="17" t="str">
        <f t="shared" si="9"/>
        <v>B</v>
      </c>
      <c r="U87" s="328"/>
      <c r="V87" s="328"/>
    </row>
    <row r="88" spans="1:22" ht="60" x14ac:dyDescent="0.25">
      <c r="A88" s="343"/>
      <c r="B88" s="344"/>
      <c r="C88" s="58" t="str">
        <f>Final!E45</f>
        <v>f</v>
      </c>
      <c r="D88" s="59" t="str">
        <f>Final!F45</f>
        <v>Evidencias sobre la participación de los profesores en los órganos de dirección del proyecto curricular,  de la facultad, del departamento y/o de la institución, durante los últimos cinco años.</v>
      </c>
      <c r="E88" s="61" t="s">
        <v>64</v>
      </c>
      <c r="F88" s="61" t="s">
        <v>64</v>
      </c>
      <c r="G88" s="204" t="s">
        <v>64</v>
      </c>
      <c r="H88" s="204" t="s">
        <v>64</v>
      </c>
      <c r="I88" s="204" t="s">
        <v>64</v>
      </c>
      <c r="J88" s="204" t="s">
        <v>64</v>
      </c>
      <c r="K88" s="204" t="s">
        <v>64</v>
      </c>
      <c r="L88" s="204" t="s">
        <v>64</v>
      </c>
      <c r="M88" s="84" t="s">
        <v>64</v>
      </c>
      <c r="N88" s="84" t="s">
        <v>64</v>
      </c>
      <c r="O88" s="84" t="s">
        <v>64</v>
      </c>
      <c r="P88" s="326"/>
      <c r="Q88" s="325"/>
      <c r="R88" s="17" t="str">
        <f t="shared" si="7"/>
        <v>NA</v>
      </c>
      <c r="S88" s="17" t="str">
        <f t="shared" si="8"/>
        <v>NA</v>
      </c>
      <c r="T88" s="17" t="str">
        <f t="shared" si="9"/>
        <v>NA</v>
      </c>
      <c r="U88" s="329"/>
      <c r="V88" s="328"/>
    </row>
    <row r="89" spans="1:22" ht="96" x14ac:dyDescent="0.25">
      <c r="A89" s="343"/>
      <c r="B89" s="342">
        <v>10</v>
      </c>
      <c r="C89" s="120" t="str">
        <f>Final!E46</f>
        <v>a</v>
      </c>
      <c r="D89" s="119" t="str">
        <f>Final!F46</f>
        <v>Información demostrada sobre la relación de la formación académica de los profesores de planta y vinculación especial, vinculados al proyecto curricular, según tipo de título de especialización, maestría y doctorado, con el objeto de conocimiento del proyecto curricular, indicando la información demostrada acerca de las instituciones en las cuales fueron formados</v>
      </c>
      <c r="E89" s="61" t="s">
        <v>64</v>
      </c>
      <c r="F89" s="61" t="s">
        <v>64</v>
      </c>
      <c r="G89" s="204" t="s">
        <v>64</v>
      </c>
      <c r="H89" s="204" t="s">
        <v>64</v>
      </c>
      <c r="I89" s="204" t="s">
        <v>64</v>
      </c>
      <c r="J89" s="204" t="s">
        <v>64</v>
      </c>
      <c r="K89" s="204" t="s">
        <v>64</v>
      </c>
      <c r="L89" s="204" t="s">
        <v>64</v>
      </c>
      <c r="M89" s="121" t="s">
        <v>64</v>
      </c>
      <c r="N89" s="121" t="s">
        <v>64</v>
      </c>
      <c r="O89" s="121" t="s">
        <v>64</v>
      </c>
      <c r="P89" s="324">
        <f>AVERAGE(O89:O104)</f>
        <v>3.2000553060545576</v>
      </c>
      <c r="Q89" s="325"/>
      <c r="R89" s="17" t="str">
        <f t="shared" si="7"/>
        <v>NA</v>
      </c>
      <c r="S89" s="17" t="str">
        <f t="shared" si="8"/>
        <v>NA</v>
      </c>
      <c r="T89" s="118" t="str">
        <f t="shared" si="9"/>
        <v>NA</v>
      </c>
      <c r="U89" s="327" t="str">
        <f>IF(((P89&gt;=$Z$4)*AND(P89&lt;=$AA$4)),$Y$4,IF(((P89&gt;$AA$4)*AND(P89&lt;=$AA$5)),$Y$5,IF(((P89&gt;$AA$5)*AND(P89&lt;=$AA$6)),$Y$6,IF(((P89&gt;$AA$6)*AND(P89&lt;=$AA$7)),$Y$7,IF(((P89&gt;$AA$7)*AND(P89&lt;=$AA$8)),$Y$8,IF(EXACT(P89,$Y$9),$Z$9))))))</f>
        <v>D</v>
      </c>
      <c r="V89" s="328"/>
    </row>
    <row r="90" spans="1:22" ht="48" x14ac:dyDescent="0.25">
      <c r="A90" s="343"/>
      <c r="B90" s="343"/>
      <c r="C90" s="58" t="str">
        <f>Final!E47</f>
        <v>b</v>
      </c>
      <c r="D90" s="59" t="str">
        <f>Final!F47</f>
        <v>Profesores del proyecto curricular adscritos en forma directa o a través de la Facultad con dedicación de tiempo completo, medio tiempo y cátedra, según nivel de formación</v>
      </c>
      <c r="E90" s="61" t="s">
        <v>64</v>
      </c>
      <c r="F90" s="61" t="s">
        <v>64</v>
      </c>
      <c r="G90" s="204" t="s">
        <v>64</v>
      </c>
      <c r="H90" s="204" t="s">
        <v>64</v>
      </c>
      <c r="I90" s="204" t="s">
        <v>64</v>
      </c>
      <c r="J90" s="204" t="s">
        <v>64</v>
      </c>
      <c r="K90" s="204" t="s">
        <v>64</v>
      </c>
      <c r="L90" s="204" t="s">
        <v>64</v>
      </c>
      <c r="M90" s="84" t="s">
        <v>64</v>
      </c>
      <c r="N90" s="84" t="s">
        <v>64</v>
      </c>
      <c r="O90" s="84" t="s">
        <v>64</v>
      </c>
      <c r="P90" s="325"/>
      <c r="Q90" s="325"/>
      <c r="R90" s="17" t="str">
        <f t="shared" si="7"/>
        <v>NA</v>
      </c>
      <c r="S90" s="17" t="str">
        <f t="shared" si="8"/>
        <v>NA</v>
      </c>
      <c r="T90" s="17" t="str">
        <f t="shared" si="9"/>
        <v>NA</v>
      </c>
      <c r="U90" s="328"/>
      <c r="V90" s="328"/>
    </row>
    <row r="91" spans="1:22" ht="108" x14ac:dyDescent="0.25">
      <c r="A91" s="343"/>
      <c r="B91" s="343"/>
      <c r="C91" s="120" t="str">
        <f>Final!E48</f>
        <v>c</v>
      </c>
      <c r="D91" s="119" t="str">
        <f>Final!F48</f>
        <v>Tiempo de dedicación de los profesores del proyecto curricular a la docencia (incluyendo el desarrollo de productos, artefactos, materiales y prototipos, entre otros), la investigación, la creación artística, a la extensión o proyección social, la atención de funciones de gestión académica o administrativa, la tutoría individual de los estudiantes de acuerdo con la naturaleza del proyecto curricular.</v>
      </c>
      <c r="E91" s="61" t="s">
        <v>64</v>
      </c>
      <c r="F91" s="61" t="s">
        <v>64</v>
      </c>
      <c r="G91" s="204" t="s">
        <v>64</v>
      </c>
      <c r="H91" s="204" t="s">
        <v>64</v>
      </c>
      <c r="I91" s="204" t="s">
        <v>64</v>
      </c>
      <c r="J91" s="204" t="s">
        <v>64</v>
      </c>
      <c r="K91" s="204" t="s">
        <v>64</v>
      </c>
      <c r="L91" s="204" t="s">
        <v>64</v>
      </c>
      <c r="M91" s="121" t="s">
        <v>64</v>
      </c>
      <c r="N91" s="121" t="s">
        <v>64</v>
      </c>
      <c r="O91" s="121" t="s">
        <v>64</v>
      </c>
      <c r="P91" s="325"/>
      <c r="Q91" s="325"/>
      <c r="R91" s="17" t="str">
        <f t="shared" si="7"/>
        <v>NA</v>
      </c>
      <c r="S91" s="118" t="str">
        <f t="shared" si="8"/>
        <v>NA</v>
      </c>
      <c r="T91" s="118" t="str">
        <f t="shared" si="9"/>
        <v>NA</v>
      </c>
      <c r="U91" s="328"/>
      <c r="V91" s="328"/>
    </row>
    <row r="92" spans="1:22" ht="60" x14ac:dyDescent="0.25">
      <c r="A92" s="343"/>
      <c r="B92" s="343"/>
      <c r="C92" s="58" t="str">
        <f>Final!E49</f>
        <v>d</v>
      </c>
      <c r="D92" s="59" t="str">
        <f>Final!F49</f>
        <v>Tiempos de los profesores de cátedra dedicados a las tutorías, el acompañamiento de estudiante y el desarrollo de competencias, especialmente actitudes, conocimientos, capacidades y habilidades.</v>
      </c>
      <c r="E92" s="61" t="s">
        <v>64</v>
      </c>
      <c r="F92" s="61" t="s">
        <v>64</v>
      </c>
      <c r="G92" s="204" t="s">
        <v>64</v>
      </c>
      <c r="H92" s="204" t="s">
        <v>64</v>
      </c>
      <c r="I92" s="204" t="s">
        <v>64</v>
      </c>
      <c r="J92" s="204" t="s">
        <v>64</v>
      </c>
      <c r="K92" s="204" t="s">
        <v>64</v>
      </c>
      <c r="L92" s="204" t="s">
        <v>64</v>
      </c>
      <c r="M92" s="121" t="s">
        <v>64</v>
      </c>
      <c r="N92" s="121" t="s">
        <v>64</v>
      </c>
      <c r="O92" s="121" t="s">
        <v>64</v>
      </c>
      <c r="P92" s="325"/>
      <c r="Q92" s="325"/>
      <c r="R92" s="17" t="str">
        <f t="shared" si="7"/>
        <v>NA</v>
      </c>
      <c r="S92" s="17" t="str">
        <f t="shared" si="8"/>
        <v>NA</v>
      </c>
      <c r="T92" s="17" t="str">
        <f t="shared" si="9"/>
        <v>NA</v>
      </c>
      <c r="U92" s="328"/>
      <c r="V92" s="328"/>
    </row>
    <row r="93" spans="1:22" ht="48" x14ac:dyDescent="0.25">
      <c r="A93" s="343"/>
      <c r="B93" s="343"/>
      <c r="C93" s="58" t="str">
        <f>Final!E50</f>
        <v>e</v>
      </c>
      <c r="D93" s="59" t="str">
        <f>Final!F50</f>
        <v>Experiencia profesional y/o académica de los profesores, según necesidades y exigencias del proyecto curricular para el desarrollo óptimo de sus funciones sustantivas.</v>
      </c>
      <c r="E93" s="61" t="s">
        <v>64</v>
      </c>
      <c r="F93" s="61" t="s">
        <v>64</v>
      </c>
      <c r="G93" s="204" t="s">
        <v>64</v>
      </c>
      <c r="H93" s="204" t="s">
        <v>64</v>
      </c>
      <c r="I93" s="204" t="s">
        <v>64</v>
      </c>
      <c r="J93" s="204" t="s">
        <v>64</v>
      </c>
      <c r="K93" s="204" t="s">
        <v>64</v>
      </c>
      <c r="L93" s="204" t="s">
        <v>64</v>
      </c>
      <c r="M93" s="121" t="s">
        <v>64</v>
      </c>
      <c r="N93" s="121" t="s">
        <v>64</v>
      </c>
      <c r="O93" s="121" t="s">
        <v>64</v>
      </c>
      <c r="P93" s="325"/>
      <c r="Q93" s="325"/>
      <c r="R93" s="17" t="str">
        <f t="shared" si="7"/>
        <v>NA</v>
      </c>
      <c r="S93" s="17" t="str">
        <f t="shared" si="8"/>
        <v>NA</v>
      </c>
      <c r="T93" s="17" t="str">
        <f t="shared" si="9"/>
        <v>NA</v>
      </c>
      <c r="U93" s="328"/>
      <c r="V93" s="328"/>
    </row>
    <row r="94" spans="1:22" ht="48" x14ac:dyDescent="0.25">
      <c r="A94" s="343"/>
      <c r="B94" s="343"/>
      <c r="C94" s="120" t="str">
        <f>Final!E51</f>
        <v>f</v>
      </c>
      <c r="D94" s="119" t="str">
        <f>Final!F51</f>
        <v>Suficiencia del número de profesores con relación a la cantidad de estudiantes del proyecto curricular y sus necesidades de formación de acuerdo con el proyecto educativo.</v>
      </c>
      <c r="E94" s="61" t="s">
        <v>64</v>
      </c>
      <c r="F94" s="61" t="s">
        <v>64</v>
      </c>
      <c r="G94" s="204" t="s">
        <v>64</v>
      </c>
      <c r="H94" s="204" t="s">
        <v>64</v>
      </c>
      <c r="I94" s="204" t="s">
        <v>64</v>
      </c>
      <c r="J94" s="204" t="s">
        <v>64</v>
      </c>
      <c r="K94" s="204" t="s">
        <v>64</v>
      </c>
      <c r="L94" s="204" t="s">
        <v>64</v>
      </c>
      <c r="M94" s="121" t="s">
        <v>64</v>
      </c>
      <c r="N94" s="121" t="s">
        <v>64</v>
      </c>
      <c r="O94" s="121" t="s">
        <v>64</v>
      </c>
      <c r="P94" s="325"/>
      <c r="Q94" s="325"/>
      <c r="R94" s="17" t="str">
        <f t="shared" si="7"/>
        <v>NA</v>
      </c>
      <c r="S94" s="17" t="str">
        <f t="shared" si="8"/>
        <v>NA</v>
      </c>
      <c r="T94" s="118" t="str">
        <f t="shared" si="9"/>
        <v>NA</v>
      </c>
      <c r="U94" s="328"/>
      <c r="V94" s="328"/>
    </row>
    <row r="95" spans="1:22" ht="36" x14ac:dyDescent="0.25">
      <c r="A95" s="343"/>
      <c r="B95" s="343"/>
      <c r="C95" s="333" t="str">
        <f>Final!E52</f>
        <v>g</v>
      </c>
      <c r="D95" s="330" t="str">
        <f>Final!F52</f>
        <v>Apreciación de directivos, profesores y estudiantes del proyecto curricular sobre la calidad y la suficiencia del número y de la dedicación de los profesores al servicio de éste.</v>
      </c>
      <c r="E95" s="11" t="str">
        <f>Apreciación!A18</f>
        <v>Estudiantes</v>
      </c>
      <c r="F95" s="11" t="str">
        <f>Apreciación!E18</f>
        <v>Cuenta de 14. Considero que el número de docentes al servicio de mi programa académico es suficiente.</v>
      </c>
      <c r="G95" s="205">
        <f>Apreciación!F18</f>
        <v>0.12574850299401197</v>
      </c>
      <c r="H95" s="205">
        <f>Apreciación!G18</f>
        <v>0.19161676646706588</v>
      </c>
      <c r="I95" s="205">
        <f>Apreciación!H18</f>
        <v>0.24550898203592814</v>
      </c>
      <c r="J95" s="205">
        <f>Apreciación!I18</f>
        <v>0.26347305389221559</v>
      </c>
      <c r="K95" s="205">
        <f>Apreciación!J18</f>
        <v>0.15568862275449102</v>
      </c>
      <c r="L95" s="205">
        <f>Apreciación!K18</f>
        <v>1.7964071856287425E-2</v>
      </c>
      <c r="M95" s="18">
        <f>(G95*$G$2)+(H95*$H$2)+(I95*$I$2)+(J95*$J$2)+(K95*$K$2)+(L95*$L$2)</f>
        <v>3.5335329341317365</v>
      </c>
      <c r="N95" s="324">
        <f>AVERAGE(M95:M98)</f>
        <v>3.4785179640718562</v>
      </c>
      <c r="O95" s="324">
        <f>(N95*$AE$5)+(N99*$AE$4)+(AVERAGE(N95:N103)*$AE$6)+(AVERAGE(N95:N103)*$AE$8)+(AVERAGE(N95:N103)*$AE$7)</f>
        <v>3.2000553060545576</v>
      </c>
      <c r="P95" s="325"/>
      <c r="Q95" s="325"/>
      <c r="R95" s="17" t="str">
        <f t="shared" si="7"/>
        <v>C</v>
      </c>
      <c r="S95" s="327" t="str">
        <f t="shared" si="8"/>
        <v>D</v>
      </c>
      <c r="T95" s="327" t="str">
        <f t="shared" si="9"/>
        <v>D</v>
      </c>
      <c r="U95" s="328"/>
      <c r="V95" s="328"/>
    </row>
    <row r="96" spans="1:22" ht="36" x14ac:dyDescent="0.25">
      <c r="A96" s="343"/>
      <c r="B96" s="343"/>
      <c r="C96" s="334"/>
      <c r="D96" s="331"/>
      <c r="E96" s="11" t="str">
        <f>Apreciación!A19</f>
        <v>Estudiantes</v>
      </c>
      <c r="F96" s="11" t="str">
        <f>Apreciación!E19</f>
        <v>Cuenta de 15.1. Considero que el tiempo dedicado por los docentes de mi programa académico es adecuado para: LA ENSEÑANZA.</v>
      </c>
      <c r="G96" s="205">
        <f>Apreciación!F19</f>
        <v>5.9880239520958084E-2</v>
      </c>
      <c r="H96" s="205">
        <f>Apreciación!G19</f>
        <v>7.1856287425149698E-2</v>
      </c>
      <c r="I96" s="205">
        <f>Apreciación!H19</f>
        <v>0.38323353293413176</v>
      </c>
      <c r="J96" s="205">
        <f>Apreciación!I19</f>
        <v>0.31736526946107785</v>
      </c>
      <c r="K96" s="205">
        <f>Apreciación!J19</f>
        <v>0.16167664670658682</v>
      </c>
      <c r="L96" s="205">
        <f>Apreciación!K19</f>
        <v>5.9880239520958087E-3</v>
      </c>
      <c r="M96" s="84">
        <f t="shared" ref="M96:M103" si="10">(G96*$G$2)+(H96*$H$2)+(I96*$I$2)+(J96*$J$2)+(K96*$K$2)+(L96*$L$2)</f>
        <v>3.8326347305389223</v>
      </c>
      <c r="N96" s="325"/>
      <c r="O96" s="325"/>
      <c r="P96" s="325"/>
      <c r="Q96" s="325"/>
      <c r="R96" s="17" t="str">
        <f t="shared" ref="R96:R103" si="11">IF(((M96&gt;=$Z$4)*AND(M96&lt;=$AA$4)),$Y$4,IF(((M96&gt;$AA$4)*AND(M96&lt;=$AA$5)),$Y$5,IF(((M96&gt;$AA$5)*AND(M96&lt;=$AA$6)),$Y$6,IF(((M96&gt;$AA$6)*AND(M96&lt;=$AA$7)),$Y$7,IF(((M96&gt;$AA$7)*AND(M96&lt;=$AA$8)),$Y$8,IF(EXACT(M96,$Y$9),$Z$9))))))</f>
        <v>C</v>
      </c>
      <c r="S96" s="328"/>
      <c r="T96" s="328"/>
      <c r="U96" s="328"/>
      <c r="V96" s="328"/>
    </row>
    <row r="97" spans="1:22" ht="36" x14ac:dyDescent="0.25">
      <c r="A97" s="343"/>
      <c r="B97" s="343"/>
      <c r="C97" s="334"/>
      <c r="D97" s="331"/>
      <c r="E97" s="11" t="str">
        <f>Apreciación!A20</f>
        <v>Estudiantes</v>
      </c>
      <c r="F97" s="11" t="str">
        <f>Apreciación!E20</f>
        <v>Cuenta de 15.2. Considero que el tiempo dedicado por los docentes de mi programa académico es adecuado para: LA INVESTIGACIÓN.</v>
      </c>
      <c r="G97" s="205">
        <f>Apreciación!F20</f>
        <v>0.12574850299401197</v>
      </c>
      <c r="H97" s="205">
        <f>Apreciación!G20</f>
        <v>0.1497005988023952</v>
      </c>
      <c r="I97" s="205">
        <f>Apreciación!H20</f>
        <v>0.3532934131736527</v>
      </c>
      <c r="J97" s="205">
        <f>Apreciación!I20</f>
        <v>0.25149700598802394</v>
      </c>
      <c r="K97" s="205">
        <f>Apreciación!J20</f>
        <v>8.9820359281437126E-2</v>
      </c>
      <c r="L97" s="205">
        <f>Apreciación!K20</f>
        <v>2.9940119760479042E-2</v>
      </c>
      <c r="M97" s="84">
        <f t="shared" si="10"/>
        <v>3.4455089820359279</v>
      </c>
      <c r="N97" s="325"/>
      <c r="O97" s="325"/>
      <c r="P97" s="325"/>
      <c r="Q97" s="325"/>
      <c r="R97" s="17" t="str">
        <f t="shared" si="11"/>
        <v>D</v>
      </c>
      <c r="S97" s="328"/>
      <c r="T97" s="328"/>
      <c r="U97" s="328"/>
      <c r="V97" s="328"/>
    </row>
    <row r="98" spans="1:22" ht="48" x14ac:dyDescent="0.25">
      <c r="A98" s="343"/>
      <c r="B98" s="343"/>
      <c r="C98" s="334"/>
      <c r="D98" s="331"/>
      <c r="E98" s="11" t="str">
        <f>Apreciación!A21</f>
        <v>Estudiantes</v>
      </c>
      <c r="F98" s="11" t="str">
        <f>Apreciación!E21</f>
        <v>Cuenta de 15.3. Considero que el tiempo dedicado por los docentes de mi programa académico es adecuado para: LA PARTICIPACIÓN EN PROYECTOS DIRIGIDOS A LA COMUNIDAD.</v>
      </c>
      <c r="G98" s="205">
        <f>Apreciación!F21</f>
        <v>0.16766467065868262</v>
      </c>
      <c r="H98" s="205">
        <f>Apreciación!G21</f>
        <v>0.16766467065868262</v>
      </c>
      <c r="I98" s="205">
        <f>Apreciación!H21</f>
        <v>0.29940119760479039</v>
      </c>
      <c r="J98" s="205">
        <f>Apreciación!I21</f>
        <v>0.22155688622754491</v>
      </c>
      <c r="K98" s="205">
        <f>Apreciación!J21</f>
        <v>5.9880239520958084E-2</v>
      </c>
      <c r="L98" s="205">
        <f>Apreciación!K21</f>
        <v>8.3832335329341312E-2</v>
      </c>
      <c r="M98" s="84">
        <f t="shared" si="10"/>
        <v>3.1023952095808385</v>
      </c>
      <c r="N98" s="325"/>
      <c r="O98" s="325"/>
      <c r="P98" s="325"/>
      <c r="Q98" s="325"/>
      <c r="R98" s="17" t="str">
        <f t="shared" si="11"/>
        <v>D</v>
      </c>
      <c r="S98" s="328"/>
      <c r="T98" s="328"/>
      <c r="U98" s="328"/>
      <c r="V98" s="328"/>
    </row>
    <row r="99" spans="1:22" ht="48" x14ac:dyDescent="0.25">
      <c r="A99" s="343"/>
      <c r="B99" s="343"/>
      <c r="C99" s="334"/>
      <c r="D99" s="331"/>
      <c r="E99" s="11" t="str">
        <f>Apreciación!A119</f>
        <v>Docentes</v>
      </c>
      <c r="F99" s="11" t="str">
        <f>Apreciación!E119</f>
        <v>Cuenta de 18. Considero que el número de docentes de tiempo completo al servicio del programa académico al cual pertenezco es suficiente.</v>
      </c>
      <c r="G99" s="205">
        <f>Apreciación!F119</f>
        <v>0.33333333333333331</v>
      </c>
      <c r="H99" s="205">
        <f>Apreciación!G119</f>
        <v>0.18518518518518517</v>
      </c>
      <c r="I99" s="205">
        <f>Apreciación!H119</f>
        <v>0.37037037037037035</v>
      </c>
      <c r="J99" s="205">
        <f>Apreciación!I119</f>
        <v>3.7037037037037035E-2</v>
      </c>
      <c r="K99" s="205">
        <f>Apreciación!J119</f>
        <v>7.407407407407407E-2</v>
      </c>
      <c r="L99" s="205">
        <f>Apreciación!K119</f>
        <v>0</v>
      </c>
      <c r="M99" s="84">
        <f t="shared" si="10"/>
        <v>2.9907407407407405</v>
      </c>
      <c r="N99" s="324">
        <f>AVERAGE(M99:M103)</f>
        <v>2.9722222222222223</v>
      </c>
      <c r="O99" s="325"/>
      <c r="P99" s="325"/>
      <c r="Q99" s="325"/>
      <c r="R99" s="17" t="str">
        <f t="shared" si="11"/>
        <v>D</v>
      </c>
      <c r="S99" s="327" t="str">
        <f>IF(((N99&gt;=$Z$4)*AND(N99&lt;=$AA$4)),$Y$4,IF(((N99&gt;$AA$4)*AND(N99&lt;=$AA$5)),$Y$5,IF(((N99&gt;$AA$5)*AND(N99&lt;=$AA$6)),$Y$6,IF(((N99&gt;$AA$6)*AND(N99&lt;=$AA$7)),$Y$7,IF(((N99&gt;$AA$7)*AND(N99&lt;=$AA$8)),$Y$8,IF(EXACT(N99,$Y$9),$Z$9))))))</f>
        <v>D</v>
      </c>
      <c r="T99" s="328"/>
      <c r="U99" s="328"/>
      <c r="V99" s="328"/>
    </row>
    <row r="100" spans="1:22" ht="36" x14ac:dyDescent="0.25">
      <c r="A100" s="343"/>
      <c r="B100" s="343"/>
      <c r="C100" s="334"/>
      <c r="D100" s="331"/>
      <c r="E100" s="11" t="str">
        <f>Apreciación!A120</f>
        <v>Docentes</v>
      </c>
      <c r="F100" s="11" t="str">
        <f>Apreciación!E120</f>
        <v>Cuenta de 19.1. Considero que el tiempo que dedico a las siguientes actividades es suficiente: A LA DOCENCIA</v>
      </c>
      <c r="G100" s="205">
        <f>Apreciación!F120</f>
        <v>3.7037037037037035E-2</v>
      </c>
      <c r="H100" s="205">
        <f>Apreciación!G120</f>
        <v>0.1111111111111111</v>
      </c>
      <c r="I100" s="205">
        <f>Apreciación!H120</f>
        <v>7.407407407407407E-2</v>
      </c>
      <c r="J100" s="205">
        <f>Apreciación!I120</f>
        <v>0.1111111111111111</v>
      </c>
      <c r="K100" s="205">
        <f>Apreciación!J120</f>
        <v>0.66666666666666663</v>
      </c>
      <c r="L100" s="205">
        <f>Apreciación!K120</f>
        <v>0</v>
      </c>
      <c r="M100" s="84">
        <f t="shared" si="10"/>
        <v>4.2981481481481474</v>
      </c>
      <c r="N100" s="325"/>
      <c r="O100" s="325"/>
      <c r="P100" s="325"/>
      <c r="Q100" s="325"/>
      <c r="R100" s="17" t="str">
        <f t="shared" si="11"/>
        <v>B</v>
      </c>
      <c r="S100" s="328"/>
      <c r="T100" s="328"/>
      <c r="U100" s="328"/>
      <c r="V100" s="328"/>
    </row>
    <row r="101" spans="1:22" ht="36" x14ac:dyDescent="0.25">
      <c r="A101" s="343"/>
      <c r="B101" s="343"/>
      <c r="C101" s="334"/>
      <c r="D101" s="331"/>
      <c r="E101" s="11" t="str">
        <f>Apreciación!A121</f>
        <v>Docentes</v>
      </c>
      <c r="F101" s="11" t="str">
        <f>Apreciación!E121</f>
        <v>Cuenta de 19.2. Considero que el tiempo que dedico a las siguientes actividades es suficiente: A LA INVESTIGACIÓN</v>
      </c>
      <c r="G101" s="205">
        <f>Apreciación!F121</f>
        <v>0.25925925925925924</v>
      </c>
      <c r="H101" s="205">
        <f>Apreciación!G121</f>
        <v>7.407407407407407E-2</v>
      </c>
      <c r="I101" s="205">
        <f>Apreciación!H121</f>
        <v>0.22222222222222221</v>
      </c>
      <c r="J101" s="205">
        <f>Apreciación!I121</f>
        <v>7.407407407407407E-2</v>
      </c>
      <c r="K101" s="205">
        <f>Apreciación!J121</f>
        <v>0.18518518518518517</v>
      </c>
      <c r="L101" s="205">
        <f>Apreciación!K121</f>
        <v>0.18518518518518517</v>
      </c>
      <c r="M101" s="84">
        <f t="shared" si="10"/>
        <v>2.6722222222222221</v>
      </c>
      <c r="N101" s="325"/>
      <c r="O101" s="325"/>
      <c r="P101" s="325"/>
      <c r="Q101" s="325"/>
      <c r="R101" s="17" t="str">
        <f t="shared" si="11"/>
        <v>D</v>
      </c>
      <c r="S101" s="328"/>
      <c r="T101" s="328"/>
      <c r="U101" s="328"/>
      <c r="V101" s="328"/>
    </row>
    <row r="102" spans="1:22" ht="36" x14ac:dyDescent="0.25">
      <c r="A102" s="343"/>
      <c r="B102" s="343"/>
      <c r="C102" s="334"/>
      <c r="D102" s="331"/>
      <c r="E102" s="11" t="str">
        <f>Apreciación!A122</f>
        <v>Docentes</v>
      </c>
      <c r="F102" s="11" t="str">
        <f>Apreciación!E122</f>
        <v>Cuenta de 19.3. Considero que el tiempo que dedico a las siguientes actividades es suficiente: A LA PARTICIPACIÓN EN PROYECTOS DE EXTENSIÓN.</v>
      </c>
      <c r="G102" s="205">
        <f>Apreciación!F122</f>
        <v>0.37037037037037035</v>
      </c>
      <c r="H102" s="205">
        <f>Apreciación!G122</f>
        <v>7.407407407407407E-2</v>
      </c>
      <c r="I102" s="205">
        <f>Apreciación!H122</f>
        <v>0.25925925925925924</v>
      </c>
      <c r="J102" s="205">
        <f>Apreciación!I122</f>
        <v>3.7037037037037035E-2</v>
      </c>
      <c r="K102" s="205">
        <f>Apreciación!J122</f>
        <v>3.7037037037037035E-2</v>
      </c>
      <c r="L102" s="205">
        <f>Apreciación!K122</f>
        <v>0.22222222222222221</v>
      </c>
      <c r="M102" s="84">
        <f t="shared" si="10"/>
        <v>2.1388888888888888</v>
      </c>
      <c r="N102" s="325"/>
      <c r="O102" s="325"/>
      <c r="P102" s="325"/>
      <c r="Q102" s="325"/>
      <c r="R102" s="17" t="str">
        <f t="shared" si="11"/>
        <v>E</v>
      </c>
      <c r="S102" s="328"/>
      <c r="T102" s="328"/>
      <c r="U102" s="328"/>
      <c r="V102" s="328"/>
    </row>
    <row r="103" spans="1:22" ht="60" x14ac:dyDescent="0.25">
      <c r="A103" s="343"/>
      <c r="B103" s="343"/>
      <c r="C103" s="334"/>
      <c r="D103" s="331"/>
      <c r="E103" s="11" t="str">
        <f>Apreciación!A123</f>
        <v>Docentes</v>
      </c>
      <c r="F103" s="11" t="str">
        <f>Apreciación!E123</f>
        <v>Cuenta de 20. Considero que el tiempo de dedicación que los profesores de vinculación especial (TCO, MTO y HC) en actividades de consejería, atención a estudiantes y corrección de trabajos de grado es adecuado.</v>
      </c>
      <c r="G103" s="205">
        <f>Apreciación!F123</f>
        <v>0.33333333333333331</v>
      </c>
      <c r="H103" s="205">
        <f>Apreciación!G123</f>
        <v>0.22222222222222221</v>
      </c>
      <c r="I103" s="205">
        <f>Apreciación!H123</f>
        <v>7.407407407407407E-2</v>
      </c>
      <c r="J103" s="205">
        <f>Apreciación!I123</f>
        <v>0.25925925925925924</v>
      </c>
      <c r="K103" s="205">
        <f>Apreciación!J123</f>
        <v>3.7037037037037035E-2</v>
      </c>
      <c r="L103" s="205">
        <f>Apreciación!K123</f>
        <v>7.407407407407407E-2</v>
      </c>
      <c r="M103" s="84">
        <f t="shared" si="10"/>
        <v>2.7611111111111115</v>
      </c>
      <c r="N103" s="325"/>
      <c r="O103" s="325"/>
      <c r="P103" s="325"/>
      <c r="Q103" s="325"/>
      <c r="R103" s="17" t="str">
        <f t="shared" si="11"/>
        <v>D</v>
      </c>
      <c r="S103" s="328"/>
      <c r="T103" s="328"/>
      <c r="U103" s="328"/>
      <c r="V103" s="328"/>
    </row>
    <row r="104" spans="1:22" ht="96" x14ac:dyDescent="0.25">
      <c r="A104" s="343"/>
      <c r="B104" s="344"/>
      <c r="C104" s="58" t="str">
        <f>Final!E53</f>
        <v>h</v>
      </c>
      <c r="D104" s="59" t="str">
        <f>Final!F53</f>
        <v>Existencia y utilización de sistemas y criterios para evaluar el número, la dedicación, el nivel de formación y la experiencia de los profesores del proyecto curricular; periodicidad de esta evaluación; acciones adelantadas por la institución y el proyecto curricular, a partir de los resultados de las evaluaciones realizadas en esta materia en los últimos cinco años.</v>
      </c>
      <c r="E104" s="61" t="s">
        <v>64</v>
      </c>
      <c r="F104" s="61" t="s">
        <v>64</v>
      </c>
      <c r="G104" s="204" t="s">
        <v>64</v>
      </c>
      <c r="H104" s="204" t="s">
        <v>64</v>
      </c>
      <c r="I104" s="204" t="s">
        <v>64</v>
      </c>
      <c r="J104" s="204" t="s">
        <v>64</v>
      </c>
      <c r="K104" s="204" t="s">
        <v>64</v>
      </c>
      <c r="L104" s="204" t="s">
        <v>64</v>
      </c>
      <c r="M104" s="84" t="s">
        <v>64</v>
      </c>
      <c r="N104" s="84" t="s">
        <v>64</v>
      </c>
      <c r="O104" s="84" t="s">
        <v>64</v>
      </c>
      <c r="P104" s="326"/>
      <c r="Q104" s="325"/>
      <c r="R104" s="17" t="str">
        <f t="shared" si="7"/>
        <v>NA</v>
      </c>
      <c r="S104" s="17" t="str">
        <f t="shared" si="8"/>
        <v>NA</v>
      </c>
      <c r="T104" s="17" t="str">
        <f t="shared" si="9"/>
        <v>NA</v>
      </c>
      <c r="U104" s="329"/>
      <c r="V104" s="328"/>
    </row>
    <row r="105" spans="1:22" ht="72" x14ac:dyDescent="0.25">
      <c r="A105" s="343"/>
      <c r="B105" s="342">
        <v>11</v>
      </c>
      <c r="C105" s="58" t="str">
        <f>Final!E54</f>
        <v>a</v>
      </c>
      <c r="D105" s="59" t="str">
        <f>Final!F54</f>
        <v>Políticas institucionales y evidencias de aplicación, en materia de desarrollo integral del profesorado, que incluyan la capacitación y actualización en los aspectos académicos, profesionales y pedagógicos relacionados con la metodología del proyecto curricular</v>
      </c>
      <c r="E105" s="61" t="s">
        <v>64</v>
      </c>
      <c r="F105" s="61" t="s">
        <v>64</v>
      </c>
      <c r="G105" s="204" t="s">
        <v>64</v>
      </c>
      <c r="H105" s="204" t="s">
        <v>64</v>
      </c>
      <c r="I105" s="204" t="s">
        <v>64</v>
      </c>
      <c r="J105" s="204" t="s">
        <v>64</v>
      </c>
      <c r="K105" s="204" t="s">
        <v>64</v>
      </c>
      <c r="L105" s="204" t="s">
        <v>64</v>
      </c>
      <c r="M105" s="84" t="s">
        <v>64</v>
      </c>
      <c r="N105" s="84" t="s">
        <v>64</v>
      </c>
      <c r="O105" s="84" t="s">
        <v>64</v>
      </c>
      <c r="P105" s="324">
        <f>AVERAGE(O105:O111)</f>
        <v>3.3749999999999996</v>
      </c>
      <c r="Q105" s="325"/>
      <c r="R105" s="17" t="str">
        <f t="shared" si="7"/>
        <v>NA</v>
      </c>
      <c r="S105" s="17" t="str">
        <f t="shared" si="8"/>
        <v>NA</v>
      </c>
      <c r="T105" s="17" t="str">
        <f t="shared" si="9"/>
        <v>NA</v>
      </c>
      <c r="U105" s="327" t="str">
        <f>IF(((P105&gt;=$Z$4)*AND(P105&lt;=$AA$4)),$Y$4,IF(((P105&gt;$AA$4)*AND(P105&lt;=$AA$5)),$Y$5,IF(((P105&gt;$AA$5)*AND(P105&lt;=$AA$6)),$Y$6,IF(((P105&gt;$AA$6)*AND(P105&lt;=$AA$7)),$Y$7,IF(((P105&gt;$AA$7)*AND(P105&lt;=$AA$8)),$Y$8,IF(EXACT(P105,$Y$9),$Z$9))))))</f>
        <v>D</v>
      </c>
      <c r="V105" s="328"/>
    </row>
    <row r="106" spans="1:22" ht="72" x14ac:dyDescent="0.25">
      <c r="A106" s="343"/>
      <c r="B106" s="343"/>
      <c r="C106" s="58" t="str">
        <f>Final!E55</f>
        <v>b</v>
      </c>
      <c r="D106" s="59" t="str">
        <f>Final!F55</f>
        <v>Número de profesores del proyecto curricular, que han participado en los últimos cinco años en programas de desarrollo profesoral o que han recibido apoyo a la capacitación y actualización permanente, como resultado de las políticas institucionales orientadas para tal fin.</v>
      </c>
      <c r="E106" s="61" t="s">
        <v>64</v>
      </c>
      <c r="F106" s="61" t="s">
        <v>64</v>
      </c>
      <c r="G106" s="204" t="s">
        <v>64</v>
      </c>
      <c r="H106" s="204" t="s">
        <v>64</v>
      </c>
      <c r="I106" s="204" t="s">
        <v>64</v>
      </c>
      <c r="J106" s="204" t="s">
        <v>64</v>
      </c>
      <c r="K106" s="204" t="s">
        <v>64</v>
      </c>
      <c r="L106" s="204" t="s">
        <v>64</v>
      </c>
      <c r="M106" s="84" t="s">
        <v>64</v>
      </c>
      <c r="N106" s="84" t="s">
        <v>64</v>
      </c>
      <c r="O106" s="84" t="s">
        <v>64</v>
      </c>
      <c r="P106" s="325"/>
      <c r="Q106" s="325"/>
      <c r="R106" s="17" t="str">
        <f t="shared" si="7"/>
        <v>NA</v>
      </c>
      <c r="S106" s="17" t="str">
        <f t="shared" si="8"/>
        <v>NA</v>
      </c>
      <c r="T106" s="17" t="str">
        <f t="shared" si="9"/>
        <v>NA</v>
      </c>
      <c r="U106" s="328"/>
      <c r="V106" s="328"/>
    </row>
    <row r="107" spans="1:22" ht="48" x14ac:dyDescent="0.25">
      <c r="A107" s="343"/>
      <c r="B107" s="343"/>
      <c r="C107" s="333" t="str">
        <f>Final!E56</f>
        <v>c</v>
      </c>
      <c r="D107" s="330" t="str">
        <f>Final!F56</f>
        <v>Apreciación de directivos y profesores del proyecto curricular, sobre el impacto que han tenido las acciones orientadas al desarrollo integral de los profesores, en el enriquecimiento de la calidad del proyecto curricular.</v>
      </c>
      <c r="E107" s="11" t="str">
        <f>Apreciación!A124</f>
        <v>Docentes</v>
      </c>
      <c r="F107" s="11" t="str">
        <f>Apreciación!E124</f>
        <v>Cuenta de 21. Conozco los procedimientos para acceder a los apoyos económicos institucionales para participar en actividades de formación o actualización.</v>
      </c>
      <c r="G107" s="205">
        <f>Apreciación!F124</f>
        <v>0.27777777777777779</v>
      </c>
      <c r="H107" s="205">
        <f>Apreciación!G124</f>
        <v>0</v>
      </c>
      <c r="I107" s="205">
        <f>Apreciación!H124</f>
        <v>0.1111111111111111</v>
      </c>
      <c r="J107" s="205">
        <f>Apreciación!I124</f>
        <v>0.27777777777777779</v>
      </c>
      <c r="K107" s="205">
        <f>Apreciación!J124</f>
        <v>0.33333333333333331</v>
      </c>
      <c r="L107" s="205">
        <f>Apreciación!K124</f>
        <v>0</v>
      </c>
      <c r="M107" s="18">
        <f>(G107*$G$2)+(H107*$H$2)+(I107*$I$2)+(J107*$J$2)+(K107*$K$2)+(L107*$L$2)</f>
        <v>3.6333333333333329</v>
      </c>
      <c r="N107" s="324">
        <f>AVERAGE(M107:M108)</f>
        <v>3.3749999999999996</v>
      </c>
      <c r="O107" s="324">
        <f>AVERAGE(N107)</f>
        <v>3.3749999999999996</v>
      </c>
      <c r="P107" s="325"/>
      <c r="Q107" s="325"/>
      <c r="R107" s="17" t="str">
        <f t="shared" si="7"/>
        <v>C</v>
      </c>
      <c r="S107" s="327" t="str">
        <f t="shared" si="8"/>
        <v>D</v>
      </c>
      <c r="T107" s="327" t="str">
        <f t="shared" si="9"/>
        <v>D</v>
      </c>
      <c r="U107" s="328"/>
      <c r="V107" s="328"/>
    </row>
    <row r="108" spans="1:22" ht="60" x14ac:dyDescent="0.25">
      <c r="A108" s="343"/>
      <c r="B108" s="343"/>
      <c r="C108" s="335"/>
      <c r="D108" s="332"/>
      <c r="E108" s="11" t="str">
        <f>Apreciación!A125</f>
        <v>Docentes</v>
      </c>
      <c r="F108" s="73" t="str">
        <f>Apreciación!E125</f>
        <v>Cuenta de 22. Considero que el programa académico al cual pertenezco controla la participación de los docentes en actividades de actualización o capacitación acordes con las necesidades y objetivos colectivos.</v>
      </c>
      <c r="G108" s="204">
        <f>Apreciación!F125</f>
        <v>0.14814814814814814</v>
      </c>
      <c r="H108" s="204">
        <f>Apreciación!G125</f>
        <v>0.1111111111111111</v>
      </c>
      <c r="I108" s="204">
        <f>Apreciación!H125</f>
        <v>0.14814814814814814</v>
      </c>
      <c r="J108" s="204">
        <f>Apreciación!I125</f>
        <v>0.22222222222222221</v>
      </c>
      <c r="K108" s="204">
        <f>Apreciación!J125</f>
        <v>0.22222222222222221</v>
      </c>
      <c r="L108" s="204">
        <f>Apreciación!K125</f>
        <v>0.14814814814814814</v>
      </c>
      <c r="M108" s="84">
        <f>(G108*$G$2)+(H108*$H$2)+(I108*$I$2)+(J108*$J$2)+(K108*$K$2)+(L108*$L$2)</f>
        <v>3.1166666666666663</v>
      </c>
      <c r="N108" s="326"/>
      <c r="O108" s="326"/>
      <c r="P108" s="325"/>
      <c r="Q108" s="325"/>
      <c r="R108" s="17" t="str">
        <f t="shared" si="7"/>
        <v>D</v>
      </c>
      <c r="S108" s="329"/>
      <c r="T108" s="329"/>
      <c r="U108" s="328"/>
      <c r="V108" s="328"/>
    </row>
    <row r="109" spans="1:22" ht="48" x14ac:dyDescent="0.25">
      <c r="A109" s="343"/>
      <c r="B109" s="343"/>
      <c r="C109" s="58" t="str">
        <f>Final!E57</f>
        <v>d</v>
      </c>
      <c r="D109" s="59" t="str">
        <f>Final!F57</f>
        <v>Acompañamiento por expertos, para la cualificación de la labor pedagógica de los profesores, de acuerdo con el tipo y metodología del proyecto curricular.</v>
      </c>
      <c r="E109" s="61" t="s">
        <v>64</v>
      </c>
      <c r="F109" s="61" t="s">
        <v>64</v>
      </c>
      <c r="G109" s="204" t="s">
        <v>64</v>
      </c>
      <c r="H109" s="204" t="s">
        <v>64</v>
      </c>
      <c r="I109" s="204" t="s">
        <v>64</v>
      </c>
      <c r="J109" s="204" t="s">
        <v>64</v>
      </c>
      <c r="K109" s="204" t="s">
        <v>64</v>
      </c>
      <c r="L109" s="204" t="s">
        <v>64</v>
      </c>
      <c r="M109" s="84" t="s">
        <v>64</v>
      </c>
      <c r="N109" s="84" t="s">
        <v>64</v>
      </c>
      <c r="O109" s="84" t="s">
        <v>64</v>
      </c>
      <c r="P109" s="325"/>
      <c r="Q109" s="325"/>
      <c r="R109" s="17" t="str">
        <f t="shared" si="7"/>
        <v>NA</v>
      </c>
      <c r="S109" s="17" t="str">
        <f t="shared" si="8"/>
        <v>NA</v>
      </c>
      <c r="T109" s="17" t="str">
        <f t="shared" si="9"/>
        <v>NA</v>
      </c>
      <c r="U109" s="328"/>
      <c r="V109" s="328"/>
    </row>
    <row r="110" spans="1:22" ht="24" x14ac:dyDescent="0.25">
      <c r="A110" s="343"/>
      <c r="B110" s="343"/>
      <c r="C110" s="58" t="str">
        <f>Final!E58</f>
        <v>e</v>
      </c>
      <c r="D110" s="59" t="str">
        <f>Final!F58</f>
        <v>Reconocimiento a los profesores que participan en procesos de creación artística y cultural.</v>
      </c>
      <c r="E110" s="61" t="s">
        <v>64</v>
      </c>
      <c r="F110" s="61" t="s">
        <v>64</v>
      </c>
      <c r="G110" s="204" t="s">
        <v>64</v>
      </c>
      <c r="H110" s="204" t="s">
        <v>64</v>
      </c>
      <c r="I110" s="204" t="s">
        <v>64</v>
      </c>
      <c r="J110" s="204" t="s">
        <v>64</v>
      </c>
      <c r="K110" s="204" t="s">
        <v>64</v>
      </c>
      <c r="L110" s="204" t="s">
        <v>64</v>
      </c>
      <c r="M110" s="84" t="s">
        <v>64</v>
      </c>
      <c r="N110" s="84" t="s">
        <v>64</v>
      </c>
      <c r="O110" s="84" t="s">
        <v>64</v>
      </c>
      <c r="P110" s="325"/>
      <c r="Q110" s="325"/>
      <c r="R110" s="17" t="str">
        <f t="shared" si="7"/>
        <v>NA</v>
      </c>
      <c r="S110" s="17" t="str">
        <f t="shared" si="8"/>
        <v>NA</v>
      </c>
      <c r="T110" s="17" t="str">
        <f t="shared" si="9"/>
        <v>NA</v>
      </c>
      <c r="U110" s="328"/>
      <c r="V110" s="328"/>
    </row>
    <row r="111" spans="1:22" ht="36" x14ac:dyDescent="0.25">
      <c r="A111" s="343"/>
      <c r="B111" s="344"/>
      <c r="C111" s="58" t="str">
        <f>Final!E59</f>
        <v>f</v>
      </c>
      <c r="D111" s="59" t="str">
        <f>Final!F59</f>
        <v>Estrategias orientadas a la actualización docente en temas relacionados con la atención a la diversidad poblacional.</v>
      </c>
      <c r="E111" s="61" t="s">
        <v>64</v>
      </c>
      <c r="F111" s="61" t="s">
        <v>64</v>
      </c>
      <c r="G111" s="204" t="s">
        <v>64</v>
      </c>
      <c r="H111" s="204" t="s">
        <v>64</v>
      </c>
      <c r="I111" s="204" t="s">
        <v>64</v>
      </c>
      <c r="J111" s="204" t="s">
        <v>64</v>
      </c>
      <c r="K111" s="204" t="s">
        <v>64</v>
      </c>
      <c r="L111" s="204" t="s">
        <v>64</v>
      </c>
      <c r="M111" s="84" t="s">
        <v>64</v>
      </c>
      <c r="N111" s="84" t="s">
        <v>64</v>
      </c>
      <c r="O111" s="84" t="s">
        <v>64</v>
      </c>
      <c r="P111" s="326"/>
      <c r="Q111" s="325"/>
      <c r="R111" s="17" t="str">
        <f t="shared" si="7"/>
        <v>NA</v>
      </c>
      <c r="S111" s="17" t="str">
        <f t="shared" si="8"/>
        <v>NA</v>
      </c>
      <c r="T111" s="17" t="str">
        <f t="shared" si="9"/>
        <v>NA</v>
      </c>
      <c r="U111" s="329"/>
      <c r="V111" s="328"/>
    </row>
    <row r="112" spans="1:22" ht="96" x14ac:dyDescent="0.25">
      <c r="A112" s="343"/>
      <c r="B112" s="342">
        <v>12</v>
      </c>
      <c r="C112" s="58" t="str">
        <f>Final!E60</f>
        <v>a</v>
      </c>
      <c r="D112" s="59" t="str">
        <f>Final!F60</f>
        <v>Aplicación de las políticas de estímulo y reconocimiento a los profesores por el ejercicio calificado de la docencia, investigación, innovación, creación artística, técnica y tecnología, extensión o proyección social y cooperación internacional y evidenciar la incidencia de dichos reconocimientos frente a la actividad docente.</v>
      </c>
      <c r="E112" s="61" t="s">
        <v>64</v>
      </c>
      <c r="F112" s="61" t="s">
        <v>64</v>
      </c>
      <c r="G112" s="204" t="s">
        <v>64</v>
      </c>
      <c r="H112" s="204" t="s">
        <v>64</v>
      </c>
      <c r="I112" s="204" t="s">
        <v>64</v>
      </c>
      <c r="J112" s="204" t="s">
        <v>64</v>
      </c>
      <c r="K112" s="204" t="s">
        <v>64</v>
      </c>
      <c r="L112" s="204" t="s">
        <v>64</v>
      </c>
      <c r="M112" s="84" t="s">
        <v>64</v>
      </c>
      <c r="N112" s="84" t="s">
        <v>64</v>
      </c>
      <c r="O112" s="84" t="s">
        <v>64</v>
      </c>
      <c r="P112" s="324">
        <f>AVERAGE(O112:O114)</f>
        <v>2.9249999999999998</v>
      </c>
      <c r="Q112" s="325"/>
      <c r="R112" s="17" t="str">
        <f t="shared" si="7"/>
        <v>NA</v>
      </c>
      <c r="S112" s="17" t="str">
        <f t="shared" si="8"/>
        <v>NA</v>
      </c>
      <c r="T112" s="17" t="str">
        <f t="shared" si="9"/>
        <v>NA</v>
      </c>
      <c r="U112" s="327" t="str">
        <f>IF(((P112&gt;=$Z$4)*AND(P112&lt;=$AA$4)),$Y$4,IF(((P112&gt;$AA$4)*AND(P112&lt;=$AA$5)),$Y$5,IF(((P112&gt;$AA$5)*AND(P112&lt;=$AA$6)),$Y$6,IF(((P112&gt;$AA$6)*AND(P112&lt;=$AA$7)),$Y$7,IF(((P112&gt;$AA$7)*AND(P112&lt;=$AA$8)),$Y$8,IF(EXACT(P112,$Y$9),$Z$9))))))</f>
        <v>D</v>
      </c>
      <c r="V112" s="328"/>
    </row>
    <row r="113" spans="1:22" ht="72" x14ac:dyDescent="0.25">
      <c r="A113" s="343"/>
      <c r="B113" s="343"/>
      <c r="C113" s="58" t="str">
        <f>Final!E61</f>
        <v>b</v>
      </c>
      <c r="D113" s="59" t="str">
        <f>Final!F61</f>
        <v>Estrategias que promueven la creación artística y cultural, la innovación, la adaptación, la transferencia técnica y tecnológica, la creación de tecnofactos y prototipos, y la obtención de patentes, de acuerdo con la naturaleza del proyecto curricular.</v>
      </c>
      <c r="E113" s="61" t="s">
        <v>64</v>
      </c>
      <c r="F113" s="61" t="s">
        <v>64</v>
      </c>
      <c r="G113" s="204" t="s">
        <v>64</v>
      </c>
      <c r="H113" s="204" t="s">
        <v>64</v>
      </c>
      <c r="I113" s="204" t="s">
        <v>64</v>
      </c>
      <c r="J113" s="204" t="s">
        <v>64</v>
      </c>
      <c r="K113" s="204" t="s">
        <v>64</v>
      </c>
      <c r="L113" s="204" t="s">
        <v>64</v>
      </c>
      <c r="M113" s="84" t="s">
        <v>64</v>
      </c>
      <c r="N113" s="84" t="s">
        <v>64</v>
      </c>
      <c r="O113" s="84" t="s">
        <v>64</v>
      </c>
      <c r="P113" s="325"/>
      <c r="Q113" s="325"/>
      <c r="R113" s="17" t="str">
        <f t="shared" si="7"/>
        <v>NA</v>
      </c>
      <c r="S113" s="17" t="str">
        <f t="shared" si="8"/>
        <v>NA</v>
      </c>
      <c r="T113" s="17" t="str">
        <f t="shared" si="9"/>
        <v>NA</v>
      </c>
      <c r="U113" s="328"/>
      <c r="V113" s="328"/>
    </row>
    <row r="114" spans="1:22" ht="108" x14ac:dyDescent="0.25">
      <c r="A114" s="343"/>
      <c r="B114" s="344"/>
      <c r="C114" s="58" t="str">
        <f>Final!E62</f>
        <v>c</v>
      </c>
      <c r="D114" s="6" t="str">
        <f>Final!F62</f>
        <v>Apreciación de directivos y profesores del proyecto curricular sobre el impacto que, para el enriquecimiento de la calidad del mismo , ha tenido el régimen de estímulos al profesorado por el ejercicio calificado de la docencia, la investigación, la innovación, la creación artística y cultural, la extensión o proyección social, los aportes al desarrollo técnico y tecnológico y la cooperación internacional.</v>
      </c>
      <c r="E114" s="11" t="str">
        <f>Apreciación!A126</f>
        <v>Docentes</v>
      </c>
      <c r="F114" s="11" t="str">
        <f>Apreciación!E126</f>
        <v>Cuenta de 23. Considero que el sistema de bonificaciones y el de asignación de puntos salariales para los profesores de planta es transparente.</v>
      </c>
      <c r="G114" s="205">
        <f>Apreciación!F126</f>
        <v>0.1111111111111111</v>
      </c>
      <c r="H114" s="205">
        <f>Apreciación!G126</f>
        <v>5.5555555555555552E-2</v>
      </c>
      <c r="I114" s="205">
        <f>Apreciación!H126</f>
        <v>0.1111111111111111</v>
      </c>
      <c r="J114" s="205">
        <f>Apreciación!I126</f>
        <v>0.3888888888888889</v>
      </c>
      <c r="K114" s="205">
        <f>Apreciación!J126</f>
        <v>0.1111111111111111</v>
      </c>
      <c r="L114" s="205">
        <f>Apreciación!K126</f>
        <v>0.22222222222222221</v>
      </c>
      <c r="M114" s="18">
        <f>(G114*$G$2)+(H114*$H$2)+(I114*$I$2)+(J114*$J$2)+(K114*$K$2)+(L114*$L$2)</f>
        <v>2.9249999999999998</v>
      </c>
      <c r="N114" s="63">
        <f>AVERAGE(M114)</f>
        <v>2.9249999999999998</v>
      </c>
      <c r="O114" s="18">
        <f>AVERAGE(N114)</f>
        <v>2.9249999999999998</v>
      </c>
      <c r="P114" s="326"/>
      <c r="Q114" s="325"/>
      <c r="R114" s="17" t="str">
        <f t="shared" si="7"/>
        <v>D</v>
      </c>
      <c r="S114" s="17" t="str">
        <f t="shared" si="8"/>
        <v>D</v>
      </c>
      <c r="T114" s="17" t="str">
        <f t="shared" si="9"/>
        <v>D</v>
      </c>
      <c r="U114" s="329"/>
      <c r="V114" s="328"/>
    </row>
    <row r="115" spans="1:22" ht="60" x14ac:dyDescent="0.25">
      <c r="A115" s="343"/>
      <c r="B115" s="342">
        <v>13</v>
      </c>
      <c r="C115" s="58" t="str">
        <f>Final!E63</f>
        <v>a</v>
      </c>
      <c r="D115" s="59" t="str">
        <f>Final!F63</f>
        <v>Producción, utilización y evaluación de materiales de apoyo docente producidos en los últimos cinco años, que sean pertinentes a la naturaleza y metodología del proyecto curricular y a su función pedagógica</v>
      </c>
      <c r="E115" s="61" t="s">
        <v>64</v>
      </c>
      <c r="F115" s="61" t="s">
        <v>64</v>
      </c>
      <c r="G115" s="204" t="s">
        <v>64</v>
      </c>
      <c r="H115" s="204" t="s">
        <v>64</v>
      </c>
      <c r="I115" s="204" t="s">
        <v>64</v>
      </c>
      <c r="J115" s="204" t="s">
        <v>64</v>
      </c>
      <c r="K115" s="204" t="s">
        <v>64</v>
      </c>
      <c r="L115" s="204" t="s">
        <v>64</v>
      </c>
      <c r="M115" s="121" t="s">
        <v>64</v>
      </c>
      <c r="N115" s="121" t="s">
        <v>64</v>
      </c>
      <c r="O115" s="121" t="s">
        <v>64</v>
      </c>
      <c r="P115" s="324" t="s">
        <v>64</v>
      </c>
      <c r="Q115" s="325"/>
      <c r="R115" s="17" t="str">
        <f t="shared" si="7"/>
        <v>NA</v>
      </c>
      <c r="S115" s="17" t="str">
        <f t="shared" si="8"/>
        <v>NA</v>
      </c>
      <c r="T115" s="17" t="str">
        <f t="shared" si="9"/>
        <v>NA</v>
      </c>
      <c r="U115" s="327" t="str">
        <f>IF(((P115&gt;=$Z$4)*AND(P115&lt;=$AA$4)),$Y$4,IF(((P115&gt;$AA$4)*AND(P115&lt;=$AA$5)),$Y$5,IF(((P115&gt;$AA$5)*AND(P115&lt;=$AA$6)),$Y$6,IF(((P115&gt;$AA$6)*AND(P115&lt;=$AA$7)),$Y$7,IF(((P115&gt;$AA$7)*AND(P115&lt;=$AA$8)),$Y$8,IF(EXACT(P115,$Y$9),$Z$9))))))</f>
        <v>NA</v>
      </c>
      <c r="V115" s="328"/>
    </row>
    <row r="116" spans="1:22" ht="60" x14ac:dyDescent="0.25">
      <c r="A116" s="343"/>
      <c r="B116" s="343"/>
      <c r="C116" s="58" t="str">
        <f>Final!E64</f>
        <v>b</v>
      </c>
      <c r="D116" s="59" t="str">
        <f>Final!F64</f>
        <v>Uso y apreciación de los estudiantes sobre la calidad de los materiales de apoyo producidos o utilizados por los profesores y su pertinencia con la metodología de los espacios académicos del proyecto curricular.</v>
      </c>
      <c r="E116" s="117" t="s">
        <v>64</v>
      </c>
      <c r="F116" s="117" t="s">
        <v>64</v>
      </c>
      <c r="G116" s="204" t="s">
        <v>64</v>
      </c>
      <c r="H116" s="204" t="s">
        <v>64</v>
      </c>
      <c r="I116" s="204" t="s">
        <v>64</v>
      </c>
      <c r="J116" s="204" t="s">
        <v>64</v>
      </c>
      <c r="K116" s="204" t="s">
        <v>64</v>
      </c>
      <c r="L116" s="204" t="s">
        <v>64</v>
      </c>
      <c r="M116" s="84" t="s">
        <v>64</v>
      </c>
      <c r="N116" s="84" t="s">
        <v>64</v>
      </c>
      <c r="O116" s="84" t="s">
        <v>64</v>
      </c>
      <c r="P116" s="325"/>
      <c r="Q116" s="325"/>
      <c r="R116" s="17" t="str">
        <f t="shared" si="7"/>
        <v>NA</v>
      </c>
      <c r="S116" s="17" t="str">
        <f t="shared" si="8"/>
        <v>NA</v>
      </c>
      <c r="T116" s="17" t="str">
        <f t="shared" si="9"/>
        <v>NA</v>
      </c>
      <c r="U116" s="328"/>
      <c r="V116" s="328"/>
    </row>
    <row r="117" spans="1:22" ht="60" x14ac:dyDescent="0.25">
      <c r="A117" s="343"/>
      <c r="B117" s="343"/>
      <c r="C117" s="58" t="str">
        <f>Final!E65</f>
        <v>c</v>
      </c>
      <c r="D117" s="59" t="str">
        <f>Final!F65</f>
        <v>Premios u otros reconocimientos a los materiales de apoyo a la labor docente, en el ámbito nacional o internacional, que hayan producido los profesores adscritos al proyecto curricular.</v>
      </c>
      <c r="E117" s="61" t="s">
        <v>64</v>
      </c>
      <c r="F117" s="61" t="s">
        <v>64</v>
      </c>
      <c r="G117" s="204" t="s">
        <v>64</v>
      </c>
      <c r="H117" s="204" t="s">
        <v>64</v>
      </c>
      <c r="I117" s="204" t="s">
        <v>64</v>
      </c>
      <c r="J117" s="204" t="s">
        <v>64</v>
      </c>
      <c r="K117" s="204" t="s">
        <v>64</v>
      </c>
      <c r="L117" s="204" t="s">
        <v>64</v>
      </c>
      <c r="M117" s="84" t="s">
        <v>64</v>
      </c>
      <c r="N117" s="84" t="s">
        <v>64</v>
      </c>
      <c r="O117" s="84" t="s">
        <v>64</v>
      </c>
      <c r="P117" s="325"/>
      <c r="Q117" s="325"/>
      <c r="R117" s="17" t="str">
        <f t="shared" si="7"/>
        <v>NA</v>
      </c>
      <c r="S117" s="17" t="str">
        <f t="shared" si="8"/>
        <v>NA</v>
      </c>
      <c r="T117" s="17" t="str">
        <f t="shared" si="9"/>
        <v>NA</v>
      </c>
      <c r="U117" s="328"/>
      <c r="V117" s="328"/>
    </row>
    <row r="118" spans="1:22" ht="36" x14ac:dyDescent="0.25">
      <c r="A118" s="343"/>
      <c r="B118" s="344"/>
      <c r="C118" s="58" t="str">
        <f>Final!E66</f>
        <v>d</v>
      </c>
      <c r="D118" s="59" t="str">
        <f>Final!F66</f>
        <v>Existencia y aplicación de un régimen de propiedad intelectual en la institución aplicado a los materiales de apoyo a la docencia.</v>
      </c>
      <c r="E118" s="61" t="s">
        <v>64</v>
      </c>
      <c r="F118" s="61" t="s">
        <v>64</v>
      </c>
      <c r="G118" s="204" t="s">
        <v>64</v>
      </c>
      <c r="H118" s="204" t="s">
        <v>64</v>
      </c>
      <c r="I118" s="204" t="s">
        <v>64</v>
      </c>
      <c r="J118" s="204" t="s">
        <v>64</v>
      </c>
      <c r="K118" s="204" t="s">
        <v>64</v>
      </c>
      <c r="L118" s="204" t="s">
        <v>64</v>
      </c>
      <c r="M118" s="121" t="s">
        <v>64</v>
      </c>
      <c r="N118" s="121" t="s">
        <v>64</v>
      </c>
      <c r="O118" s="121" t="s">
        <v>64</v>
      </c>
      <c r="P118" s="326"/>
      <c r="Q118" s="325"/>
      <c r="R118" s="17" t="str">
        <f t="shared" si="7"/>
        <v>NA</v>
      </c>
      <c r="S118" s="17" t="str">
        <f t="shared" si="8"/>
        <v>NA</v>
      </c>
      <c r="T118" s="17" t="str">
        <f t="shared" si="9"/>
        <v>NA</v>
      </c>
      <c r="U118" s="329"/>
      <c r="V118" s="328"/>
    </row>
    <row r="119" spans="1:22" ht="97.5" customHeight="1" x14ac:dyDescent="0.25">
      <c r="A119" s="343"/>
      <c r="B119" s="342">
        <v>14</v>
      </c>
      <c r="C119" s="58" t="str">
        <f>Final!E67</f>
        <v>a</v>
      </c>
      <c r="D119" s="59" t="str">
        <f>Final!F67</f>
        <v>Conocimiento por parte de los profesores del proyecto curricular, de las políticas y reglamentaciones institucionales en materia de remuneración de los profesores en las que se tengan en cuenta los méritos profesionales y académicos, así como los estímulos a la producción académica y de innovación debidamente evaluada</v>
      </c>
      <c r="E119" s="61" t="s">
        <v>64</v>
      </c>
      <c r="F119" s="61" t="s">
        <v>64</v>
      </c>
      <c r="G119" s="204" t="s">
        <v>64</v>
      </c>
      <c r="H119" s="204" t="s">
        <v>64</v>
      </c>
      <c r="I119" s="204" t="s">
        <v>64</v>
      </c>
      <c r="J119" s="204" t="s">
        <v>64</v>
      </c>
      <c r="K119" s="204" t="s">
        <v>64</v>
      </c>
      <c r="L119" s="204" t="s">
        <v>64</v>
      </c>
      <c r="M119" s="84" t="s">
        <v>64</v>
      </c>
      <c r="N119" s="84" t="s">
        <v>64</v>
      </c>
      <c r="O119" s="84" t="s">
        <v>64</v>
      </c>
      <c r="P119" s="324">
        <f>AVERAGE(O119:O121)</f>
        <v>2.9249999999999998</v>
      </c>
      <c r="Q119" s="325"/>
      <c r="R119" s="17" t="str">
        <f t="shared" si="7"/>
        <v>NA</v>
      </c>
      <c r="S119" s="17" t="str">
        <f t="shared" si="8"/>
        <v>NA</v>
      </c>
      <c r="T119" s="17" t="str">
        <f t="shared" si="9"/>
        <v>NA</v>
      </c>
      <c r="U119" s="327" t="str">
        <f>IF(((P119&gt;=$Z$4)*AND(P119&lt;=$AA$4)),$Y$4,IF(((P119&gt;$AA$4)*AND(P119&lt;=$AA$5)),$Y$5,IF(((P119&gt;$AA$5)*AND(P119&lt;=$AA$6)),$Y$6,IF(((P119&gt;$AA$6)*AND(P119&lt;=$AA$7)),$Y$7,IF(((P119&gt;$AA$7)*AND(P119&lt;=$AA$8)),$Y$8,IF(EXACT(P119,$Y$9),$Z$9))))))</f>
        <v>D</v>
      </c>
      <c r="V119" s="328"/>
    </row>
    <row r="120" spans="1:22" ht="24" x14ac:dyDescent="0.25">
      <c r="A120" s="343"/>
      <c r="B120" s="343"/>
      <c r="C120" s="58" t="str">
        <f>Final!E68</f>
        <v>b</v>
      </c>
      <c r="D120" s="59" t="str">
        <f>Final!F68</f>
        <v>Evidencias sobre la aplicación de estas políticas y reglamentaciones.</v>
      </c>
      <c r="E120" s="61" t="s">
        <v>64</v>
      </c>
      <c r="F120" s="61" t="s">
        <v>64</v>
      </c>
      <c r="G120" s="204" t="s">
        <v>64</v>
      </c>
      <c r="H120" s="204" t="s">
        <v>64</v>
      </c>
      <c r="I120" s="204" t="s">
        <v>64</v>
      </c>
      <c r="J120" s="204" t="s">
        <v>64</v>
      </c>
      <c r="K120" s="204" t="s">
        <v>64</v>
      </c>
      <c r="L120" s="204" t="s">
        <v>64</v>
      </c>
      <c r="M120" s="84" t="s">
        <v>64</v>
      </c>
      <c r="N120" s="84" t="s">
        <v>64</v>
      </c>
      <c r="O120" s="84" t="s">
        <v>64</v>
      </c>
      <c r="P120" s="325"/>
      <c r="Q120" s="325"/>
      <c r="R120" s="17" t="str">
        <f t="shared" si="7"/>
        <v>NA</v>
      </c>
      <c r="S120" s="17" t="str">
        <f t="shared" si="8"/>
        <v>NA</v>
      </c>
      <c r="T120" s="17" t="str">
        <f t="shared" si="9"/>
        <v>NA</v>
      </c>
      <c r="U120" s="328"/>
      <c r="V120" s="328"/>
    </row>
    <row r="121" spans="1:22" ht="48" x14ac:dyDescent="0.25">
      <c r="A121" s="343"/>
      <c r="B121" s="344"/>
      <c r="C121" s="58" t="str">
        <f>Final!E69</f>
        <v>c</v>
      </c>
      <c r="D121" s="6" t="str">
        <f>Final!F69</f>
        <v>Apreciación de los profesores con respecto a la correspondencia entre la remuneración y los méritos académicos y profesionales</v>
      </c>
      <c r="E121" s="11" t="str">
        <f>Apreciación!A126</f>
        <v>Docentes</v>
      </c>
      <c r="F121" s="11" t="str">
        <f>Apreciación!E126</f>
        <v>Cuenta de 23. Considero que el sistema de bonificaciones y el de asignación de puntos salariales para los profesores de planta es transparente.</v>
      </c>
      <c r="G121" s="205">
        <f>Apreciación!F126</f>
        <v>0.1111111111111111</v>
      </c>
      <c r="H121" s="205">
        <f>Apreciación!G126</f>
        <v>5.5555555555555552E-2</v>
      </c>
      <c r="I121" s="205">
        <f>Apreciación!H126</f>
        <v>0.1111111111111111</v>
      </c>
      <c r="J121" s="205">
        <f>Apreciación!I126</f>
        <v>0.3888888888888889</v>
      </c>
      <c r="K121" s="205">
        <f>Apreciación!J126</f>
        <v>0.1111111111111111</v>
      </c>
      <c r="L121" s="205">
        <f>Apreciación!K126</f>
        <v>0.22222222222222221</v>
      </c>
      <c r="M121" s="18">
        <f>(G121*$G$2)+(H121*$H$2)+(I121*$I$2)+(J121*$J$2)+(K121*$K$2)+(L121*$L$2)</f>
        <v>2.9249999999999998</v>
      </c>
      <c r="N121" s="63">
        <f>AVERAGE(M121)</f>
        <v>2.9249999999999998</v>
      </c>
      <c r="O121" s="18">
        <f>AVERAGE(N121)</f>
        <v>2.9249999999999998</v>
      </c>
      <c r="P121" s="326"/>
      <c r="Q121" s="325"/>
      <c r="R121" s="17" t="str">
        <f t="shared" si="7"/>
        <v>D</v>
      </c>
      <c r="S121" s="17" t="str">
        <f t="shared" si="8"/>
        <v>D</v>
      </c>
      <c r="T121" s="17" t="str">
        <f t="shared" si="9"/>
        <v>D</v>
      </c>
      <c r="U121" s="329"/>
      <c r="V121" s="328"/>
    </row>
    <row r="122" spans="1:22" ht="60" x14ac:dyDescent="0.25">
      <c r="A122" s="343"/>
      <c r="B122" s="342">
        <v>15</v>
      </c>
      <c r="C122" s="58" t="str">
        <f>Final!E70</f>
        <v>a</v>
      </c>
      <c r="D122" s="59" t="str">
        <f>Final!F70</f>
        <v>Existencia y aplicación de políticas institucionales en materia de evaluación integral al desempeño de los profesores. La institución presente evidencias sobre el desarrollo de estas políticas.</v>
      </c>
      <c r="E122" s="61" t="s">
        <v>64</v>
      </c>
      <c r="F122" s="61" t="s">
        <v>64</v>
      </c>
      <c r="G122" s="204" t="s">
        <v>64</v>
      </c>
      <c r="H122" s="204" t="s">
        <v>64</v>
      </c>
      <c r="I122" s="204" t="s">
        <v>64</v>
      </c>
      <c r="J122" s="204" t="s">
        <v>64</v>
      </c>
      <c r="K122" s="204" t="s">
        <v>64</v>
      </c>
      <c r="L122" s="204" t="s">
        <v>64</v>
      </c>
      <c r="M122" s="121" t="s">
        <v>64</v>
      </c>
      <c r="N122" s="121" t="s">
        <v>64</v>
      </c>
      <c r="O122" s="121" t="s">
        <v>64</v>
      </c>
      <c r="P122" s="324">
        <f>AVERAGE(O122:O128)</f>
        <v>3.4209876543209878</v>
      </c>
      <c r="Q122" s="325"/>
      <c r="R122" s="17" t="str">
        <f t="shared" si="7"/>
        <v>NA</v>
      </c>
      <c r="S122" s="17" t="str">
        <f t="shared" si="8"/>
        <v>NA</v>
      </c>
      <c r="T122" s="17" t="str">
        <f t="shared" si="9"/>
        <v>NA</v>
      </c>
      <c r="U122" s="327" t="str">
        <f>IF(((P122&gt;=$Z$4)*AND(P122&lt;=$AA$4)),$Y$4,IF(((P122&gt;$AA$4)*AND(P122&lt;=$AA$5)),$Y$5,IF(((P122&gt;$AA$5)*AND(P122&lt;=$AA$6)),$Y$6,IF(((P122&gt;$AA$6)*AND(P122&lt;=$AA$7)),$Y$7,IF(((P122&gt;$AA$7)*AND(P122&lt;=$AA$8)),$Y$8,IF(EXACT(P122,$Y$9),$Z$9))))))</f>
        <v>D</v>
      </c>
      <c r="V122" s="328"/>
    </row>
    <row r="123" spans="1:22" ht="72" x14ac:dyDescent="0.25">
      <c r="A123" s="343"/>
      <c r="B123" s="343"/>
      <c r="C123" s="58" t="str">
        <f>Final!E71</f>
        <v>b</v>
      </c>
      <c r="D123" s="59" t="str">
        <f>Final!F71</f>
        <v>Criterios y mecanismos de evaluación de los profesores adscritos al proyecto curricular, en correspondencia con la naturaleza del cargo, las funciones y los compromisos contraídos en relación con las metas institucionales y del proyecto curricular.</v>
      </c>
      <c r="E123" s="61" t="s">
        <v>64</v>
      </c>
      <c r="F123" s="61" t="s">
        <v>64</v>
      </c>
      <c r="G123" s="204" t="s">
        <v>64</v>
      </c>
      <c r="H123" s="204" t="s">
        <v>64</v>
      </c>
      <c r="I123" s="204" t="s">
        <v>64</v>
      </c>
      <c r="J123" s="204" t="s">
        <v>64</v>
      </c>
      <c r="K123" s="204" t="s">
        <v>64</v>
      </c>
      <c r="L123" s="204" t="s">
        <v>64</v>
      </c>
      <c r="M123" s="121" t="s">
        <v>64</v>
      </c>
      <c r="N123" s="121" t="s">
        <v>64</v>
      </c>
      <c r="O123" s="121" t="s">
        <v>64</v>
      </c>
      <c r="P123" s="325"/>
      <c r="Q123" s="325"/>
      <c r="R123" s="17" t="str">
        <f t="shared" si="7"/>
        <v>NA</v>
      </c>
      <c r="S123" s="17" t="str">
        <f t="shared" si="8"/>
        <v>NA</v>
      </c>
      <c r="T123" s="17" t="str">
        <f t="shared" si="9"/>
        <v>NA</v>
      </c>
      <c r="U123" s="328"/>
      <c r="V123" s="328"/>
    </row>
    <row r="124" spans="1:22" ht="60" x14ac:dyDescent="0.25">
      <c r="A124" s="343"/>
      <c r="B124" s="343"/>
      <c r="C124" s="58" t="str">
        <f>Final!E72</f>
        <v>c</v>
      </c>
      <c r="D124" s="59" t="str">
        <f>Final!F72</f>
        <v>Evaluaciones realizadas a los profesores adscritos al proyecto curricular durante los últimos cinco años y las acciones adelantadas por la institución y por el proyecto curricular a partir de dichos resultados.</v>
      </c>
      <c r="E124" s="11" t="str">
        <f>Apreciación!A130</f>
        <v>Docentes</v>
      </c>
      <c r="F124" s="11" t="str">
        <f>Apreciación!E130</f>
        <v xml:space="preserve">Cuenta de 27. El programa académico al cual pertenezco utiliza los resultados de la evaluación docente para implementar acciones de mejora. </v>
      </c>
      <c r="G124" s="205">
        <f>Apreciación!F130</f>
        <v>7.407407407407407E-2</v>
      </c>
      <c r="H124" s="205">
        <f>Apreciación!G130</f>
        <v>7.407407407407407E-2</v>
      </c>
      <c r="I124" s="205">
        <f>Apreciación!H130</f>
        <v>0.33333333333333331</v>
      </c>
      <c r="J124" s="205">
        <f>Apreciación!I130</f>
        <v>0.25925925925925924</v>
      </c>
      <c r="K124" s="205">
        <f>Apreciación!J130</f>
        <v>0.1111111111111111</v>
      </c>
      <c r="L124" s="205">
        <f>Apreciación!K130</f>
        <v>0.14814814814814814</v>
      </c>
      <c r="M124" s="18">
        <f>(G124*$G$2)+(H124*$H$2)+(I124*$I$2)+(J124*$J$2)+(K124*$K$2)+(L124*$L$2)</f>
        <v>3.1944444444444446</v>
      </c>
      <c r="N124" s="63">
        <f>AVERAGE(M124)</f>
        <v>3.1944444444444446</v>
      </c>
      <c r="O124" s="18">
        <f>AVERAGE(N124)</f>
        <v>3.1944444444444446</v>
      </c>
      <c r="P124" s="325"/>
      <c r="Q124" s="325"/>
      <c r="R124" s="17" t="str">
        <f t="shared" si="7"/>
        <v>D</v>
      </c>
      <c r="S124" s="17" t="str">
        <f t="shared" si="8"/>
        <v>D</v>
      </c>
      <c r="T124" s="17" t="str">
        <f t="shared" si="9"/>
        <v>D</v>
      </c>
      <c r="U124" s="328"/>
      <c r="V124" s="328"/>
    </row>
    <row r="125" spans="1:22" ht="24" x14ac:dyDescent="0.25">
      <c r="A125" s="343"/>
      <c r="B125" s="343"/>
      <c r="C125" s="58" t="str">
        <f>Final!E73</f>
        <v>d</v>
      </c>
      <c r="D125" s="59" t="str">
        <f>Final!F73</f>
        <v>Información verificable sobre la participación de los distintos actores en la evaluación.</v>
      </c>
      <c r="E125" s="61" t="s">
        <v>64</v>
      </c>
      <c r="F125" s="61" t="s">
        <v>64</v>
      </c>
      <c r="G125" s="204" t="s">
        <v>64</v>
      </c>
      <c r="H125" s="204" t="s">
        <v>64</v>
      </c>
      <c r="I125" s="204" t="s">
        <v>64</v>
      </c>
      <c r="J125" s="204" t="s">
        <v>64</v>
      </c>
      <c r="K125" s="204" t="s">
        <v>64</v>
      </c>
      <c r="L125" s="204" t="s">
        <v>64</v>
      </c>
      <c r="M125" s="121" t="s">
        <v>64</v>
      </c>
      <c r="N125" s="121" t="s">
        <v>64</v>
      </c>
      <c r="O125" s="121" t="s">
        <v>64</v>
      </c>
      <c r="P125" s="325"/>
      <c r="Q125" s="325"/>
      <c r="R125" s="17" t="str">
        <f t="shared" si="7"/>
        <v>NA</v>
      </c>
      <c r="S125" s="17" t="str">
        <f t="shared" si="8"/>
        <v>NA</v>
      </c>
      <c r="T125" s="17" t="str">
        <f t="shared" si="9"/>
        <v>NA</v>
      </c>
      <c r="U125" s="328"/>
      <c r="V125" s="328"/>
    </row>
    <row r="126" spans="1:22" ht="48" x14ac:dyDescent="0.25">
      <c r="A126" s="343"/>
      <c r="B126" s="343"/>
      <c r="C126" s="333" t="str">
        <f>Final!E74</f>
        <v>e</v>
      </c>
      <c r="D126" s="347" t="str">
        <f>Final!F74</f>
        <v>Apreciación de los profesores adscritos al proyecto curricular, sobre los criterios y mecanismos para la evaluación de docentes, su transparencia, equidad y eficacia.</v>
      </c>
      <c r="E126" s="11" t="str">
        <f>Apreciación!A128</f>
        <v>Docentes</v>
      </c>
      <c r="F126" s="11" t="str">
        <f>Apreciación!E128</f>
        <v xml:space="preserve">Cuenta de 25. Considero que el contenido de la evaluación docente está acorde con los requerimientos del proyecto educativo del programa académico al cual pertenezco. </v>
      </c>
      <c r="G126" s="205">
        <f>Apreciación!F128</f>
        <v>7.407407407407407E-2</v>
      </c>
      <c r="H126" s="205">
        <f>Apreciación!G128</f>
        <v>7.407407407407407E-2</v>
      </c>
      <c r="I126" s="205">
        <f>Apreciación!H128</f>
        <v>0.33333333333333331</v>
      </c>
      <c r="J126" s="205">
        <f>Apreciación!I128</f>
        <v>0.25925925925925924</v>
      </c>
      <c r="K126" s="205">
        <f>Apreciación!J128</f>
        <v>0.22222222222222221</v>
      </c>
      <c r="L126" s="205">
        <f>Apreciación!K128</f>
        <v>3.7037037037037035E-2</v>
      </c>
      <c r="M126" s="18">
        <f t="shared" ref="M126:M132" si="12">(G126*$G$2)+(H126*$H$2)+(I126*$I$2)+(J126*$J$2)+(K126*$K$2)+(L126*$L$2)</f>
        <v>3.7222222222222223</v>
      </c>
      <c r="N126" s="63">
        <f t="shared" ref="N126:N132" si="13">AVERAGE(M126)</f>
        <v>3.7222222222222223</v>
      </c>
      <c r="O126" s="324">
        <f>AVERAGE(N126:N128)</f>
        <v>3.647530864197531</v>
      </c>
      <c r="P126" s="325"/>
      <c r="Q126" s="325"/>
      <c r="R126" s="17" t="str">
        <f t="shared" si="7"/>
        <v>C</v>
      </c>
      <c r="S126" s="17" t="str">
        <f t="shared" si="8"/>
        <v>C</v>
      </c>
      <c r="T126" s="327" t="str">
        <f t="shared" si="9"/>
        <v>C</v>
      </c>
      <c r="U126" s="328"/>
      <c r="V126" s="328"/>
    </row>
    <row r="127" spans="1:22" ht="36" x14ac:dyDescent="0.25">
      <c r="A127" s="343"/>
      <c r="B127" s="343"/>
      <c r="C127" s="334"/>
      <c r="D127" s="348"/>
      <c r="E127" s="11" t="str">
        <f>Apreciación!A129</f>
        <v>Docentes</v>
      </c>
      <c r="F127" s="11" t="str">
        <f>Apreciación!E129</f>
        <v>Cuenta de 26. El programa académico al cual pertenezco me da a conocer los resultados de la evaluación docente de cada periodo académico.</v>
      </c>
      <c r="G127" s="205">
        <f>Apreciación!F129</f>
        <v>7.407407407407407E-2</v>
      </c>
      <c r="H127" s="205">
        <f>Apreciación!G129</f>
        <v>3.7037037037037035E-2</v>
      </c>
      <c r="I127" s="205">
        <f>Apreciación!H129</f>
        <v>0.18518518518518517</v>
      </c>
      <c r="J127" s="205">
        <f>Apreciación!I129</f>
        <v>0.1111111111111111</v>
      </c>
      <c r="K127" s="205">
        <f>Apreciación!J129</f>
        <v>0.55555555555555558</v>
      </c>
      <c r="L127" s="205">
        <f>Apreciación!K129</f>
        <v>3.7037037037037035E-2</v>
      </c>
      <c r="M127" s="84">
        <f t="shared" si="12"/>
        <v>4.0259259259259261</v>
      </c>
      <c r="N127" s="83">
        <f t="shared" si="13"/>
        <v>4.0259259259259261</v>
      </c>
      <c r="O127" s="325"/>
      <c r="P127" s="325"/>
      <c r="Q127" s="325"/>
      <c r="R127" s="17" t="str">
        <f>IF(((M127&gt;=$Z$4)*AND(M127&lt;=$AA$4)),$Y$4,IF(((M127&gt;$AA$4)*AND(M127&lt;=$AA$5)),$Y$5,IF(((M127&gt;$AA$5)*AND(M127&lt;=$AA$6)),$Y$6,IF(((M127&gt;$AA$6)*AND(M127&lt;=$AA$7)),$Y$7,IF(((M127&gt;$AA$7)*AND(M127&lt;=$AA$8)),$Y$8,IF(EXACT(M127,$Y$9),$Z$9))))))</f>
        <v>B</v>
      </c>
      <c r="S127" s="17" t="str">
        <f>IF(((N127&gt;=$Z$4)*AND(N127&lt;=$AA$4)),$Y$4,IF(((N127&gt;$AA$4)*AND(N127&lt;=$AA$5)),$Y$5,IF(((N127&gt;$AA$5)*AND(N127&lt;=$AA$6)),$Y$6,IF(((N127&gt;$AA$6)*AND(N127&lt;=$AA$7)),$Y$7,IF(((N127&gt;$AA$7)*AND(N127&lt;=$AA$8)),$Y$8,IF(EXACT(N127,$Y$9),$Z$9))))))</f>
        <v>B</v>
      </c>
      <c r="T127" s="328"/>
      <c r="U127" s="328"/>
      <c r="V127" s="328"/>
    </row>
    <row r="128" spans="1:22" ht="36" customHeight="1" x14ac:dyDescent="0.25">
      <c r="A128" s="344"/>
      <c r="B128" s="344"/>
      <c r="C128" s="335"/>
      <c r="D128" s="349"/>
      <c r="E128" s="11" t="str">
        <f>Apreciación!A130</f>
        <v>Docentes</v>
      </c>
      <c r="F128" s="11" t="str">
        <f>Apreciación!E130</f>
        <v xml:space="preserve">Cuenta de 27. El programa académico al cual pertenezco utiliza los resultados de la evaluación docente para implementar acciones de mejora. </v>
      </c>
      <c r="G128" s="205">
        <f>Apreciación!F130</f>
        <v>7.407407407407407E-2</v>
      </c>
      <c r="H128" s="205">
        <f>Apreciación!G130</f>
        <v>7.407407407407407E-2</v>
      </c>
      <c r="I128" s="205">
        <f>Apreciación!H130</f>
        <v>0.33333333333333331</v>
      </c>
      <c r="J128" s="205">
        <f>Apreciación!I130</f>
        <v>0.25925925925925924</v>
      </c>
      <c r="K128" s="205">
        <f>Apreciación!J130</f>
        <v>0.1111111111111111</v>
      </c>
      <c r="L128" s="205">
        <f>Apreciación!K130</f>
        <v>0.14814814814814814</v>
      </c>
      <c r="M128" s="84">
        <f t="shared" si="12"/>
        <v>3.1944444444444446</v>
      </c>
      <c r="N128" s="83">
        <f t="shared" si="13"/>
        <v>3.1944444444444446</v>
      </c>
      <c r="O128" s="326"/>
      <c r="P128" s="326"/>
      <c r="Q128" s="326"/>
      <c r="R128" s="17" t="str">
        <f>IF(((M128&gt;=$Z$4)*AND(M128&lt;=$AA$4)),$Y$4,IF(((M128&gt;$AA$4)*AND(M128&lt;=$AA$5)),$Y$5,IF(((M128&gt;$AA$5)*AND(M128&lt;=$AA$6)),$Y$6,IF(((M128&gt;$AA$6)*AND(M128&lt;=$AA$7)),$Y$7,IF(((M128&gt;$AA$7)*AND(M128&lt;=$AA$8)),$Y$8,IF(EXACT(M128,$Y$9),$Z$9))))))</f>
        <v>D</v>
      </c>
      <c r="S128" s="17" t="str">
        <f>IF(((N128&gt;=$Z$4)*AND(N128&lt;=$AA$4)),$Y$4,IF(((N128&gt;$AA$4)*AND(N128&lt;=$AA$5)),$Y$5,IF(((N128&gt;$AA$5)*AND(N128&lt;=$AA$6)),$Y$6,IF(((N128&gt;$AA$6)*AND(N128&lt;=$AA$7)),$Y$7,IF(((N128&gt;$AA$7)*AND(N128&lt;=$AA$8)),$Y$8,IF(EXACT(N128,$Y$9),$Z$9))))))</f>
        <v>D</v>
      </c>
      <c r="T128" s="329"/>
      <c r="U128" s="329"/>
      <c r="V128" s="329"/>
    </row>
    <row r="129" spans="1:22" ht="36" x14ac:dyDescent="0.25">
      <c r="A129" s="342">
        <v>4</v>
      </c>
      <c r="B129" s="342">
        <v>16</v>
      </c>
      <c r="C129" s="333" t="str">
        <f>Final!E75</f>
        <v>a</v>
      </c>
      <c r="D129" s="330" t="str">
        <f>Final!F75</f>
        <v>Existencia de criterios y mecanismos para el seguimiento y la evaluación del desarrollo de competencias profesionales básicas y ciudadanas, especialmente en lo relativo a la formación de actitudes, conocimientos, capacidades y habilidades generales que han sido establecidas por el proyecto curricular en su proyecto educativo</v>
      </c>
      <c r="E129" s="11" t="str">
        <f>Apreciación!A22</f>
        <v>Estudiantes</v>
      </c>
      <c r="F129" s="11" t="str">
        <f>Apreciación!E22</f>
        <v>Cuenta de 16. El plan de estudios formulado en mi programa académico es coherente con las competencias que yo espero fortalecer.</v>
      </c>
      <c r="G129" s="205">
        <f>Apreciación!F22</f>
        <v>2.3952095808383235E-2</v>
      </c>
      <c r="H129" s="205">
        <f>Apreciación!G22</f>
        <v>4.1916167664670656E-2</v>
      </c>
      <c r="I129" s="205">
        <f>Apreciación!H22</f>
        <v>0.25149700598802394</v>
      </c>
      <c r="J129" s="205">
        <f>Apreciación!I22</f>
        <v>0.43712574850299402</v>
      </c>
      <c r="K129" s="205">
        <f>Apreciación!J22</f>
        <v>0.23952095808383234</v>
      </c>
      <c r="L129" s="205">
        <f>Apreciación!K22</f>
        <v>5.9880239520958087E-3</v>
      </c>
      <c r="M129" s="18">
        <f t="shared" si="12"/>
        <v>4.068562874251497</v>
      </c>
      <c r="N129" s="63">
        <f t="shared" si="13"/>
        <v>4.068562874251497</v>
      </c>
      <c r="O129" s="324">
        <f>(N129*$AE$5)+(N130*$AE$4)+(AVERAGE(N129:N130)*$AE$6)+(AVERAGE(N129:N130)*$AE$8)+(AVERAGE(N129:N130)*$AE$7)</f>
        <v>4.0715940341539145</v>
      </c>
      <c r="P129" s="324">
        <f>AVERAGE(O129:O179)</f>
        <v>4.034194077402999</v>
      </c>
      <c r="Q129" s="324">
        <f>(P129*Ponderación!D17)+(P180*Ponderación!D18)+(P243*Ponderación!D19)+(P252*Ponderación!D20)+(P341*Ponderación!D21)+(P350*Ponderación!D22)+(P359*Ponderación!D23)+(P375*Ponderación!D24)+(P399*Ponderación!D25)+(P410*Ponderación!D26)+(P425*Ponderación!D27)</f>
        <v>3.7951376114651194</v>
      </c>
      <c r="R129" s="17" t="str">
        <f t="shared" si="7"/>
        <v>B</v>
      </c>
      <c r="S129" s="17" t="str">
        <f t="shared" si="8"/>
        <v>B</v>
      </c>
      <c r="T129" s="327" t="str">
        <f t="shared" si="9"/>
        <v>B</v>
      </c>
      <c r="U129" s="327" t="str">
        <f>IF(((P129&gt;=$Z$4)*AND(P129&lt;=$AA$4)),$Y$4,IF(((P129&gt;$AA$4)*AND(P129&lt;=$AA$5)),$Y$5,IF(((P129&gt;$AA$5)*AND(P129&lt;=$AA$6)),$Y$6,IF(((P129&gt;$AA$6)*AND(P129&lt;=$AA$7)),$Y$7,IF(((P129&gt;$AA$7)*AND(P129&lt;=$AA$8)),$Y$8,IF(EXACT(P129,$Y$9),$Z$9))))))</f>
        <v>B</v>
      </c>
      <c r="V129" s="327" t="str">
        <f>IF(((Q129&gt;=$Z$4)*AND(Q129&lt;=$AA$4)),$Y$4,IF(((Q129&gt;$AA$4)*AND(Q129&lt;=$AA$5)),$Y$5,IF(((Q129&gt;$AA$5)*AND(Q129&lt;=$AA$6)),$Y$6,IF(((Q129&gt;$AA$6)*AND(Q129&lt;=$AA$7)),$Y$7,IF(((Q129&gt;$AA$7)*AND(Q129&lt;=$AA$8)),$Y$8,IF(EXACT(Q129,$Y$9),$Z$9))))))</f>
        <v>C</v>
      </c>
    </row>
    <row r="130" spans="1:22" ht="48.75" customHeight="1" x14ac:dyDescent="0.25">
      <c r="A130" s="343"/>
      <c r="B130" s="343"/>
      <c r="C130" s="335"/>
      <c r="D130" s="332"/>
      <c r="E130" s="11" t="str">
        <f>Apreciación!A133</f>
        <v>Docentes</v>
      </c>
      <c r="F130" s="11" t="str">
        <f>Apreciación!E133</f>
        <v xml:space="preserve">Cuenta de 30. El plan de estudios del programa académico al cual pertenezco permite desarrollar en los estudiantes competencias para la comprensión del contexto. </v>
      </c>
      <c r="G130" s="205">
        <f>Apreciación!F133</f>
        <v>0</v>
      </c>
      <c r="H130" s="205">
        <f>Apreciación!G133</f>
        <v>0.1111111111111111</v>
      </c>
      <c r="I130" s="205">
        <f>Apreciación!H133</f>
        <v>0.1111111111111111</v>
      </c>
      <c r="J130" s="205">
        <f>Apreciación!I133</f>
        <v>0.33333333333333331</v>
      </c>
      <c r="K130" s="205">
        <f>Apreciación!J133</f>
        <v>0.40740740740740738</v>
      </c>
      <c r="L130" s="205">
        <f>Apreciación!K133</f>
        <v>3.7037037037037035E-2</v>
      </c>
      <c r="M130" s="85">
        <f t="shared" si="12"/>
        <v>4.0740740740740744</v>
      </c>
      <c r="N130" s="86">
        <f t="shared" si="13"/>
        <v>4.0740740740740744</v>
      </c>
      <c r="O130" s="326"/>
      <c r="P130" s="325"/>
      <c r="Q130" s="325"/>
      <c r="R130" s="17" t="str">
        <f>IF(((M130&gt;=$Z$4)*AND(M130&lt;=$AA$4)),$Y$4,IF(((M130&gt;$AA$4)*AND(M130&lt;=$AA$5)),$Y$5,IF(((M130&gt;$AA$5)*AND(M130&lt;=$AA$6)),$Y$6,IF(((M130&gt;$AA$6)*AND(M130&lt;=$AA$7)),$Y$7,IF(((M130&gt;$AA$7)*AND(M130&lt;=$AA$8)),$Y$8,IF(EXACT(M130,$Y$9),$Z$9))))))</f>
        <v>B</v>
      </c>
      <c r="S130" s="17" t="str">
        <f>IF(((N130&gt;=$Z$4)*AND(N130&lt;=$AA$4)),$Y$4,IF(((N130&gt;$AA$4)*AND(N130&lt;=$AA$5)),$Y$5,IF(((N130&gt;$AA$5)*AND(N130&lt;=$AA$6)),$Y$6,IF(((N130&gt;$AA$6)*AND(N130&lt;=$AA$7)),$Y$7,IF(((N130&gt;$AA$7)*AND(N130&lt;=$AA$8)),$Y$8,IF(EXACT(N130,$Y$9),$Z$9))))))</f>
        <v>B</v>
      </c>
      <c r="T130" s="329"/>
      <c r="U130" s="328"/>
      <c r="V130" s="328"/>
    </row>
    <row r="131" spans="1:22" ht="36" x14ac:dyDescent="0.25">
      <c r="A131" s="343"/>
      <c r="B131" s="343"/>
      <c r="C131" s="333" t="str">
        <f>Final!E76</f>
        <v>b</v>
      </c>
      <c r="D131" s="330" t="str">
        <f>Final!F76</f>
        <v>Existencia de criterios y mecanismos para el seguimiento y la evaluación del desarrollo de competencias laborales específicas del ejercicio y de la cultura de la profesión o la disciplina en la que se forma al estudiante.</v>
      </c>
      <c r="E131" s="11" t="str">
        <f>Apreciación!A22</f>
        <v>Estudiantes</v>
      </c>
      <c r="F131" s="11" t="str">
        <f>Apreciación!E22</f>
        <v>Cuenta de 16. El plan de estudios formulado en mi programa académico es coherente con las competencias que yo espero fortalecer.</v>
      </c>
      <c r="G131" s="205">
        <f>Apreciación!F22</f>
        <v>2.3952095808383235E-2</v>
      </c>
      <c r="H131" s="205">
        <f>Apreciación!G22</f>
        <v>4.1916167664670656E-2</v>
      </c>
      <c r="I131" s="205">
        <f>Apreciación!H22</f>
        <v>0.25149700598802394</v>
      </c>
      <c r="J131" s="205">
        <f>Apreciación!I22</f>
        <v>0.43712574850299402</v>
      </c>
      <c r="K131" s="205">
        <f>Apreciación!J22</f>
        <v>0.23952095808383234</v>
      </c>
      <c r="L131" s="205">
        <f>Apreciación!K22</f>
        <v>5.9880239520958087E-3</v>
      </c>
      <c r="M131" s="18">
        <f t="shared" si="12"/>
        <v>4.068562874251497</v>
      </c>
      <c r="N131" s="63">
        <f t="shared" si="13"/>
        <v>4.068562874251497</v>
      </c>
      <c r="O131" s="324">
        <f>(N131*$AE$5)+(N132*$AE$4)+(AVERAGE(N131:N132)*$AE$6)+(AVERAGE(N131:N132)*$AE$8)+(AVERAGE(N131:N132)*$AE$7)</f>
        <v>4.0715940341539145</v>
      </c>
      <c r="P131" s="325"/>
      <c r="Q131" s="325"/>
      <c r="R131" s="17" t="str">
        <f t="shared" si="7"/>
        <v>B</v>
      </c>
      <c r="S131" s="17" t="str">
        <f t="shared" si="8"/>
        <v>B</v>
      </c>
      <c r="T131" s="327" t="str">
        <f t="shared" si="9"/>
        <v>B</v>
      </c>
      <c r="U131" s="328"/>
      <c r="V131" s="328"/>
    </row>
    <row r="132" spans="1:22" ht="48" x14ac:dyDescent="0.25">
      <c r="A132" s="343"/>
      <c r="B132" s="343"/>
      <c r="C132" s="335"/>
      <c r="D132" s="332"/>
      <c r="E132" s="11" t="str">
        <f>Apreciación!A133</f>
        <v>Docentes</v>
      </c>
      <c r="F132" s="11" t="str">
        <f>Apreciación!E133</f>
        <v xml:space="preserve">Cuenta de 30. El plan de estudios del programa académico al cual pertenezco permite desarrollar en los estudiantes competencias para la comprensión del contexto. </v>
      </c>
      <c r="G132" s="205">
        <f>Apreciación!F133</f>
        <v>0</v>
      </c>
      <c r="H132" s="205">
        <f>Apreciación!G133</f>
        <v>0.1111111111111111</v>
      </c>
      <c r="I132" s="205">
        <f>Apreciación!H133</f>
        <v>0.1111111111111111</v>
      </c>
      <c r="J132" s="205">
        <f>Apreciación!I133</f>
        <v>0.33333333333333331</v>
      </c>
      <c r="K132" s="205">
        <f>Apreciación!J133</f>
        <v>0.40740740740740738</v>
      </c>
      <c r="L132" s="205">
        <f>Apreciación!K133</f>
        <v>3.7037037037037035E-2</v>
      </c>
      <c r="M132" s="85">
        <f t="shared" si="12"/>
        <v>4.0740740740740744</v>
      </c>
      <c r="N132" s="86">
        <f t="shared" si="13"/>
        <v>4.0740740740740744</v>
      </c>
      <c r="O132" s="326"/>
      <c r="P132" s="325"/>
      <c r="Q132" s="325"/>
      <c r="R132" s="17" t="str">
        <f t="shared" ref="R132:R243" si="14">IF(((M132&gt;=$Z$4)*AND(M132&lt;=$AA$4)),$Y$4,IF(((M132&gt;$AA$4)*AND(M132&lt;=$AA$5)),$Y$5,IF(((M132&gt;$AA$5)*AND(M132&lt;=$AA$6)),$Y$6,IF(((M132&gt;$AA$6)*AND(M132&lt;=$AA$7)),$Y$7,IF(((M132&gt;$AA$7)*AND(M132&lt;=$AA$8)),$Y$8,IF(EXACT(M132,$Y$9),$Z$9))))))</f>
        <v>B</v>
      </c>
      <c r="S132" s="17" t="str">
        <f t="shared" ref="S132:S137" si="15">IF(((N132&gt;=$Z$4)*AND(N132&lt;=$AA$4)),$Y$4,IF(((N132&gt;$AA$4)*AND(N132&lt;=$AA$5)),$Y$5,IF(((N132&gt;$AA$5)*AND(N132&lt;=$AA$6)),$Y$6,IF(((N132&gt;$AA$6)*AND(N132&lt;=$AA$7)),$Y$7,IF(((N132&gt;$AA$7)*AND(N132&lt;=$AA$8)),$Y$8,IF(EXACT(N132,$Y$9),$Z$9))))))</f>
        <v>B</v>
      </c>
      <c r="T132" s="329"/>
      <c r="U132" s="328"/>
      <c r="V132" s="328"/>
    </row>
    <row r="133" spans="1:22" ht="72" x14ac:dyDescent="0.25">
      <c r="A133" s="343"/>
      <c r="B133" s="343"/>
      <c r="C133" s="58" t="str">
        <f>Final!E77</f>
        <v>c</v>
      </c>
      <c r="D133" s="59" t="str">
        <f>Final!F77</f>
        <v>Proporción de créditos académicos definidos por el proyecto curricular, correspondiente a espacios académicos orientados a ampliar la formación del estudiante en las dimensiones ética, estética, ambiental, filosófica, política y social.</v>
      </c>
      <c r="E133" s="61" t="s">
        <v>64</v>
      </c>
      <c r="F133" s="61" t="s">
        <v>64</v>
      </c>
      <c r="G133" s="204" t="s">
        <v>64</v>
      </c>
      <c r="H133" s="204" t="s">
        <v>64</v>
      </c>
      <c r="I133" s="204" t="s">
        <v>64</v>
      </c>
      <c r="J133" s="204" t="s">
        <v>64</v>
      </c>
      <c r="K133" s="204" t="s">
        <v>64</v>
      </c>
      <c r="L133" s="204" t="s">
        <v>64</v>
      </c>
      <c r="M133" s="85" t="s">
        <v>64</v>
      </c>
      <c r="N133" s="85" t="s">
        <v>64</v>
      </c>
      <c r="O133" s="85" t="s">
        <v>64</v>
      </c>
      <c r="P133" s="325"/>
      <c r="Q133" s="325"/>
      <c r="R133" s="17" t="str">
        <f>IF(((M133&gt;=$Z$4)*AND(M133&lt;=$AA$4)),$Y$4,IF(((M133&gt;$AA$4)*AND(M133&lt;=$AA$5)),$Y$5,IF(((M133&gt;$AA$5)*AND(M133&lt;=$AA$6)),$Y$6,IF(((M133&gt;$AA$6)*AND(M133&lt;=$AA$7)),$Y$7,IF(((M133&gt;$AA$7)*AND(M133&lt;=$AA$8)),$Y$8,IF(EXACT(M133,$Y$9),$Z$9))))))</f>
        <v>NA</v>
      </c>
      <c r="S133" s="17" t="str">
        <f t="shared" si="15"/>
        <v>NA</v>
      </c>
      <c r="T133" s="17" t="str">
        <f>IF(((O133&gt;=$Z$4)*AND(O133&lt;=$AA$4)),$Y$4,IF(((O133&gt;$AA$4)*AND(O133&lt;=$AA$5)),$Y$5,IF(((O133&gt;$AA$5)*AND(O133&lt;=$AA$6)),$Y$6,IF(((O133&gt;$AA$6)*AND(O133&lt;=$AA$7)),$Y$7,IF(((O133&gt;$AA$7)*AND(O133&lt;=$AA$8)),$Y$8,IF(EXACT(O133,$Y$9),$Z$9))))))</f>
        <v>NA</v>
      </c>
      <c r="U133" s="328"/>
      <c r="V133" s="328"/>
    </row>
    <row r="134" spans="1:22" ht="60" x14ac:dyDescent="0.25">
      <c r="A134" s="343"/>
      <c r="B134" s="343"/>
      <c r="C134" s="124" t="str">
        <f>Final!E78</f>
        <v>d</v>
      </c>
      <c r="D134" s="123" t="str">
        <f>Final!F78</f>
        <v>Evaluación de la pertinencia de los espacios académicos del proyecto curricular destinados a ampliar la formación de los estudiantes hacia las dimensiones ética, estética, ambiental, filosófica, política y social</v>
      </c>
      <c r="E134" s="61" t="s">
        <v>64</v>
      </c>
      <c r="F134" s="61" t="s">
        <v>64</v>
      </c>
      <c r="G134" s="204" t="s">
        <v>64</v>
      </c>
      <c r="H134" s="204" t="s">
        <v>64</v>
      </c>
      <c r="I134" s="204" t="s">
        <v>64</v>
      </c>
      <c r="J134" s="204" t="s">
        <v>64</v>
      </c>
      <c r="K134" s="204" t="s">
        <v>64</v>
      </c>
      <c r="L134" s="204" t="s">
        <v>64</v>
      </c>
      <c r="M134" s="125" t="s">
        <v>64</v>
      </c>
      <c r="N134" s="125" t="s">
        <v>64</v>
      </c>
      <c r="O134" s="125" t="s">
        <v>64</v>
      </c>
      <c r="P134" s="325"/>
      <c r="Q134" s="325"/>
      <c r="R134" s="17" t="str">
        <f>IF(((M134&gt;=$Z$4)*AND(M134&lt;=$AA$4)),$Y$4,IF(((M134&gt;$AA$4)*AND(M134&lt;=$AA$5)),$Y$5,IF(((M134&gt;$AA$5)*AND(M134&lt;=$AA$6)),$Y$6,IF(((M134&gt;$AA$6)*AND(M134&lt;=$AA$7)),$Y$7,IF(((M134&gt;$AA$7)*AND(M134&lt;=$AA$8)),$Y$8,IF(EXACT(M134,$Y$9),$Z$9))))))</f>
        <v>NA</v>
      </c>
      <c r="S134" s="118" t="str">
        <f t="shared" si="15"/>
        <v>NA</v>
      </c>
      <c r="T134" s="122" t="str">
        <f>IF(((O134&gt;=$Z$4)*AND(O134&lt;=$AA$4)),$Y$4,IF(((O134&gt;$AA$4)*AND(O134&lt;=$AA$5)),$Y$5,IF(((O134&gt;$AA$5)*AND(O134&lt;=$AA$6)),$Y$6,IF(((O134&gt;$AA$6)*AND(O134&lt;=$AA$7)),$Y$7,IF(((O134&gt;$AA$7)*AND(O134&lt;=$AA$8)),$Y$8,IF(EXACT(O134,$Y$9),$Z$9))))))</f>
        <v>NA</v>
      </c>
      <c r="U134" s="328"/>
      <c r="V134" s="328"/>
    </row>
    <row r="135" spans="1:22" ht="72" x14ac:dyDescent="0.25">
      <c r="A135" s="343"/>
      <c r="B135" s="343"/>
      <c r="C135" s="58" t="str">
        <f>Final!E79</f>
        <v>e</v>
      </c>
      <c r="D135" s="59" t="str">
        <f>Final!F79</f>
        <v>Criterios pedagógicos y estrategias adoptadas para la asignación de créditos y la distribución de tiempos directo, cooperativo y autónomo a las distintas actividades de formación en las que se ofrece el proyecto curricular, según su naturaleza y modalidad.</v>
      </c>
      <c r="E135" s="61" t="s">
        <v>64</v>
      </c>
      <c r="F135" s="61" t="s">
        <v>64</v>
      </c>
      <c r="G135" s="204" t="s">
        <v>64</v>
      </c>
      <c r="H135" s="204" t="s">
        <v>64</v>
      </c>
      <c r="I135" s="204" t="s">
        <v>64</v>
      </c>
      <c r="J135" s="204" t="s">
        <v>64</v>
      </c>
      <c r="K135" s="204" t="s">
        <v>64</v>
      </c>
      <c r="L135" s="204" t="s">
        <v>64</v>
      </c>
      <c r="M135" s="85" t="s">
        <v>64</v>
      </c>
      <c r="N135" s="85" t="s">
        <v>64</v>
      </c>
      <c r="O135" s="85" t="s">
        <v>64</v>
      </c>
      <c r="P135" s="325"/>
      <c r="Q135" s="325"/>
      <c r="R135" s="17" t="str">
        <f t="shared" si="14"/>
        <v>NA</v>
      </c>
      <c r="S135" s="17" t="str">
        <f t="shared" si="15"/>
        <v>NA</v>
      </c>
      <c r="T135" s="17" t="str">
        <f>IF(((O135&gt;=$Z$4)*AND(O135&lt;=$AA$4)),$Y$4,IF(((O135&gt;$AA$4)*AND(O135&lt;=$AA$5)),$Y$5,IF(((O135&gt;$AA$5)*AND(O135&lt;=$AA$6)),$Y$6,IF(((O135&gt;$AA$6)*AND(O135&lt;=$AA$7)),$Y$7,IF(((O135&gt;$AA$7)*AND(O135&lt;=$AA$8)),$Y$8,IF(EXACT(O135,$Y$9),$Z$9))))))</f>
        <v>NA</v>
      </c>
      <c r="U135" s="328"/>
      <c r="V135" s="328"/>
    </row>
    <row r="136" spans="1:22" ht="48" x14ac:dyDescent="0.25">
      <c r="A136" s="343"/>
      <c r="B136" s="343"/>
      <c r="C136" s="58" t="str">
        <f>Final!E80</f>
        <v>f</v>
      </c>
      <c r="D136" s="59" t="str">
        <f>Final!F80</f>
        <v>Estrategias utilizadas para promover y establecer el trabajo cooperativo y autónomo en los distintos espacios académicos del proyecto curricular.</v>
      </c>
      <c r="E136" s="61" t="s">
        <v>64</v>
      </c>
      <c r="F136" s="61" t="s">
        <v>64</v>
      </c>
      <c r="G136" s="204" t="s">
        <v>64</v>
      </c>
      <c r="H136" s="204" t="s">
        <v>64</v>
      </c>
      <c r="I136" s="204" t="s">
        <v>64</v>
      </c>
      <c r="J136" s="204" t="s">
        <v>64</v>
      </c>
      <c r="K136" s="204" t="s">
        <v>64</v>
      </c>
      <c r="L136" s="204" t="s">
        <v>64</v>
      </c>
      <c r="M136" s="125" t="s">
        <v>64</v>
      </c>
      <c r="N136" s="125" t="s">
        <v>64</v>
      </c>
      <c r="O136" s="125" t="s">
        <v>64</v>
      </c>
      <c r="P136" s="325"/>
      <c r="Q136" s="325"/>
      <c r="R136" s="17" t="str">
        <f t="shared" si="14"/>
        <v>NA</v>
      </c>
      <c r="S136" s="17" t="str">
        <f t="shared" si="15"/>
        <v>NA</v>
      </c>
      <c r="T136" s="17" t="str">
        <f>IF(((O136&gt;=$Z$4)*AND(O136&lt;=$AA$4)),$Y$4,IF(((O136&gt;$AA$4)*AND(O136&lt;=$AA$5)),$Y$5,IF(((O136&gt;$AA$5)*AND(O136&lt;=$AA$6)),$Y$6,IF(((O136&gt;$AA$6)*AND(O136&lt;=$AA$7)),$Y$7,IF(((O136&gt;$AA$7)*AND(O136&lt;=$AA$8)),$Y$8,IF(EXACT(O136,$Y$9),$Z$9))))))</f>
        <v>NA</v>
      </c>
      <c r="U136" s="328"/>
      <c r="V136" s="328"/>
    </row>
    <row r="137" spans="1:22" ht="48" x14ac:dyDescent="0.25">
      <c r="A137" s="343"/>
      <c r="B137" s="343"/>
      <c r="C137" s="333" t="str">
        <f>Final!E81</f>
        <v>g</v>
      </c>
      <c r="D137" s="347" t="str">
        <f>Final!F81</f>
        <v>Apreciación por parte de directivos, profesores, estudiantes y egresados sobre la integralidad del currículo a la luz de las dimensiones ética, estética, ambiental, filosófica, política y social.</v>
      </c>
      <c r="E137" s="11" t="str">
        <f>Apreciación!A24</f>
        <v>Estudiantes</v>
      </c>
      <c r="F137" s="11" t="str">
        <f>Apreciación!E24</f>
        <v>Cuenta de 17.2. El programa académico al que pertenezco me brinda las posibilidades necesarias para: FORMAR UN PENSAMIENTO CRÍTICO Y ÉTICO.</v>
      </c>
      <c r="G137" s="205">
        <f>Apreciación!F24</f>
        <v>4.1916167664670656E-2</v>
      </c>
      <c r="H137" s="205">
        <f>Apreciación!G24</f>
        <v>2.3952095808383235E-2</v>
      </c>
      <c r="I137" s="205">
        <f>Apreciación!H24</f>
        <v>0.1497005988023952</v>
      </c>
      <c r="J137" s="205">
        <f>Apreciación!I24</f>
        <v>0.40718562874251496</v>
      </c>
      <c r="K137" s="205">
        <f>Apreciación!J24</f>
        <v>0.3712574850299401</v>
      </c>
      <c r="L137" s="205">
        <f>Apreciación!K24</f>
        <v>5.9880239520958087E-3</v>
      </c>
      <c r="M137" s="18">
        <f t="shared" ref="M137:M143" si="16">(G137*$G$2)+(H137*$H$2)+(I137*$I$2)+(J137*$J$2)+(K137*$K$2)+(L137*$L$2)</f>
        <v>4.1694610778443115</v>
      </c>
      <c r="N137" s="324">
        <f>AVERAGE(M137:M139)</f>
        <v>4.1239520958083835</v>
      </c>
      <c r="O137" s="324">
        <f>(N137*$AE$5)+(AVERAGE(N137:N142)*$AE$4)+(N140*$AE$6)+(AVERAGE(N67:N69)*$AE$8)+(AVERAGE(N67:N69)*$AE$7)</f>
        <v>4.024256263114796</v>
      </c>
      <c r="P137" s="325"/>
      <c r="Q137" s="325"/>
      <c r="R137" s="17" t="str">
        <f t="shared" si="14"/>
        <v>B</v>
      </c>
      <c r="S137" s="327" t="str">
        <f t="shared" si="15"/>
        <v>B</v>
      </c>
      <c r="T137" s="327" t="str">
        <f>IF(((O137&gt;=$Z$4)*AND(O137&lt;=$AA$4)),$Y$4,IF(((O137&gt;$AA$4)*AND(O137&lt;=$AA$5)),$Y$5,IF(((O137&gt;$AA$5)*AND(O137&lt;=$AA$6)),$Y$6,IF(((O137&gt;$AA$6)*AND(O137&lt;=$AA$7)),$Y$7,IF(((O137&gt;$AA$7)*AND(O137&lt;=$AA$8)),$Y$8,IF(EXACT(O137,$Y$9),$Z$9))))))</f>
        <v>B</v>
      </c>
      <c r="U137" s="328"/>
      <c r="V137" s="328"/>
    </row>
    <row r="138" spans="1:22" ht="48" x14ac:dyDescent="0.25">
      <c r="A138" s="343"/>
      <c r="B138" s="343"/>
      <c r="C138" s="334"/>
      <c r="D138" s="348"/>
      <c r="E138" s="11" t="str">
        <f>Apreciación!A25</f>
        <v>Estudiantes</v>
      </c>
      <c r="F138" s="11" t="str">
        <f>Apreciación!E25</f>
        <v>Cuenta de 17.3. El programa académico al que pertenezco me brinda las posibilidades necesarias para: GENERAR CONOCIMIENTO AL SERVICIO DE LA SOCIEDAD.</v>
      </c>
      <c r="G138" s="205">
        <f>Apreciación!F25</f>
        <v>2.9940119760479042E-2</v>
      </c>
      <c r="H138" s="205">
        <f>Apreciación!G25</f>
        <v>2.3952095808383235E-2</v>
      </c>
      <c r="I138" s="205">
        <f>Apreciación!H25</f>
        <v>0.16167664670658682</v>
      </c>
      <c r="J138" s="205">
        <f>Apreciación!I25</f>
        <v>0.44910179640718562</v>
      </c>
      <c r="K138" s="205">
        <f>Apreciación!J25</f>
        <v>0.32335329341317365</v>
      </c>
      <c r="L138" s="205">
        <f>Apreciación!K25</f>
        <v>1.1976047904191617E-2</v>
      </c>
      <c r="M138" s="85">
        <f t="shared" si="16"/>
        <v>4.1419161676646707</v>
      </c>
      <c r="N138" s="325"/>
      <c r="O138" s="325"/>
      <c r="P138" s="325"/>
      <c r="Q138" s="325"/>
      <c r="R138" s="17" t="str">
        <f t="shared" si="14"/>
        <v>B</v>
      </c>
      <c r="S138" s="328"/>
      <c r="T138" s="328"/>
      <c r="U138" s="328"/>
      <c r="V138" s="328"/>
    </row>
    <row r="139" spans="1:22" ht="48" x14ac:dyDescent="0.25">
      <c r="A139" s="343"/>
      <c r="B139" s="343"/>
      <c r="C139" s="334"/>
      <c r="D139" s="348"/>
      <c r="E139" s="11" t="str">
        <f>Apreciación!A26</f>
        <v>Estudiantes</v>
      </c>
      <c r="F139" s="11" t="str">
        <f>Apreciación!E26</f>
        <v>Cuenta de 17.4. El programa académico al que pertenezco me brinda las posibilidades necesarias para: SER PARTE ACTIVA Y PARTICIPATIVA EN LA CULTURA CIUDADANA.</v>
      </c>
      <c r="G139" s="205">
        <f>Apreciación!F26</f>
        <v>2.3952095808383235E-2</v>
      </c>
      <c r="H139" s="205">
        <f>Apreciación!G26</f>
        <v>6.5868263473053898E-2</v>
      </c>
      <c r="I139" s="205">
        <f>Apreciación!H26</f>
        <v>0.20359281437125748</v>
      </c>
      <c r="J139" s="205">
        <f>Apreciación!I26</f>
        <v>0.41317365269461076</v>
      </c>
      <c r="K139" s="205">
        <f>Apreciación!J26</f>
        <v>0.28143712574850299</v>
      </c>
      <c r="L139" s="205">
        <f>Apreciación!K26</f>
        <v>1.1976047904191617E-2</v>
      </c>
      <c r="M139" s="85">
        <f t="shared" si="16"/>
        <v>4.0604790419161674</v>
      </c>
      <c r="N139" s="326"/>
      <c r="O139" s="325"/>
      <c r="P139" s="325"/>
      <c r="Q139" s="325"/>
      <c r="R139" s="17" t="str">
        <f t="shared" si="14"/>
        <v>B</v>
      </c>
      <c r="S139" s="329"/>
      <c r="T139" s="328"/>
      <c r="U139" s="328"/>
      <c r="V139" s="328"/>
    </row>
    <row r="140" spans="1:22" ht="36" x14ac:dyDescent="0.25">
      <c r="A140" s="343"/>
      <c r="B140" s="343"/>
      <c r="C140" s="334"/>
      <c r="D140" s="348"/>
      <c r="E140" s="167" t="str">
        <f>Apreciación!A194</f>
        <v>Egresados</v>
      </c>
      <c r="F140" s="181" t="str">
        <f>Apreciación!E194</f>
        <v>Cuenta de 5. Considero que el proceso de admisión a la Universidad Distrital Francisco José de Caldas es transparente y equitativo.</v>
      </c>
      <c r="G140" s="205">
        <f>Apreciación!F194</f>
        <v>2.564102564102564E-2</v>
      </c>
      <c r="H140" s="205">
        <f>Apreciación!G194</f>
        <v>2.564102564102564E-2</v>
      </c>
      <c r="I140" s="205">
        <f>Apreciación!H194</f>
        <v>5.128205128205128E-2</v>
      </c>
      <c r="J140" s="205">
        <f>Apreciación!I194</f>
        <v>0.44871794871794873</v>
      </c>
      <c r="K140" s="205">
        <f>Apreciación!J194</f>
        <v>0.35897435897435898</v>
      </c>
      <c r="L140" s="205">
        <f>Apreciación!K194</f>
        <v>8.9743589743589744E-2</v>
      </c>
      <c r="M140" s="85">
        <f t="shared" si="16"/>
        <v>3.8987179487179491</v>
      </c>
      <c r="N140" s="324">
        <f>AVERAGE(M140:M142)</f>
        <v>3.8549145299145295</v>
      </c>
      <c r="O140" s="325"/>
      <c r="P140" s="325"/>
      <c r="Q140" s="325"/>
      <c r="R140" s="17" t="str">
        <f t="shared" si="14"/>
        <v>C</v>
      </c>
      <c r="S140" s="327" t="str">
        <f>IF(((N140&gt;=$Z$4)*AND(N140&lt;=$AA$4)),$Y$4,IF(((N140&gt;$AA$4)*AND(N140&lt;=$AA$5)),$Y$5,IF(((N140&gt;$AA$5)*AND(N140&lt;=$AA$6)),$Y$6,IF(((N140&gt;$AA$6)*AND(N140&lt;=$AA$7)),$Y$7,IF(((N140&gt;$AA$7)*AND(N140&lt;=$AA$8)),$Y$8,IF(EXACT(N140,$Y$9),$Z$9))))))</f>
        <v>C</v>
      </c>
      <c r="T140" s="328"/>
      <c r="U140" s="328"/>
      <c r="V140" s="328"/>
    </row>
    <row r="141" spans="1:22" ht="48" x14ac:dyDescent="0.25">
      <c r="A141" s="343"/>
      <c r="B141" s="343"/>
      <c r="C141" s="334"/>
      <c r="D141" s="348"/>
      <c r="E141" s="167" t="str">
        <f>Apreciación!A195</f>
        <v>Egresados</v>
      </c>
      <c r="F141" s="181" t="str">
        <f>Apreciación!E195</f>
        <v>Cuenta de 6. Considero que el proceso de admisión a cada uno de los niveles de formación de los programas por ciclos ofrecidos en la Facultad Tecnológica es apropiado.</v>
      </c>
      <c r="G141" s="205">
        <f>Apreciación!F195</f>
        <v>0</v>
      </c>
      <c r="H141" s="205">
        <f>Apreciación!G195</f>
        <v>3.8461538461538464E-2</v>
      </c>
      <c r="I141" s="205">
        <f>Apreciación!H195</f>
        <v>5.128205128205128E-2</v>
      </c>
      <c r="J141" s="205">
        <f>Apreciación!I195</f>
        <v>0.58974358974358976</v>
      </c>
      <c r="K141" s="205">
        <f>Apreciación!J195</f>
        <v>0.26923076923076922</v>
      </c>
      <c r="L141" s="205">
        <f>Apreciación!K195</f>
        <v>5.128205128205128E-2</v>
      </c>
      <c r="M141" s="85">
        <f t="shared" si="16"/>
        <v>4.0589743589743588</v>
      </c>
      <c r="N141" s="325"/>
      <c r="O141" s="325"/>
      <c r="P141" s="325"/>
      <c r="Q141" s="325"/>
      <c r="R141" s="17" t="str">
        <f t="shared" si="14"/>
        <v>B</v>
      </c>
      <c r="S141" s="328"/>
      <c r="T141" s="328"/>
      <c r="U141" s="328"/>
      <c r="V141" s="328"/>
    </row>
    <row r="142" spans="1:22" ht="36" customHeight="1" x14ac:dyDescent="0.25">
      <c r="A142" s="343"/>
      <c r="B142" s="343"/>
      <c r="C142" s="335"/>
      <c r="D142" s="349"/>
      <c r="E142" s="167" t="str">
        <f>Apreciación!A196</f>
        <v>Egresados</v>
      </c>
      <c r="F142" s="181" t="str">
        <f>Apreciación!E196</f>
        <v>Cuenta de 7. Cuando fui estudiante, mi programa académico participaba activamente en proyectos dirigidos a la comunidad.</v>
      </c>
      <c r="G142" s="205">
        <f>Apreciación!F196</f>
        <v>6.4102564102564097E-2</v>
      </c>
      <c r="H142" s="205">
        <f>Apreciación!G196</f>
        <v>0.14102564102564102</v>
      </c>
      <c r="I142" s="205">
        <f>Apreciación!H196</f>
        <v>0.35897435897435898</v>
      </c>
      <c r="J142" s="205">
        <f>Apreciación!I196</f>
        <v>0.24358974358974358</v>
      </c>
      <c r="K142" s="205">
        <f>Apreciación!J196</f>
        <v>0.15384615384615385</v>
      </c>
      <c r="L142" s="205">
        <f>Apreciación!K196</f>
        <v>3.8461538461538464E-2</v>
      </c>
      <c r="M142" s="85">
        <f t="shared" si="16"/>
        <v>3.6070512820512821</v>
      </c>
      <c r="N142" s="326"/>
      <c r="O142" s="326"/>
      <c r="P142" s="325"/>
      <c r="Q142" s="325"/>
      <c r="R142" s="17" t="str">
        <f t="shared" si="14"/>
        <v>C</v>
      </c>
      <c r="S142" s="329"/>
      <c r="T142" s="329"/>
      <c r="U142" s="328"/>
      <c r="V142" s="328"/>
    </row>
    <row r="143" spans="1:22" ht="48" x14ac:dyDescent="0.25">
      <c r="A143" s="343"/>
      <c r="B143" s="343"/>
      <c r="C143" s="333" t="str">
        <f>Final!E82</f>
        <v>h</v>
      </c>
      <c r="D143" s="330" t="str">
        <f>Final!F82</f>
        <v>Apreciación por parte de directivos, profesores, estudiantes y egresados de la calidad del currículo a la luz de sus funciones esenciales de formación disciplinar, investigación y proyección social.</v>
      </c>
      <c r="E143" s="11" t="str">
        <f>Apreciación!A23</f>
        <v>Estudiantes</v>
      </c>
      <c r="F143" s="11" t="str">
        <f>Apreciación!E23</f>
        <v>Cuenta de 17.1. El programa académico al que pertenezco me brinda las posibilidades necesarias para: DESARROLLAR PROCESOS DE INVESTIGACIÓN.</v>
      </c>
      <c r="G143" s="205">
        <f>Apreciación!F23</f>
        <v>0.17365269461077845</v>
      </c>
      <c r="H143" s="205">
        <f>Apreciación!G23</f>
        <v>0.11976047904191617</v>
      </c>
      <c r="I143" s="205">
        <f>Apreciación!H23</f>
        <v>0.20359281437125748</v>
      </c>
      <c r="J143" s="205">
        <f>Apreciación!I23</f>
        <v>0.42514970059880242</v>
      </c>
      <c r="K143" s="205">
        <f>Apreciación!J23</f>
        <v>5.3892215568862277E-2</v>
      </c>
      <c r="L143" s="205">
        <f>Apreciación!K23</f>
        <v>2.3952095808383235E-2</v>
      </c>
      <c r="M143" s="18">
        <f t="shared" si="16"/>
        <v>3.4434131736526945</v>
      </c>
      <c r="N143" s="324">
        <f>AVERAGE(M143:M145)</f>
        <v>3.7375249500998002</v>
      </c>
      <c r="O143" s="324">
        <f>(N143*$AE$5)+(N146*$AE$4)+(N161*$AE$6)+(AVERAGE(N143:N163)*$AE$8)+(N151*$AE$7)</f>
        <v>3.8313390469061872</v>
      </c>
      <c r="P143" s="325"/>
      <c r="Q143" s="325"/>
      <c r="R143" s="17" t="str">
        <f t="shared" si="14"/>
        <v>D</v>
      </c>
      <c r="S143" s="327" t="str">
        <f>IF(((N143&gt;=$Z$4)*AND(N143&lt;=$AA$4)),$Y$4,IF(((N143&gt;$AA$4)*AND(N143&lt;=$AA$5)),$Y$5,IF(((N143&gt;$AA$5)*AND(N143&lt;=$AA$6)),$Y$6,IF(((N143&gt;$AA$6)*AND(N143&lt;=$AA$7)),$Y$7,IF(((N143&gt;$AA$7)*AND(N143&lt;=$AA$8)),$Y$8,IF(EXACT(N143,$Y$9),$Z$9))))))</f>
        <v>C</v>
      </c>
      <c r="T143" s="327" t="str">
        <f>IF(((O143&gt;=$Z$4)*AND(O143&lt;=$AA$4)),$Y$4,IF(((O143&gt;$AA$4)*AND(O143&lt;=$AA$5)),$Y$5,IF(((O143&gt;$AA$5)*AND(O143&lt;=$AA$6)),$Y$6,IF(((O143&gt;$AA$6)*AND(O143&lt;=$AA$7)),$Y$7,IF(((O143&gt;$AA$7)*AND(O143&lt;=$AA$8)),$Y$8,IF(EXACT(O143,$Y$9),$Z$9))))))</f>
        <v>C</v>
      </c>
      <c r="U143" s="328"/>
      <c r="V143" s="328"/>
    </row>
    <row r="144" spans="1:22" ht="48" x14ac:dyDescent="0.25">
      <c r="A144" s="343"/>
      <c r="B144" s="343"/>
      <c r="C144" s="334"/>
      <c r="D144" s="331"/>
      <c r="E144" s="11" t="str">
        <f>Apreciación!A25</f>
        <v>Estudiantes</v>
      </c>
      <c r="F144" s="11" t="str">
        <f>Apreciación!E25</f>
        <v>Cuenta de 17.3. El programa académico al que pertenezco me brinda las posibilidades necesarias para: GENERAR CONOCIMIENTO AL SERVICIO DE LA SOCIEDAD.</v>
      </c>
      <c r="G144" s="205">
        <f>Apreciación!F25</f>
        <v>2.9940119760479042E-2</v>
      </c>
      <c r="H144" s="205">
        <f>Apreciación!G25</f>
        <v>2.3952095808383235E-2</v>
      </c>
      <c r="I144" s="205">
        <f>Apreciación!H25</f>
        <v>0.16167664670658682</v>
      </c>
      <c r="J144" s="205">
        <f>Apreciación!I25</f>
        <v>0.44910179640718562</v>
      </c>
      <c r="K144" s="205">
        <f>Apreciación!J25</f>
        <v>0.32335329341317365</v>
      </c>
      <c r="L144" s="205">
        <f>Apreciación!K25</f>
        <v>1.1976047904191617E-2</v>
      </c>
      <c r="M144" s="85">
        <f t="shared" ref="M144:M163" si="17">(G144*$G$2)+(H144*$H$2)+(I144*$I$2)+(J144*$J$2)+(K144*$K$2)+(L144*$L$2)</f>
        <v>4.1419161676646707</v>
      </c>
      <c r="N144" s="325"/>
      <c r="O144" s="325"/>
      <c r="P144" s="325"/>
      <c r="Q144" s="325"/>
      <c r="R144" s="17" t="str">
        <f t="shared" si="14"/>
        <v>B</v>
      </c>
      <c r="S144" s="328"/>
      <c r="T144" s="328"/>
      <c r="U144" s="328"/>
      <c r="V144" s="328"/>
    </row>
    <row r="145" spans="1:22" ht="24" x14ac:dyDescent="0.25">
      <c r="A145" s="343"/>
      <c r="B145" s="343"/>
      <c r="C145" s="334"/>
      <c r="D145" s="331"/>
      <c r="E145" s="11" t="str">
        <f>Apreciación!A29</f>
        <v>Estudiantes</v>
      </c>
      <c r="F145" s="73" t="str">
        <f>Apreciación!E29</f>
        <v>Cuenta de 19. El menú de asignaturas electivas despierta en mi interés profesional y personal.</v>
      </c>
      <c r="G145" s="205">
        <f>Apreciación!F29</f>
        <v>8.3832335329341312E-2</v>
      </c>
      <c r="H145" s="205">
        <f>Apreciación!G29</f>
        <v>0.1437125748502994</v>
      </c>
      <c r="I145" s="205">
        <f>Apreciación!H29</f>
        <v>0.26946107784431139</v>
      </c>
      <c r="J145" s="205">
        <f>Apreciación!I29</f>
        <v>0.28143712574850299</v>
      </c>
      <c r="K145" s="205">
        <f>Apreciación!J29</f>
        <v>0.18562874251497005</v>
      </c>
      <c r="L145" s="205">
        <f>Apreciación!K29</f>
        <v>3.5928143712574849E-2</v>
      </c>
      <c r="M145" s="85">
        <f t="shared" si="17"/>
        <v>3.6272455089820359</v>
      </c>
      <c r="N145" s="326"/>
      <c r="O145" s="325"/>
      <c r="P145" s="325"/>
      <c r="Q145" s="325"/>
      <c r="R145" s="17" t="str">
        <f t="shared" si="14"/>
        <v>C</v>
      </c>
      <c r="S145" s="329"/>
      <c r="T145" s="328"/>
      <c r="U145" s="328"/>
      <c r="V145" s="328"/>
    </row>
    <row r="146" spans="1:22" ht="48" x14ac:dyDescent="0.25">
      <c r="A146" s="343"/>
      <c r="B146" s="343"/>
      <c r="C146" s="334"/>
      <c r="D146" s="331"/>
      <c r="E146" s="11" t="str">
        <f>Apreciación!A131</f>
        <v>Docentes</v>
      </c>
      <c r="F146" s="11" t="str">
        <f>Apreciación!E131</f>
        <v>Cuenta de 28. El plan de estudios del programa académico al cual pertenezco es coherente con el perfil profesional y ocupacional que se espera alcanzar.</v>
      </c>
      <c r="G146" s="203">
        <f>Apreciación!F131</f>
        <v>3.7037037037037035E-2</v>
      </c>
      <c r="H146" s="203">
        <f>Apreciación!G131</f>
        <v>0</v>
      </c>
      <c r="I146" s="203">
        <f>Apreciación!H131</f>
        <v>7.407407407407407E-2</v>
      </c>
      <c r="J146" s="203">
        <f>Apreciación!I131</f>
        <v>0.29629629629629628</v>
      </c>
      <c r="K146" s="203">
        <f>Apreciación!J131</f>
        <v>0.59259259259259256</v>
      </c>
      <c r="L146" s="203">
        <f>Apreciación!K131</f>
        <v>0</v>
      </c>
      <c r="M146" s="125">
        <f t="shared" si="17"/>
        <v>4.3962962962962964</v>
      </c>
      <c r="N146" s="350">
        <f>AVERAGE(M146:M150)</f>
        <v>3.9200000000000004</v>
      </c>
      <c r="O146" s="325"/>
      <c r="P146" s="325"/>
      <c r="Q146" s="325"/>
      <c r="R146" s="17" t="str">
        <f t="shared" si="14"/>
        <v>B</v>
      </c>
      <c r="S146" s="327" t="str">
        <f>IF(((N146&gt;=$Z$4)*AND(N146&lt;=$AA$4)),$Y$4,IF(((N146&gt;$AA$4)*AND(N146&lt;=$AA$5)),$Y$5,IF(((N146&gt;$AA$5)*AND(N146&lt;=$AA$6)),$Y$6,IF(((N146&gt;$AA$6)*AND(N146&lt;=$AA$7)),$Y$7,IF(((N146&gt;$AA$7)*AND(N146&lt;=$AA$8)),$Y$8,IF(EXACT(N146,$Y$9),$Z$9))))))</f>
        <v>C</v>
      </c>
      <c r="T146" s="328"/>
      <c r="U146" s="328"/>
      <c r="V146" s="328"/>
    </row>
    <row r="147" spans="1:22" ht="36" x14ac:dyDescent="0.25">
      <c r="A147" s="343"/>
      <c r="B147" s="343"/>
      <c r="C147" s="334"/>
      <c r="D147" s="331"/>
      <c r="E147" s="11" t="str">
        <f>Apreciación!A132</f>
        <v>Docentes</v>
      </c>
      <c r="F147" s="11" t="str">
        <f>Apreciación!E132</f>
        <v xml:space="preserve">Cuenta de 29. El plan de estudios del programa académico al cual pertenezco permite desarrollar en los estudiantes competencias investigativas. </v>
      </c>
      <c r="G147" s="203">
        <f>Apreciación!F132</f>
        <v>7.407407407407407E-2</v>
      </c>
      <c r="H147" s="203">
        <f>Apreciación!G132</f>
        <v>7.407407407407407E-2</v>
      </c>
      <c r="I147" s="203">
        <f>Apreciación!H132</f>
        <v>0.14814814814814814</v>
      </c>
      <c r="J147" s="203">
        <f>Apreciación!I132</f>
        <v>0.33333333333333331</v>
      </c>
      <c r="K147" s="203">
        <f>Apreciación!J132</f>
        <v>0.37037037037037035</v>
      </c>
      <c r="L147" s="203">
        <f>Apreciación!K132</f>
        <v>0</v>
      </c>
      <c r="M147" s="125">
        <f t="shared" si="17"/>
        <v>4.0518518518518523</v>
      </c>
      <c r="N147" s="350"/>
      <c r="O147" s="325"/>
      <c r="P147" s="325"/>
      <c r="Q147" s="325"/>
      <c r="R147" s="17" t="str">
        <f t="shared" si="14"/>
        <v>B</v>
      </c>
      <c r="S147" s="328"/>
      <c r="T147" s="328"/>
      <c r="U147" s="328"/>
      <c r="V147" s="328"/>
    </row>
    <row r="148" spans="1:22" ht="48" x14ac:dyDescent="0.25">
      <c r="A148" s="343"/>
      <c r="B148" s="343"/>
      <c r="C148" s="334"/>
      <c r="D148" s="331"/>
      <c r="E148" s="11" t="str">
        <f>Apreciación!A133</f>
        <v>Docentes</v>
      </c>
      <c r="F148" s="11" t="str">
        <f>Apreciación!E133</f>
        <v xml:space="preserve">Cuenta de 30. El plan de estudios del programa académico al cual pertenezco permite desarrollar en los estudiantes competencias para la comprensión del contexto. </v>
      </c>
      <c r="G148" s="203">
        <f>Apreciación!F133</f>
        <v>0</v>
      </c>
      <c r="H148" s="203">
        <f>Apreciación!G133</f>
        <v>0.1111111111111111</v>
      </c>
      <c r="I148" s="203">
        <f>Apreciación!H133</f>
        <v>0.1111111111111111</v>
      </c>
      <c r="J148" s="203">
        <f>Apreciación!I133</f>
        <v>0.33333333333333331</v>
      </c>
      <c r="K148" s="203">
        <f>Apreciación!J133</f>
        <v>0.40740740740740738</v>
      </c>
      <c r="L148" s="203">
        <f>Apreciación!K133</f>
        <v>3.7037037037037035E-2</v>
      </c>
      <c r="M148" s="125">
        <f t="shared" si="17"/>
        <v>4.0740740740740744</v>
      </c>
      <c r="N148" s="350"/>
      <c r="O148" s="325"/>
      <c r="P148" s="325"/>
      <c r="Q148" s="325"/>
      <c r="R148" s="17" t="str">
        <f t="shared" si="14"/>
        <v>B</v>
      </c>
      <c r="S148" s="328"/>
      <c r="T148" s="328"/>
      <c r="U148" s="328"/>
      <c r="V148" s="328"/>
    </row>
    <row r="149" spans="1:22" ht="36" x14ac:dyDescent="0.25">
      <c r="A149" s="343"/>
      <c r="B149" s="343"/>
      <c r="C149" s="334"/>
      <c r="D149" s="331"/>
      <c r="E149" s="11" t="str">
        <f>Apreciación!A134</f>
        <v>Docentes</v>
      </c>
      <c r="F149" s="11" t="str">
        <f>Apreciación!E134</f>
        <v>Cuenta de 31. El programa académico al cual pertenezco incentiva el desarrollo de proyectos de investigación con participación interdisciplinaria.</v>
      </c>
      <c r="G149" s="203">
        <f>Apreciación!F134</f>
        <v>0.14814814814814814</v>
      </c>
      <c r="H149" s="203">
        <f>Apreciación!G134</f>
        <v>7.407407407407407E-2</v>
      </c>
      <c r="I149" s="203">
        <f>Apreciación!H134</f>
        <v>0.25925925925925924</v>
      </c>
      <c r="J149" s="203">
        <f>Apreciación!I134</f>
        <v>0.29629629629629628</v>
      </c>
      <c r="K149" s="203">
        <f>Apreciación!J134</f>
        <v>0.22222222222222221</v>
      </c>
      <c r="L149" s="203">
        <f>Apreciación!K134</f>
        <v>0</v>
      </c>
      <c r="M149" s="125">
        <f t="shared" si="17"/>
        <v>3.7296296296296294</v>
      </c>
      <c r="N149" s="350"/>
      <c r="O149" s="325"/>
      <c r="P149" s="325"/>
      <c r="Q149" s="325"/>
      <c r="R149" s="17" t="str">
        <f t="shared" si="14"/>
        <v>C</v>
      </c>
      <c r="S149" s="328"/>
      <c r="T149" s="328"/>
      <c r="U149" s="328"/>
      <c r="V149" s="328"/>
    </row>
    <row r="150" spans="1:22" ht="48" x14ac:dyDescent="0.25">
      <c r="A150" s="343"/>
      <c r="B150" s="343"/>
      <c r="C150" s="334"/>
      <c r="D150" s="331"/>
      <c r="E150" s="11" t="str">
        <f>Apreciación!A153</f>
        <v>Docentes</v>
      </c>
      <c r="F150" s="11" t="str">
        <f>Apreciación!E153</f>
        <v>Cuenta de 50. Considero que el programa académico al cual pertenezco ejecuta proyectos y ayuda a resolver problemas del entorno inmediato.</v>
      </c>
      <c r="G150" s="203">
        <f>Apreciación!F153</f>
        <v>0.1111111111111111</v>
      </c>
      <c r="H150" s="203">
        <f>Apreciación!G153</f>
        <v>0.1111111111111111</v>
      </c>
      <c r="I150" s="203">
        <f>Apreciación!H153</f>
        <v>0.22222222222222221</v>
      </c>
      <c r="J150" s="203">
        <f>Apreciación!I153</f>
        <v>0.18518518518518517</v>
      </c>
      <c r="K150" s="203">
        <f>Apreciación!J153</f>
        <v>0.25925925925925924</v>
      </c>
      <c r="L150" s="203">
        <f>Apreciación!K153</f>
        <v>0.1111111111111111</v>
      </c>
      <c r="M150" s="125">
        <f t="shared" si="17"/>
        <v>3.3481481481481481</v>
      </c>
      <c r="N150" s="350"/>
      <c r="O150" s="325"/>
      <c r="P150" s="325"/>
      <c r="Q150" s="325"/>
      <c r="R150" s="17" t="str">
        <f t="shared" si="14"/>
        <v>D</v>
      </c>
      <c r="S150" s="329"/>
      <c r="T150" s="328"/>
      <c r="U150" s="328"/>
      <c r="V150" s="328"/>
    </row>
    <row r="151" spans="1:22" ht="25.5" customHeight="1" x14ac:dyDescent="0.25">
      <c r="A151" s="343"/>
      <c r="B151" s="343"/>
      <c r="C151" s="334"/>
      <c r="D151" s="331"/>
      <c r="E151" s="11" t="str">
        <f>Apreciación!A275</f>
        <v>Directivos</v>
      </c>
      <c r="F151" s="11" t="str">
        <f>Apreciación!E275</f>
        <v>Conoce los planes trazados para los próximos años en el interior de la Facultad</v>
      </c>
      <c r="G151" s="203">
        <f>Apreciación!F275</f>
        <v>0</v>
      </c>
      <c r="H151" s="203">
        <f>Apreciación!G275</f>
        <v>0.13333333333333333</v>
      </c>
      <c r="I151" s="203">
        <f>Apreciación!H275</f>
        <v>0.13333333333333333</v>
      </c>
      <c r="J151" s="203">
        <f>Apreciación!I275</f>
        <v>0.33333333333333331</v>
      </c>
      <c r="K151" s="203">
        <f>Apreciación!J275</f>
        <v>0.2</v>
      </c>
      <c r="L151" s="203">
        <f>Apreciación!K275</f>
        <v>0.2</v>
      </c>
      <c r="M151" s="125">
        <f t="shared" si="17"/>
        <v>3.2366666666666668</v>
      </c>
      <c r="N151" s="324">
        <f>AVERAGE(M151:M160)</f>
        <v>3.4426666666666668</v>
      </c>
      <c r="O151" s="325"/>
      <c r="P151" s="325"/>
      <c r="Q151" s="325"/>
      <c r="R151" s="17" t="str">
        <f t="shared" si="14"/>
        <v>D</v>
      </c>
      <c r="S151" s="327" t="str">
        <f>IF(((N151&gt;=$Z$4)*AND(N151&lt;=$AA$4)),$Y$4,IF(((N151&gt;$AA$4)*AND(N151&lt;=$AA$5)),$Y$5,IF(((N151&gt;$AA$5)*AND(N151&lt;=$AA$6)),$Y$6,IF(((N151&gt;$AA$6)*AND(N151&lt;=$AA$7)),$Y$7,IF(((N151&gt;$AA$7)*AND(N151&lt;=$AA$8)),$Y$8,IF(EXACT(N151,$Y$9),$Z$9))))))</f>
        <v>D</v>
      </c>
      <c r="T151" s="328"/>
      <c r="U151" s="328"/>
      <c r="V151" s="328"/>
    </row>
    <row r="152" spans="1:22" ht="36" x14ac:dyDescent="0.25">
      <c r="A152" s="343"/>
      <c r="B152" s="343"/>
      <c r="C152" s="334"/>
      <c r="D152" s="331"/>
      <c r="E152" s="11" t="str">
        <f>Apreciación!A276</f>
        <v>Directivos</v>
      </c>
      <c r="F152" s="11" t="str">
        <f>Apreciación!E276</f>
        <v>Conoce los planes trazados para los próximos años en el interior del proyecto curricular en materia de:  Investigación</v>
      </c>
      <c r="G152" s="203">
        <f>Apreciación!F276</f>
        <v>6.6666666666666666E-2</v>
      </c>
      <c r="H152" s="203">
        <f>Apreciación!G276</f>
        <v>6.6666666666666666E-2</v>
      </c>
      <c r="I152" s="203">
        <f>Apreciación!H276</f>
        <v>0.2</v>
      </c>
      <c r="J152" s="203">
        <f>Apreciación!I276</f>
        <v>0.2</v>
      </c>
      <c r="K152" s="203">
        <f>Apreciación!J276</f>
        <v>0.26666666666666666</v>
      </c>
      <c r="L152" s="203">
        <f>Apreciación!K276</f>
        <v>0.2</v>
      </c>
      <c r="M152" s="125">
        <f t="shared" si="17"/>
        <v>3.1566666666666667</v>
      </c>
      <c r="N152" s="325"/>
      <c r="O152" s="325"/>
      <c r="P152" s="325"/>
      <c r="Q152" s="325"/>
      <c r="R152" s="17" t="str">
        <f t="shared" si="14"/>
        <v>D</v>
      </c>
      <c r="S152" s="328"/>
      <c r="T152" s="328"/>
      <c r="U152" s="328"/>
      <c r="V152" s="328"/>
    </row>
    <row r="153" spans="1:22" ht="36" x14ac:dyDescent="0.25">
      <c r="A153" s="343"/>
      <c r="B153" s="343"/>
      <c r="C153" s="334"/>
      <c r="D153" s="331"/>
      <c r="E153" s="11" t="str">
        <f>Apreciación!A277</f>
        <v>Directivos</v>
      </c>
      <c r="F153" s="11" t="str">
        <f>Apreciación!E277</f>
        <v xml:space="preserve">Conoce los planes trazados para los próximos años en el interior del proyecto curricular en materia de:  Docencia </v>
      </c>
      <c r="G153" s="203">
        <f>Apreciación!F277</f>
        <v>0</v>
      </c>
      <c r="H153" s="203">
        <f>Apreciación!G277</f>
        <v>6.6666666666666666E-2</v>
      </c>
      <c r="I153" s="203">
        <f>Apreciación!H277</f>
        <v>0.2</v>
      </c>
      <c r="J153" s="203">
        <f>Apreciación!I277</f>
        <v>0.26666666666666666</v>
      </c>
      <c r="K153" s="203">
        <f>Apreciación!J277</f>
        <v>0.26666666666666666</v>
      </c>
      <c r="L153" s="203">
        <f>Apreciación!K277</f>
        <v>0.2</v>
      </c>
      <c r="M153" s="125">
        <f t="shared" si="17"/>
        <v>3.3233333333333333</v>
      </c>
      <c r="N153" s="325"/>
      <c r="O153" s="325"/>
      <c r="P153" s="325"/>
      <c r="Q153" s="325"/>
      <c r="R153" s="17" t="str">
        <f t="shared" si="14"/>
        <v>D</v>
      </c>
      <c r="S153" s="328"/>
      <c r="T153" s="328"/>
      <c r="U153" s="328"/>
      <c r="V153" s="328"/>
    </row>
    <row r="154" spans="1:22" ht="36" x14ac:dyDescent="0.25">
      <c r="A154" s="343"/>
      <c r="B154" s="343"/>
      <c r="C154" s="334"/>
      <c r="D154" s="331"/>
      <c r="E154" s="11" t="str">
        <f>Apreciación!A278</f>
        <v>Directivos</v>
      </c>
      <c r="F154" s="11" t="str">
        <f>Apreciación!E278</f>
        <v>Conoce los planes trazados para los próximos años en el interior del proyecto curricular en materia de:  Extensión y proyección social</v>
      </c>
      <c r="G154" s="203">
        <f>Apreciación!F278</f>
        <v>6.6666666666666666E-2</v>
      </c>
      <c r="H154" s="203">
        <f>Apreciación!G278</f>
        <v>6.6666666666666666E-2</v>
      </c>
      <c r="I154" s="203">
        <f>Apreciación!H278</f>
        <v>0.13333333333333333</v>
      </c>
      <c r="J154" s="203">
        <f>Apreciación!I278</f>
        <v>0.2</v>
      </c>
      <c r="K154" s="203">
        <f>Apreciación!J278</f>
        <v>0.33333333333333331</v>
      </c>
      <c r="L154" s="203">
        <f>Apreciación!K278</f>
        <v>0.2</v>
      </c>
      <c r="M154" s="125">
        <f t="shared" si="17"/>
        <v>3.2266666666666666</v>
      </c>
      <c r="N154" s="325"/>
      <c r="O154" s="325"/>
      <c r="P154" s="325"/>
      <c r="Q154" s="325"/>
      <c r="R154" s="17" t="str">
        <f t="shared" si="14"/>
        <v>D</v>
      </c>
      <c r="S154" s="328"/>
      <c r="T154" s="328"/>
      <c r="U154" s="328"/>
      <c r="V154" s="328"/>
    </row>
    <row r="155" spans="1:22" ht="24" x14ac:dyDescent="0.25">
      <c r="A155" s="343"/>
      <c r="B155" s="343"/>
      <c r="C155" s="334"/>
      <c r="D155" s="331"/>
      <c r="E155" s="11" t="str">
        <f>Apreciación!A279</f>
        <v>Directivos</v>
      </c>
      <c r="F155" s="11" t="str">
        <f>Apreciación!E279</f>
        <v>Conoce las líneas y proyectos de investigación que se desarrollan actualmente</v>
      </c>
      <c r="G155" s="203">
        <f>Apreciación!F279</f>
        <v>0</v>
      </c>
      <c r="H155" s="203">
        <f>Apreciación!G279</f>
        <v>6.6666666666666666E-2</v>
      </c>
      <c r="I155" s="203">
        <f>Apreciación!H279</f>
        <v>0.2</v>
      </c>
      <c r="J155" s="203">
        <f>Apreciación!I279</f>
        <v>0.13333333333333333</v>
      </c>
      <c r="K155" s="203">
        <f>Apreciación!J279</f>
        <v>0.46666666666666667</v>
      </c>
      <c r="L155" s="203">
        <f>Apreciación!K279</f>
        <v>0.13333333333333333</v>
      </c>
      <c r="M155" s="125">
        <f t="shared" si="17"/>
        <v>3.7133333333333338</v>
      </c>
      <c r="N155" s="325"/>
      <c r="O155" s="325"/>
      <c r="P155" s="325"/>
      <c r="Q155" s="325"/>
      <c r="R155" s="17" t="str">
        <f t="shared" si="14"/>
        <v>C</v>
      </c>
      <c r="S155" s="328"/>
      <c r="T155" s="328"/>
      <c r="U155" s="328"/>
      <c r="V155" s="328"/>
    </row>
    <row r="156" spans="1:22" ht="36" x14ac:dyDescent="0.25">
      <c r="A156" s="343"/>
      <c r="B156" s="343"/>
      <c r="C156" s="334"/>
      <c r="D156" s="331"/>
      <c r="E156" s="11" t="str">
        <f>Apreciación!A280</f>
        <v>Directivos</v>
      </c>
      <c r="F156" s="11" t="str">
        <f>Apreciación!E280</f>
        <v>Conoce la prospectiva de presentación de proyectos de investigación en el proyecto curricular y a qué línea le apuntan</v>
      </c>
      <c r="G156" s="203">
        <f>Apreciación!F280</f>
        <v>0</v>
      </c>
      <c r="H156" s="203">
        <f>Apreciación!G280</f>
        <v>0.13333333333333333</v>
      </c>
      <c r="I156" s="203">
        <f>Apreciación!H280</f>
        <v>0</v>
      </c>
      <c r="J156" s="203">
        <f>Apreciación!I280</f>
        <v>0.46666666666666667</v>
      </c>
      <c r="K156" s="203">
        <f>Apreciación!J280</f>
        <v>0.26666666666666666</v>
      </c>
      <c r="L156" s="203">
        <f>Apreciación!K280</f>
        <v>0.13333333333333333</v>
      </c>
      <c r="M156" s="125">
        <f t="shared" si="17"/>
        <v>3.62</v>
      </c>
      <c r="N156" s="325"/>
      <c r="O156" s="325"/>
      <c r="P156" s="325"/>
      <c r="Q156" s="325"/>
      <c r="R156" s="17" t="str">
        <f t="shared" si="14"/>
        <v>C</v>
      </c>
      <c r="S156" s="328"/>
      <c r="T156" s="328"/>
      <c r="U156" s="328"/>
      <c r="V156" s="328"/>
    </row>
    <row r="157" spans="1:22" ht="36" x14ac:dyDescent="0.25">
      <c r="A157" s="343"/>
      <c r="B157" s="343"/>
      <c r="C157" s="334"/>
      <c r="D157" s="331"/>
      <c r="E157" s="11" t="str">
        <f>Apreciación!A281</f>
        <v>Directivos</v>
      </c>
      <c r="F157" s="11" t="str">
        <f>Apreciación!E281</f>
        <v>Menciona las líneas a las que apuntan los proyectos de investigación en el proyecto curricular</v>
      </c>
      <c r="G157" s="203">
        <f>Apreciación!F281</f>
        <v>0</v>
      </c>
      <c r="H157" s="203">
        <f>Apreciación!G281</f>
        <v>0.2</v>
      </c>
      <c r="I157" s="203">
        <f>Apreciación!H281</f>
        <v>0.2</v>
      </c>
      <c r="J157" s="203">
        <f>Apreciación!I281</f>
        <v>6.6666666666666666E-2</v>
      </c>
      <c r="K157" s="203">
        <f>Apreciación!J281</f>
        <v>0.4</v>
      </c>
      <c r="L157" s="203">
        <f>Apreciación!K281</f>
        <v>0.13333333333333333</v>
      </c>
      <c r="M157" s="125">
        <f t="shared" si="17"/>
        <v>3.5100000000000002</v>
      </c>
      <c r="N157" s="325"/>
      <c r="O157" s="325"/>
      <c r="P157" s="325"/>
      <c r="Q157" s="325"/>
      <c r="R157" s="17" t="str">
        <f t="shared" si="14"/>
        <v>C</v>
      </c>
      <c r="S157" s="328"/>
      <c r="T157" s="328"/>
      <c r="U157" s="328"/>
      <c r="V157" s="328"/>
    </row>
    <row r="158" spans="1:22" ht="36" x14ac:dyDescent="0.25">
      <c r="A158" s="343"/>
      <c r="B158" s="343"/>
      <c r="C158" s="334"/>
      <c r="D158" s="331"/>
      <c r="E158" s="11" t="str">
        <f>Apreciación!A288</f>
        <v>Directivos</v>
      </c>
      <c r="F158" s="11" t="str">
        <f>Apreciación!E288</f>
        <v>Menciona convenios y fuentes de financiación externa (local o extrajera), para el desarrollo de: Investigación</v>
      </c>
      <c r="G158" s="203">
        <f>Apreciación!F288</f>
        <v>0</v>
      </c>
      <c r="H158" s="203">
        <f>Apreciación!G288</f>
        <v>0.13333333333333333</v>
      </c>
      <c r="I158" s="203">
        <f>Apreciación!H288</f>
        <v>6.6666666666666666E-2</v>
      </c>
      <c r="J158" s="203">
        <f>Apreciación!I288</f>
        <v>0.26666666666666666</v>
      </c>
      <c r="K158" s="203">
        <f>Apreciación!J288</f>
        <v>0.4</v>
      </c>
      <c r="L158" s="203">
        <f>Apreciación!K288</f>
        <v>0.13333333333333333</v>
      </c>
      <c r="M158" s="125">
        <f t="shared" si="17"/>
        <v>3.66</v>
      </c>
      <c r="N158" s="325"/>
      <c r="O158" s="325"/>
      <c r="P158" s="325"/>
      <c r="Q158" s="325"/>
      <c r="R158" s="17" t="str">
        <f t="shared" si="14"/>
        <v>C</v>
      </c>
      <c r="S158" s="328"/>
      <c r="T158" s="328"/>
      <c r="U158" s="328"/>
      <c r="V158" s="328"/>
    </row>
    <row r="159" spans="1:22" ht="36" x14ac:dyDescent="0.25">
      <c r="A159" s="343"/>
      <c r="B159" s="343"/>
      <c r="C159" s="334"/>
      <c r="D159" s="331"/>
      <c r="E159" s="11" t="str">
        <f>Apreciación!A289</f>
        <v>Directivos</v>
      </c>
      <c r="F159" s="11" t="str">
        <f>Apreciación!E289</f>
        <v xml:space="preserve">Menciona convenios y fuentes de financiación externa (local o extrajera), para el desarrollo de: Formación docente </v>
      </c>
      <c r="G159" s="203">
        <f>Apreciación!F289</f>
        <v>0</v>
      </c>
      <c r="H159" s="203">
        <f>Apreciación!G289</f>
        <v>0.26666666666666666</v>
      </c>
      <c r="I159" s="203">
        <f>Apreciación!H289</f>
        <v>0.2</v>
      </c>
      <c r="J159" s="203">
        <f>Apreciación!I289</f>
        <v>0.2</v>
      </c>
      <c r="K159" s="203">
        <f>Apreciación!J289</f>
        <v>0.26666666666666666</v>
      </c>
      <c r="L159" s="203">
        <f>Apreciación!K289</f>
        <v>6.6666666666666666E-2</v>
      </c>
      <c r="M159" s="125">
        <f t="shared" si="17"/>
        <v>3.6333333333333337</v>
      </c>
      <c r="N159" s="325"/>
      <c r="O159" s="325"/>
      <c r="P159" s="325"/>
      <c r="Q159" s="325"/>
      <c r="R159" s="17" t="str">
        <f t="shared" si="14"/>
        <v>C</v>
      </c>
      <c r="S159" s="328"/>
      <c r="T159" s="328"/>
      <c r="U159" s="328"/>
      <c r="V159" s="328"/>
    </row>
    <row r="160" spans="1:22" ht="36" x14ac:dyDescent="0.25">
      <c r="A160" s="343"/>
      <c r="B160" s="343"/>
      <c r="C160" s="334"/>
      <c r="D160" s="331"/>
      <c r="E160" s="11" t="str">
        <f>Apreciación!A290</f>
        <v>Directivos</v>
      </c>
      <c r="F160" s="11" t="str">
        <f>Apreciación!E290</f>
        <v>Menciona convenios y fuentes de financiación externa (local o extrajera), para el desarrollo de: Extensión y proyección social</v>
      </c>
      <c r="G160" s="203">
        <f>Apreciación!F290</f>
        <v>0</v>
      </c>
      <c r="H160" s="203">
        <f>Apreciación!G290</f>
        <v>0.13333333333333333</v>
      </c>
      <c r="I160" s="203">
        <f>Apreciación!H290</f>
        <v>0.13333333333333333</v>
      </c>
      <c r="J160" s="203">
        <f>Apreciación!I290</f>
        <v>0.13333333333333333</v>
      </c>
      <c r="K160" s="203">
        <f>Apreciación!J290</f>
        <v>0.4</v>
      </c>
      <c r="L160" s="203">
        <f>Apreciación!K290</f>
        <v>0.2</v>
      </c>
      <c r="M160" s="125">
        <f t="shared" si="17"/>
        <v>3.3466666666666667</v>
      </c>
      <c r="N160" s="326"/>
      <c r="O160" s="325"/>
      <c r="P160" s="325"/>
      <c r="Q160" s="325"/>
      <c r="R160" s="17" t="str">
        <f t="shared" si="14"/>
        <v>D</v>
      </c>
      <c r="S160" s="329"/>
      <c r="T160" s="328"/>
      <c r="U160" s="328"/>
      <c r="V160" s="328"/>
    </row>
    <row r="161" spans="1:22" ht="60" x14ac:dyDescent="0.25">
      <c r="A161" s="343"/>
      <c r="B161" s="343"/>
      <c r="C161" s="334"/>
      <c r="D161" s="331"/>
      <c r="E161" s="167" t="str">
        <f>Apreciación!A193</f>
        <v>Egresados</v>
      </c>
      <c r="F161" s="181" t="str">
        <f>Apreciación!E193</f>
        <v>Cuenta de 4. Considero que la Universidad Distrital Francisco José de Caldas desarrolla una educación de alta calidad con capacidad de responder a los retos del Distrito Capital y del país.</v>
      </c>
      <c r="G161" s="205">
        <f>Apreciación!F193</f>
        <v>1.282051282051282E-2</v>
      </c>
      <c r="H161" s="205">
        <f>Apreciación!G193</f>
        <v>1.282051282051282E-2</v>
      </c>
      <c r="I161" s="205">
        <f>Apreciación!H193</f>
        <v>0.14102564102564102</v>
      </c>
      <c r="J161" s="205">
        <f>Apreciación!I193</f>
        <v>0.35897435897435898</v>
      </c>
      <c r="K161" s="205">
        <f>Apreciación!J193</f>
        <v>0.46153846153846156</v>
      </c>
      <c r="L161" s="205">
        <f>Apreciación!K193</f>
        <v>1.282051282051282E-2</v>
      </c>
      <c r="M161" s="85">
        <f t="shared" si="17"/>
        <v>4.2814102564102567</v>
      </c>
      <c r="N161" s="324">
        <f>AVERAGE(M161:M163)</f>
        <v>4.0557692307692301</v>
      </c>
      <c r="O161" s="325"/>
      <c r="P161" s="325"/>
      <c r="Q161" s="325"/>
      <c r="R161" s="17" t="str">
        <f t="shared" si="14"/>
        <v>B</v>
      </c>
      <c r="S161" s="327" t="str">
        <f>IF(((N161&gt;=$Z$4)*AND(N161&lt;=$AA$4)),$Y$4,IF(((N161&gt;$AA$4)*AND(N161&lt;=$AA$5)),$Y$5,IF(((N161&gt;$AA$5)*AND(N161&lt;=$AA$6)),$Y$6,IF(((N161&gt;$AA$6)*AND(N161&lt;=$AA$7)),$Y$7,IF(((N161&gt;$AA$7)*AND(N161&lt;=$AA$8)),$Y$8,IF(EXACT(N161,$Y$9),$Z$9))))))</f>
        <v>B</v>
      </c>
      <c r="T161" s="328"/>
      <c r="U161" s="328"/>
      <c r="V161" s="328"/>
    </row>
    <row r="162" spans="1:22" ht="48" x14ac:dyDescent="0.25">
      <c r="A162" s="343"/>
      <c r="B162" s="343"/>
      <c r="C162" s="334"/>
      <c r="D162" s="331"/>
      <c r="E162" s="167" t="str">
        <f>Apreciación!A195</f>
        <v>Egresados</v>
      </c>
      <c r="F162" s="181" t="str">
        <f>Apreciación!E195</f>
        <v>Cuenta de 6. Considero que el proceso de admisión a cada uno de los niveles de formación de los programas por ciclos ofrecidos en la Facultad Tecnológica es apropiado.</v>
      </c>
      <c r="G162" s="205">
        <f>Apreciación!F195</f>
        <v>0</v>
      </c>
      <c r="H162" s="205">
        <f>Apreciación!G195</f>
        <v>3.8461538461538464E-2</v>
      </c>
      <c r="I162" s="205">
        <f>Apreciación!H195</f>
        <v>5.128205128205128E-2</v>
      </c>
      <c r="J162" s="205">
        <f>Apreciación!I195</f>
        <v>0.58974358974358976</v>
      </c>
      <c r="K162" s="205">
        <f>Apreciación!J195</f>
        <v>0.26923076923076922</v>
      </c>
      <c r="L162" s="205">
        <f>Apreciación!K195</f>
        <v>5.128205128205128E-2</v>
      </c>
      <c r="M162" s="85">
        <f t="shared" si="17"/>
        <v>4.0589743589743588</v>
      </c>
      <c r="N162" s="325"/>
      <c r="O162" s="325"/>
      <c r="P162" s="325"/>
      <c r="Q162" s="325"/>
      <c r="R162" s="17" t="str">
        <f t="shared" si="14"/>
        <v>B</v>
      </c>
      <c r="S162" s="328"/>
      <c r="T162" s="328"/>
      <c r="U162" s="328"/>
      <c r="V162" s="328"/>
    </row>
    <row r="163" spans="1:22" ht="48" x14ac:dyDescent="0.25">
      <c r="A163" s="343"/>
      <c r="B163" s="343"/>
      <c r="C163" s="335"/>
      <c r="D163" s="332"/>
      <c r="E163" s="167" t="str">
        <f>Apreciación!A197</f>
        <v>Egresados</v>
      </c>
      <c r="F163" s="181" t="str">
        <f>Apreciación!E197</f>
        <v>Cuenta de 9. En la época de culminación de mis estudios, mi programa académico me ofreció modalidades de trabajo de grado suficientemente variadas.</v>
      </c>
      <c r="G163" s="205">
        <f>Apreciación!F197</f>
        <v>5.128205128205128E-2</v>
      </c>
      <c r="H163" s="205">
        <f>Apreciación!G197</f>
        <v>0.17948717948717949</v>
      </c>
      <c r="I163" s="205">
        <f>Apreciación!H197</f>
        <v>0.29487179487179488</v>
      </c>
      <c r="J163" s="205">
        <f>Apreciación!I197</f>
        <v>0.24358974358974358</v>
      </c>
      <c r="K163" s="205">
        <f>Apreciación!J197</f>
        <v>0.23076923076923078</v>
      </c>
      <c r="L163" s="205">
        <f>Apreciación!K197</f>
        <v>0</v>
      </c>
      <c r="M163" s="85">
        <f t="shared" si="17"/>
        <v>3.8269230769230771</v>
      </c>
      <c r="N163" s="326"/>
      <c r="O163" s="326"/>
      <c r="P163" s="325"/>
      <c r="Q163" s="325"/>
      <c r="R163" s="17" t="str">
        <f t="shared" si="14"/>
        <v>C</v>
      </c>
      <c r="S163" s="329"/>
      <c r="T163" s="329"/>
      <c r="U163" s="328"/>
      <c r="V163" s="328"/>
    </row>
    <row r="164" spans="1:22" ht="84" x14ac:dyDescent="0.25">
      <c r="A164" s="343"/>
      <c r="B164" s="343"/>
      <c r="C164" s="58" t="str">
        <f>Final!E83</f>
        <v>i</v>
      </c>
      <c r="D164" s="59" t="str">
        <f>Final!F83</f>
        <v>Aplicación y evaluación de estrategias, metodologías y/o problemáticas desde las cuales se propicie en los estudiantes el desarrollo del pensamiento autónomo y el fomento de la creatividad, según el campo de conocimiento y la naturaleza del proyecto curricular.</v>
      </c>
      <c r="E164" s="61" t="s">
        <v>64</v>
      </c>
      <c r="F164" s="61" t="s">
        <v>64</v>
      </c>
      <c r="G164" s="204" t="s">
        <v>64</v>
      </c>
      <c r="H164" s="204" t="s">
        <v>64</v>
      </c>
      <c r="I164" s="204" t="s">
        <v>64</v>
      </c>
      <c r="J164" s="204" t="s">
        <v>64</v>
      </c>
      <c r="K164" s="204" t="s">
        <v>64</v>
      </c>
      <c r="L164" s="204" t="s">
        <v>64</v>
      </c>
      <c r="M164" s="85" t="s">
        <v>64</v>
      </c>
      <c r="N164" s="85" t="s">
        <v>64</v>
      </c>
      <c r="O164" s="85" t="s">
        <v>64</v>
      </c>
      <c r="P164" s="325"/>
      <c r="Q164" s="325"/>
      <c r="R164" s="17" t="str">
        <f t="shared" si="14"/>
        <v>NA</v>
      </c>
      <c r="S164" s="17" t="str">
        <f t="shared" ref="S164:T168" si="18">IF(((N164&gt;=$Z$4)*AND(N164&lt;=$AA$4)),$Y$4,IF(((N164&gt;$AA$4)*AND(N164&lt;=$AA$5)),$Y$5,IF(((N164&gt;$AA$5)*AND(N164&lt;=$AA$6)),$Y$6,IF(((N164&gt;$AA$6)*AND(N164&lt;=$AA$7)),$Y$7,IF(((N164&gt;$AA$7)*AND(N164&lt;=$AA$8)),$Y$8,IF(EXACT(N164,$Y$9),$Z$9))))))</f>
        <v>NA</v>
      </c>
      <c r="T164" s="17" t="str">
        <f t="shared" si="18"/>
        <v>NA</v>
      </c>
      <c r="U164" s="328"/>
      <c r="V164" s="328"/>
    </row>
    <row r="165" spans="1:22" ht="72" x14ac:dyDescent="0.25">
      <c r="A165" s="343"/>
      <c r="B165" s="343"/>
      <c r="C165" s="58" t="str">
        <f>Final!E84</f>
        <v>j</v>
      </c>
      <c r="D165" s="59" t="str">
        <f>Final!F84</f>
        <v>Análisis cuantitativo y cualitativo sobre el desempeño obtenido por los estudiantes del proyecto curricular en las pruebas de estado de educación superior, durante los últimos cinco años. Análisis con respecto al promedio nacional.</v>
      </c>
      <c r="E165" s="61" t="s">
        <v>64</v>
      </c>
      <c r="F165" s="61" t="s">
        <v>64</v>
      </c>
      <c r="G165" s="204" t="s">
        <v>64</v>
      </c>
      <c r="H165" s="204" t="s">
        <v>64</v>
      </c>
      <c r="I165" s="204" t="s">
        <v>64</v>
      </c>
      <c r="J165" s="204" t="s">
        <v>64</v>
      </c>
      <c r="K165" s="204" t="s">
        <v>64</v>
      </c>
      <c r="L165" s="204" t="s">
        <v>64</v>
      </c>
      <c r="M165" s="85" t="s">
        <v>64</v>
      </c>
      <c r="N165" s="85" t="s">
        <v>64</v>
      </c>
      <c r="O165" s="85" t="s">
        <v>64</v>
      </c>
      <c r="P165" s="325"/>
      <c r="Q165" s="325"/>
      <c r="R165" s="17" t="str">
        <f t="shared" si="14"/>
        <v>NA</v>
      </c>
      <c r="S165" s="17" t="str">
        <f t="shared" si="18"/>
        <v>NA</v>
      </c>
      <c r="T165" s="17" t="str">
        <f t="shared" si="18"/>
        <v>NA</v>
      </c>
      <c r="U165" s="328"/>
      <c r="V165" s="328"/>
    </row>
    <row r="166" spans="1:22" ht="72" x14ac:dyDescent="0.25">
      <c r="A166" s="343"/>
      <c r="B166" s="343"/>
      <c r="C166" s="58" t="str">
        <f>Final!E85</f>
        <v>k</v>
      </c>
      <c r="D166" s="59" t="str">
        <f>Final!F85</f>
        <v>Estudios de valor agregado realizados para analizar los resultados obtenidos por los estudiantes en la Pruebas Saber Pro y su relación con los resultados de las Pruebas Saber 11. Análisis de los promedios obtenidos y sus relaciones con los promedios nacionales</v>
      </c>
      <c r="E166" s="61" t="s">
        <v>64</v>
      </c>
      <c r="F166" s="61" t="s">
        <v>64</v>
      </c>
      <c r="G166" s="204" t="s">
        <v>64</v>
      </c>
      <c r="H166" s="204" t="s">
        <v>64</v>
      </c>
      <c r="I166" s="204" t="s">
        <v>64</v>
      </c>
      <c r="J166" s="204" t="s">
        <v>64</v>
      </c>
      <c r="K166" s="204" t="s">
        <v>64</v>
      </c>
      <c r="L166" s="204" t="s">
        <v>64</v>
      </c>
      <c r="M166" s="85" t="s">
        <v>64</v>
      </c>
      <c r="N166" s="85" t="s">
        <v>64</v>
      </c>
      <c r="O166" s="85" t="s">
        <v>64</v>
      </c>
      <c r="P166" s="325"/>
      <c r="Q166" s="325"/>
      <c r="R166" s="17" t="str">
        <f t="shared" si="14"/>
        <v>NA</v>
      </c>
      <c r="S166" s="17" t="str">
        <f t="shared" si="18"/>
        <v>NA</v>
      </c>
      <c r="T166" s="17" t="str">
        <f t="shared" si="18"/>
        <v>NA</v>
      </c>
      <c r="U166" s="328"/>
      <c r="V166" s="328"/>
    </row>
    <row r="167" spans="1:22" ht="84" x14ac:dyDescent="0.25">
      <c r="A167" s="343"/>
      <c r="B167" s="343"/>
      <c r="C167" s="58" t="str">
        <f>Final!E86</f>
        <v>l</v>
      </c>
      <c r="D167" s="59" t="str">
        <f>Final!F86</f>
        <v>Identificación en el perfil profesional y ocupacional de los distintos tipos de competencias, especialmente actitudes, conocimientos, capacidades y habilidades requeridas en el nivel de formación y definidas en las actividades académicas necesarias para su desarrollo.</v>
      </c>
      <c r="E167" s="61" t="s">
        <v>64</v>
      </c>
      <c r="F167" s="61" t="s">
        <v>64</v>
      </c>
      <c r="G167" s="204" t="s">
        <v>64</v>
      </c>
      <c r="H167" s="204" t="s">
        <v>64</v>
      </c>
      <c r="I167" s="204" t="s">
        <v>64</v>
      </c>
      <c r="J167" s="204" t="s">
        <v>64</v>
      </c>
      <c r="K167" s="204" t="s">
        <v>64</v>
      </c>
      <c r="L167" s="204" t="s">
        <v>64</v>
      </c>
      <c r="M167" s="125" t="s">
        <v>64</v>
      </c>
      <c r="N167" s="125" t="s">
        <v>64</v>
      </c>
      <c r="O167" s="125" t="s">
        <v>64</v>
      </c>
      <c r="P167" s="325"/>
      <c r="Q167" s="325"/>
      <c r="R167" s="17" t="str">
        <f t="shared" si="14"/>
        <v>NA</v>
      </c>
      <c r="S167" s="17" t="str">
        <f t="shared" si="18"/>
        <v>NA</v>
      </c>
      <c r="T167" s="17" t="str">
        <f t="shared" si="18"/>
        <v>NA</v>
      </c>
      <c r="U167" s="328"/>
      <c r="V167" s="328"/>
    </row>
    <row r="168" spans="1:22" ht="72" customHeight="1" x14ac:dyDescent="0.25">
      <c r="A168" s="343"/>
      <c r="B168" s="343"/>
      <c r="C168" s="333" t="str">
        <f>Final!E87</f>
        <v>m</v>
      </c>
      <c r="D168" s="330" t="str">
        <f>Final!F87</f>
        <v>Existe articulación del plan de estudios del proyecto curricular con los diversos niveles de formación (periodos académicos, especialización, maestría y doctorado, componentes propedéuticos y /o ciclos, entre otros )</v>
      </c>
      <c r="E168" s="64" t="str">
        <f>Apreciación!A42</f>
        <v>Estudiantes</v>
      </c>
      <c r="F168" s="140" t="str">
        <f>Apreciación!E42</f>
        <v>Cuenta de 32. Conozco las diferencias entre los programas de formación en ingeniería por ciclos y los programas de ingeniería tradicional.</v>
      </c>
      <c r="G168" s="206">
        <f>Apreciación!F42</f>
        <v>5.9880239520958084E-2</v>
      </c>
      <c r="H168" s="206">
        <f>Apreciación!G42</f>
        <v>4.1916167664670656E-2</v>
      </c>
      <c r="I168" s="206">
        <f>Apreciación!H42</f>
        <v>0.15568862275449102</v>
      </c>
      <c r="J168" s="206">
        <f>Apreciación!I42</f>
        <v>0.31736526946107785</v>
      </c>
      <c r="K168" s="206">
        <f>Apreciación!J42</f>
        <v>0.3652694610778443</v>
      </c>
      <c r="L168" s="206">
        <f>Apreciación!K42</f>
        <v>5.9880239520958084E-2</v>
      </c>
      <c r="M168" s="159">
        <f>(G168*$G$2)+(H168*$H$2)+(I168*$I$2)+(J168*$J$2)+(K168*$K$2)+(L168*$L$2)</f>
        <v>3.8694610778443117</v>
      </c>
      <c r="N168" s="324">
        <f>AVERAGE(M168:M170)</f>
        <v>4.0700598802395218</v>
      </c>
      <c r="O168" s="324">
        <f>(N168*$AE$5)+(N171*$AE$4)+(N175*$AE$6)+(N177*$AE$8)+(AVERAGE(N168:N178)*$AE$7)</f>
        <v>4.1721870086861825</v>
      </c>
      <c r="P168" s="325"/>
      <c r="Q168" s="325"/>
      <c r="R168" s="17" t="str">
        <f t="shared" si="14"/>
        <v>C</v>
      </c>
      <c r="S168" s="327" t="str">
        <f t="shared" si="18"/>
        <v>B</v>
      </c>
      <c r="T168" s="327" t="str">
        <f t="shared" si="18"/>
        <v>B</v>
      </c>
      <c r="U168" s="328"/>
      <c r="V168" s="328"/>
    </row>
    <row r="169" spans="1:22" ht="36" x14ac:dyDescent="0.25">
      <c r="A169" s="343"/>
      <c r="B169" s="343"/>
      <c r="C169" s="334"/>
      <c r="D169" s="331"/>
      <c r="E169" s="64" t="str">
        <f>Apreciación!A43</f>
        <v>Estudiantes</v>
      </c>
      <c r="F169" s="140" t="str">
        <f>Apreciación!E43</f>
        <v>Cuenta de 33. Tengo claro qué es y para qué sirve el componente propedéutico en un programa de ingeniería por ciclos.</v>
      </c>
      <c r="G169" s="206">
        <f>Apreciación!F43</f>
        <v>4.1916167664670656E-2</v>
      </c>
      <c r="H169" s="206">
        <f>Apreciación!G43</f>
        <v>5.3892215568862277E-2</v>
      </c>
      <c r="I169" s="206">
        <f>Apreciación!H43</f>
        <v>0.18562874251497005</v>
      </c>
      <c r="J169" s="206">
        <f>Apreciación!I43</f>
        <v>0.32335329341317365</v>
      </c>
      <c r="K169" s="206">
        <f>Apreciación!J43</f>
        <v>0.3592814371257485</v>
      </c>
      <c r="L169" s="206">
        <f>Apreciación!K43</f>
        <v>3.5928143712574849E-2</v>
      </c>
      <c r="M169" s="159">
        <f t="shared" ref="M169:M178" si="19">(G169*$G$2)+(H169*$H$2)+(I169*$I$2)+(J169*$J$2)+(K169*$K$2)+(L169*$L$2)</f>
        <v>3.9817365269461082</v>
      </c>
      <c r="N169" s="325"/>
      <c r="O169" s="325"/>
      <c r="P169" s="325"/>
      <c r="Q169" s="325"/>
      <c r="R169" s="17" t="str">
        <f t="shared" ref="R169:R178" si="20">IF(((M169&gt;=$Z$4)*AND(M169&lt;=$AA$4)),$Y$4,IF(((M169&gt;$AA$4)*AND(M169&lt;=$AA$5)),$Y$5,IF(((M169&gt;$AA$5)*AND(M169&lt;=$AA$6)),$Y$6,IF(((M169&gt;$AA$6)*AND(M169&lt;=$AA$7)),$Y$7,IF(((M169&gt;$AA$7)*AND(M169&lt;=$AA$8)),$Y$8,IF(EXACT(M169,$Y$9),$Z$9))))))</f>
        <v>C</v>
      </c>
      <c r="S169" s="328"/>
      <c r="T169" s="328"/>
      <c r="U169" s="328"/>
      <c r="V169" s="328"/>
    </row>
    <row r="170" spans="1:22" ht="24" x14ac:dyDescent="0.25">
      <c r="A170" s="343"/>
      <c r="B170" s="343"/>
      <c r="C170" s="334"/>
      <c r="D170" s="331"/>
      <c r="E170" s="64" t="str">
        <f>Apreciación!A45</f>
        <v>Estudiantes</v>
      </c>
      <c r="F170" s="140" t="str">
        <f>Apreciación!E45</f>
        <v xml:space="preserve">Cuenta de 35. Ser ingeniero mejora las condiciones laborales del tecnólogo. </v>
      </c>
      <c r="G170" s="206">
        <f>Apreciación!F45</f>
        <v>5.9880239520958087E-3</v>
      </c>
      <c r="H170" s="206">
        <f>Apreciación!G45</f>
        <v>5.9880239520958087E-3</v>
      </c>
      <c r="I170" s="206">
        <f>Apreciación!H45</f>
        <v>0.10778443113772455</v>
      </c>
      <c r="J170" s="206">
        <f>Apreciación!I45</f>
        <v>0.24550898203592814</v>
      </c>
      <c r="K170" s="206">
        <f>Apreciación!J45</f>
        <v>0.6107784431137725</v>
      </c>
      <c r="L170" s="206">
        <f>Apreciación!K45</f>
        <v>2.3952095808383235E-2</v>
      </c>
      <c r="M170" s="159">
        <f t="shared" si="19"/>
        <v>4.3589820359281441</v>
      </c>
      <c r="N170" s="326"/>
      <c r="O170" s="325"/>
      <c r="P170" s="325"/>
      <c r="Q170" s="325"/>
      <c r="R170" s="17" t="str">
        <f t="shared" si="20"/>
        <v>B</v>
      </c>
      <c r="S170" s="329"/>
      <c r="T170" s="328"/>
      <c r="U170" s="328"/>
      <c r="V170" s="328"/>
    </row>
    <row r="171" spans="1:22" ht="36" x14ac:dyDescent="0.25">
      <c r="A171" s="343"/>
      <c r="B171" s="343"/>
      <c r="C171" s="334"/>
      <c r="D171" s="331"/>
      <c r="E171" s="64" t="str">
        <f>Apreciación!A141</f>
        <v>Docentes</v>
      </c>
      <c r="F171" s="140" t="str">
        <f>Apreciación!E141</f>
        <v>Cuenta de 38. Conozco las diferencias entre los programas de formación en ingeniería por ciclos y los programas de ingeniería tradicional.</v>
      </c>
      <c r="G171" s="206">
        <f>Apreciación!F141</f>
        <v>3.7037037037037035E-2</v>
      </c>
      <c r="H171" s="206">
        <f>Apreciación!G141</f>
        <v>0</v>
      </c>
      <c r="I171" s="206">
        <f>Apreciación!H141</f>
        <v>7.407407407407407E-2</v>
      </c>
      <c r="J171" s="206">
        <f>Apreciación!I141</f>
        <v>0.14814814814814814</v>
      </c>
      <c r="K171" s="206">
        <f>Apreciación!J141</f>
        <v>0.70370370370370372</v>
      </c>
      <c r="L171" s="206">
        <f>Apreciación!K141</f>
        <v>3.7037037037037035E-2</v>
      </c>
      <c r="M171" s="159">
        <f t="shared" si="19"/>
        <v>4.3018518518518523</v>
      </c>
      <c r="N171" s="324">
        <f>AVERAGE(M171:M174)</f>
        <v>4.2865740740740748</v>
      </c>
      <c r="O171" s="325"/>
      <c r="P171" s="325"/>
      <c r="Q171" s="325"/>
      <c r="R171" s="17" t="str">
        <f t="shared" si="20"/>
        <v>B</v>
      </c>
      <c r="S171" s="327" t="str">
        <f t="shared" ref="S171:S177" si="21">IF(((N171&gt;=$Z$4)*AND(N171&lt;=$AA$4)),$Y$4,IF(((N171&gt;$AA$4)*AND(N171&lt;=$AA$5)),$Y$5,IF(((N171&gt;$AA$5)*AND(N171&lt;=$AA$6)),$Y$6,IF(((N171&gt;$AA$6)*AND(N171&lt;=$AA$7)),$Y$7,IF(((N171&gt;$AA$7)*AND(N171&lt;=$AA$8)),$Y$8,IF(EXACT(N171,$Y$9),$Z$9))))))</f>
        <v>B</v>
      </c>
      <c r="T171" s="328"/>
      <c r="U171" s="328"/>
      <c r="V171" s="328"/>
    </row>
    <row r="172" spans="1:22" ht="36" x14ac:dyDescent="0.25">
      <c r="A172" s="343"/>
      <c r="B172" s="343"/>
      <c r="C172" s="334"/>
      <c r="D172" s="331"/>
      <c r="E172" s="64" t="str">
        <f>Apreciación!A142</f>
        <v>Docentes</v>
      </c>
      <c r="F172" s="140" t="str">
        <f>Apreciación!E142</f>
        <v>Cuenta de 39. Tengo claro qué es y para qué sirve el componente propedéutico en un programa de ingeniería por ciclos.</v>
      </c>
      <c r="G172" s="206">
        <f>Apreciación!F142</f>
        <v>3.7037037037037035E-2</v>
      </c>
      <c r="H172" s="206">
        <f>Apreciación!G142</f>
        <v>3.7037037037037035E-2</v>
      </c>
      <c r="I172" s="206">
        <f>Apreciación!H142</f>
        <v>7.407407407407407E-2</v>
      </c>
      <c r="J172" s="206">
        <f>Apreciación!I142</f>
        <v>0.22222222222222221</v>
      </c>
      <c r="K172" s="206">
        <f>Apreciación!J142</f>
        <v>0.62962962962962965</v>
      </c>
      <c r="L172" s="206">
        <f>Apreciación!K142</f>
        <v>0</v>
      </c>
      <c r="M172" s="159">
        <f t="shared" si="19"/>
        <v>4.3703703703703702</v>
      </c>
      <c r="N172" s="325"/>
      <c r="O172" s="325"/>
      <c r="P172" s="325"/>
      <c r="Q172" s="325"/>
      <c r="R172" s="17" t="str">
        <f t="shared" si="20"/>
        <v>B</v>
      </c>
      <c r="S172" s="328"/>
      <c r="T172" s="328"/>
      <c r="U172" s="328"/>
      <c r="V172" s="328"/>
    </row>
    <row r="173" spans="1:22" ht="24" x14ac:dyDescent="0.25">
      <c r="A173" s="343"/>
      <c r="B173" s="343"/>
      <c r="C173" s="334"/>
      <c r="D173" s="331"/>
      <c r="E173" s="64" t="str">
        <f>Apreciación!A144</f>
        <v>Docentes</v>
      </c>
      <c r="F173" s="140" t="str">
        <f>Apreciación!E144</f>
        <v xml:space="preserve">Cuenta de 41. Considero que ser ingeniero mejora las condiciones laborales del tecnólogo. </v>
      </c>
      <c r="G173" s="206">
        <f>Apreciación!F144</f>
        <v>3.7037037037037035E-2</v>
      </c>
      <c r="H173" s="206">
        <f>Apreciación!G144</f>
        <v>0</v>
      </c>
      <c r="I173" s="206">
        <f>Apreciación!H144</f>
        <v>3.7037037037037035E-2</v>
      </c>
      <c r="J173" s="206">
        <f>Apreciación!I144</f>
        <v>0.25925925925925924</v>
      </c>
      <c r="K173" s="206">
        <f>Apreciación!J144</f>
        <v>0.62962962962962965</v>
      </c>
      <c r="L173" s="206">
        <f>Apreciación!K144</f>
        <v>3.7037037037037035E-2</v>
      </c>
      <c r="M173" s="159">
        <f t="shared" si="19"/>
        <v>4.2796296296296301</v>
      </c>
      <c r="N173" s="325"/>
      <c r="O173" s="325"/>
      <c r="P173" s="325"/>
      <c r="Q173" s="325"/>
      <c r="R173" s="17" t="str">
        <f t="shared" si="20"/>
        <v>B</v>
      </c>
      <c r="S173" s="328"/>
      <c r="T173" s="328"/>
      <c r="U173" s="328"/>
      <c r="V173" s="328"/>
    </row>
    <row r="174" spans="1:22" ht="36" x14ac:dyDescent="0.25">
      <c r="A174" s="343"/>
      <c r="B174" s="343"/>
      <c r="C174" s="334"/>
      <c r="D174" s="331"/>
      <c r="E174" s="64" t="str">
        <f>Apreciación!A145</f>
        <v>Docentes</v>
      </c>
      <c r="F174" s="140" t="str">
        <f>Apreciación!E145</f>
        <v xml:space="preserve">Cuenta de 42. Considero que el paso por el nivel de ingeniería  mejora las competencias que se han desarrollado en el nivel tecnológico. </v>
      </c>
      <c r="G174" s="206">
        <f>Apreciación!F145</f>
        <v>3.7037037037037035E-2</v>
      </c>
      <c r="H174" s="206">
        <f>Apreciación!G145</f>
        <v>3.7037037037037035E-2</v>
      </c>
      <c r="I174" s="206">
        <f>Apreciación!H145</f>
        <v>7.407407407407407E-2</v>
      </c>
      <c r="J174" s="206">
        <f>Apreciación!I145</f>
        <v>0.22222222222222221</v>
      </c>
      <c r="K174" s="206">
        <f>Apreciación!J145</f>
        <v>0.59259259259259256</v>
      </c>
      <c r="L174" s="206">
        <f>Apreciación!K145</f>
        <v>3.7037037037037035E-2</v>
      </c>
      <c r="M174" s="159">
        <f t="shared" si="19"/>
        <v>4.1944444444444446</v>
      </c>
      <c r="N174" s="326"/>
      <c r="O174" s="325"/>
      <c r="P174" s="325"/>
      <c r="Q174" s="325"/>
      <c r="R174" s="17" t="str">
        <f t="shared" si="20"/>
        <v>B</v>
      </c>
      <c r="S174" s="329"/>
      <c r="T174" s="328"/>
      <c r="U174" s="328"/>
      <c r="V174" s="328"/>
    </row>
    <row r="175" spans="1:22" ht="48" x14ac:dyDescent="0.25">
      <c r="A175" s="343"/>
      <c r="B175" s="343"/>
      <c r="C175" s="334"/>
      <c r="D175" s="331"/>
      <c r="E175" s="64" t="str">
        <f>Apreciación!A211</f>
        <v>Egresados</v>
      </c>
      <c r="F175" s="180" t="str">
        <f>Apreciación!E211</f>
        <v>Cuenta de 11.1. Mi paso por la Facultad Tecnológica de la Universidad Distrital me ayudó a: APROPIARME DE MÉTODOS PARA EL APRENDIZAJE AUTÓNOMO.</v>
      </c>
      <c r="G175" s="206">
        <f>Apreciación!F211</f>
        <v>0</v>
      </c>
      <c r="H175" s="206">
        <f>Apreciación!G211</f>
        <v>5.128205128205128E-2</v>
      </c>
      <c r="I175" s="206">
        <f>Apreciación!H211</f>
        <v>8.9743589743589744E-2</v>
      </c>
      <c r="J175" s="206">
        <f>Apreciación!I211</f>
        <v>0.51282051282051277</v>
      </c>
      <c r="K175" s="206">
        <f>Apreciación!J211</f>
        <v>0.34615384615384615</v>
      </c>
      <c r="L175" s="206">
        <f>Apreciación!K211</f>
        <v>0</v>
      </c>
      <c r="M175" s="159">
        <f t="shared" si="19"/>
        <v>4.2814102564102559</v>
      </c>
      <c r="N175" s="324">
        <f>AVERAGE(M175:M176)</f>
        <v>4.2910256410256409</v>
      </c>
      <c r="O175" s="325"/>
      <c r="P175" s="325"/>
      <c r="Q175" s="325"/>
      <c r="R175" s="17" t="str">
        <f t="shared" si="20"/>
        <v>B</v>
      </c>
      <c r="S175" s="327" t="str">
        <f t="shared" si="21"/>
        <v>B</v>
      </c>
      <c r="T175" s="328"/>
      <c r="U175" s="328"/>
      <c r="V175" s="328"/>
    </row>
    <row r="176" spans="1:22" ht="48" x14ac:dyDescent="0.25">
      <c r="A176" s="343"/>
      <c r="B176" s="343"/>
      <c r="C176" s="334"/>
      <c r="D176" s="331"/>
      <c r="E176" s="64" t="str">
        <f>Apreciación!A212</f>
        <v>Egresados</v>
      </c>
      <c r="F176" s="180" t="str">
        <f>Apreciación!E212</f>
        <v>Cuenta de 11.2. Mi paso por la Facultad Tecnológica de la Universidad Distrital me ayudó a: DESARROLLAR CAPACIDADES PARA LA SOLUCIÓN DE PROBLEMAS</v>
      </c>
      <c r="G176" s="206">
        <f>Apreciación!F212</f>
        <v>2.564102564102564E-2</v>
      </c>
      <c r="H176" s="206">
        <f>Apreciación!G212</f>
        <v>1.282051282051282E-2</v>
      </c>
      <c r="I176" s="206">
        <f>Apreciación!H212</f>
        <v>8.9743589743589744E-2</v>
      </c>
      <c r="J176" s="206">
        <f>Apreciación!I212</f>
        <v>0.46153846153846156</v>
      </c>
      <c r="K176" s="206">
        <f>Apreciación!J212</f>
        <v>0.41025641025641024</v>
      </c>
      <c r="L176" s="206">
        <f>Apreciación!K212</f>
        <v>0</v>
      </c>
      <c r="M176" s="159">
        <f t="shared" si="19"/>
        <v>4.3006410256410259</v>
      </c>
      <c r="N176" s="326"/>
      <c r="O176" s="325"/>
      <c r="P176" s="325"/>
      <c r="Q176" s="325"/>
      <c r="R176" s="17" t="str">
        <f t="shared" si="20"/>
        <v>B</v>
      </c>
      <c r="S176" s="329"/>
      <c r="T176" s="328"/>
      <c r="U176" s="328"/>
      <c r="V176" s="328"/>
    </row>
    <row r="177" spans="1:22" ht="36" x14ac:dyDescent="0.25">
      <c r="A177" s="343"/>
      <c r="B177" s="343"/>
      <c r="C177" s="334"/>
      <c r="D177" s="331"/>
      <c r="E177" s="64" t="str">
        <f>Apreciación!A225</f>
        <v>Administrativos</v>
      </c>
      <c r="F177" s="140" t="str">
        <f>Apreciación!E225</f>
        <v>Cuenta de 6. Conozco las diferencias entre los programas de formación en ingeniería por ciclos y los programas de ingeniería tradicional.</v>
      </c>
      <c r="G177" s="206">
        <f>Apreciación!F225</f>
        <v>2.6315789473684209E-2</v>
      </c>
      <c r="H177" s="206">
        <f>Apreciación!G225</f>
        <v>5.2631578947368418E-2</v>
      </c>
      <c r="I177" s="206">
        <f>Apreciación!H225</f>
        <v>0.14912280701754385</v>
      </c>
      <c r="J177" s="206">
        <f>Apreciación!I225</f>
        <v>0.26315789473684209</v>
      </c>
      <c r="K177" s="206">
        <f>Apreciación!J225</f>
        <v>0.40350877192982454</v>
      </c>
      <c r="L177" s="206">
        <f>Apreciación!K225</f>
        <v>0.10526315789473684</v>
      </c>
      <c r="M177" s="159">
        <f t="shared" si="19"/>
        <v>3.7736842105263158</v>
      </c>
      <c r="N177" s="324">
        <f>AVERAGE(M177:M178)</f>
        <v>3.6892543859649121</v>
      </c>
      <c r="O177" s="325"/>
      <c r="P177" s="325"/>
      <c r="Q177" s="325"/>
      <c r="R177" s="17" t="str">
        <f t="shared" si="20"/>
        <v>C</v>
      </c>
      <c r="S177" s="327" t="str">
        <f t="shared" si="21"/>
        <v>C</v>
      </c>
      <c r="T177" s="328"/>
      <c r="U177" s="328"/>
      <c r="V177" s="328"/>
    </row>
    <row r="178" spans="1:22" ht="36" x14ac:dyDescent="0.25">
      <c r="A178" s="343"/>
      <c r="B178" s="343"/>
      <c r="C178" s="335"/>
      <c r="D178" s="332"/>
      <c r="E178" s="64" t="str">
        <f>Apreciación!A226</f>
        <v>Administrativos</v>
      </c>
      <c r="F178" s="140" t="str">
        <f>Apreciación!E226</f>
        <v>Cuenta de 7. Tengo claro qué es y para qué sirve el componente propedéutico en un programa de ingeniería por ciclos.</v>
      </c>
      <c r="G178" s="206">
        <f>Apreciación!F226</f>
        <v>6.1403508771929821E-2</v>
      </c>
      <c r="H178" s="206">
        <f>Apreciación!G226</f>
        <v>3.5087719298245612E-2</v>
      </c>
      <c r="I178" s="206">
        <f>Apreciación!H226</f>
        <v>0.14035087719298245</v>
      </c>
      <c r="J178" s="206">
        <f>Apreciación!I226</f>
        <v>0.2982456140350877</v>
      </c>
      <c r="K178" s="206">
        <f>Apreciación!J226</f>
        <v>0.34210526315789475</v>
      </c>
      <c r="L178" s="206">
        <f>Apreciación!K226</f>
        <v>0.12280701754385964</v>
      </c>
      <c r="M178" s="159">
        <f t="shared" si="19"/>
        <v>3.6048245614035084</v>
      </c>
      <c r="N178" s="326"/>
      <c r="O178" s="326"/>
      <c r="P178" s="325"/>
      <c r="Q178" s="325"/>
      <c r="R178" s="17" t="str">
        <f t="shared" si="20"/>
        <v>C</v>
      </c>
      <c r="S178" s="329"/>
      <c r="T178" s="329"/>
      <c r="U178" s="328"/>
      <c r="V178" s="328"/>
    </row>
    <row r="179" spans="1:22" ht="72" x14ac:dyDescent="0.25">
      <c r="A179" s="343"/>
      <c r="B179" s="344"/>
      <c r="C179" s="58" t="str">
        <f>Final!E88</f>
        <v>n</v>
      </c>
      <c r="D179" s="59" t="str">
        <f>Final!F88</f>
        <v>Evaluación y seguimiento a la aplicación de las estrategias orientadas a desarrollar competencias,
especialmente conocimientos, capacidades y habilidades comunicativas en un segundo idiomaextranjero.</v>
      </c>
      <c r="E179" s="61" t="s">
        <v>64</v>
      </c>
      <c r="F179" s="61" t="s">
        <v>64</v>
      </c>
      <c r="G179" s="204" t="s">
        <v>64</v>
      </c>
      <c r="H179" s="204" t="s">
        <v>64</v>
      </c>
      <c r="I179" s="204" t="s">
        <v>64</v>
      </c>
      <c r="J179" s="204" t="s">
        <v>64</v>
      </c>
      <c r="K179" s="204" t="s">
        <v>64</v>
      </c>
      <c r="L179" s="204" t="s">
        <v>64</v>
      </c>
      <c r="M179" s="85" t="s">
        <v>64</v>
      </c>
      <c r="N179" s="85" t="s">
        <v>64</v>
      </c>
      <c r="O179" s="85" t="s">
        <v>64</v>
      </c>
      <c r="P179" s="326"/>
      <c r="Q179" s="325"/>
      <c r="R179" s="17" t="str">
        <f t="shared" si="14"/>
        <v>NA</v>
      </c>
      <c r="S179" s="17" t="str">
        <f>IF(((N179&gt;=$Z$4)*AND(N179&lt;=$AA$4)),$Y$4,IF(((N179&gt;$AA$4)*AND(N179&lt;=$AA$5)),$Y$5,IF(((N179&gt;$AA$5)*AND(N179&lt;=$AA$6)),$Y$6,IF(((N179&gt;$AA$6)*AND(N179&lt;=$AA$7)),$Y$7,IF(((N179&gt;$AA$7)*AND(N179&lt;=$AA$8)),$Y$8,IF(EXACT(N179,$Y$9),$Z$9))))))</f>
        <v>NA</v>
      </c>
      <c r="T179" s="17" t="str">
        <f>IF(((O179&gt;=$Z$4)*AND(O179&lt;=$AA$4)),$Y$4,IF(((O179&gt;$AA$4)*AND(O179&lt;=$AA$5)),$Y$5,IF(((O179&gt;$AA$5)*AND(O179&lt;=$AA$6)),$Y$6,IF(((O179&gt;$AA$6)*AND(O179&lt;=$AA$7)),$Y$7,IF(((O179&gt;$AA$7)*AND(O179&lt;=$AA$8)),$Y$8,IF(EXACT(O179,$Y$9),$Z$9))))))</f>
        <v>NA</v>
      </c>
      <c r="U179" s="329"/>
      <c r="V179" s="328"/>
    </row>
    <row r="180" spans="1:22" ht="36" customHeight="1" x14ac:dyDescent="0.25">
      <c r="A180" s="343"/>
      <c r="B180" s="342">
        <v>17</v>
      </c>
      <c r="C180" s="333" t="str">
        <f>Final!E89</f>
        <v>a</v>
      </c>
      <c r="D180" s="336" t="str">
        <f>Final!F89</f>
        <v>Evaluación de la aplicación de las políticas institucionales de flexibilidad referidas a la organización y jerarquización de contenidos, el reconocimiento de créditos, la formación por competencias tales como actitudes, conocimientos, capacidades, habilidades y estrategias pedagógicas, electividad, doble titulación y movilidad.</v>
      </c>
      <c r="E180" s="11" t="str">
        <f>Apreciación!A33</f>
        <v>Estudiantes</v>
      </c>
      <c r="F180" s="11" t="str">
        <f>Apreciación!E33</f>
        <v>Cuenta de 23. Puedo inscribir espacios académicos en otras Instituciones y homologarlas en mi programa académico.</v>
      </c>
      <c r="G180" s="205">
        <f>Apreciación!F33</f>
        <v>0.12574850299401197</v>
      </c>
      <c r="H180" s="205">
        <f>Apreciación!G33</f>
        <v>0.11976047904191617</v>
      </c>
      <c r="I180" s="205">
        <f>Apreciación!H33</f>
        <v>0.19760479041916168</v>
      </c>
      <c r="J180" s="205">
        <f>Apreciación!I33</f>
        <v>0.1377245508982036</v>
      </c>
      <c r="K180" s="205">
        <f>Apreciación!J33</f>
        <v>0.20359281437125748</v>
      </c>
      <c r="L180" s="205">
        <f>Apreciación!K33</f>
        <v>0.21556886227544911</v>
      </c>
      <c r="M180" s="18">
        <f>(G180*$G$2)+(H180*$H$2)+(I180*$I$2)+(J180*$J$2)+(K180*$K$2)+(L180*$L$2)</f>
        <v>2.8437125748502994</v>
      </c>
      <c r="N180" s="324">
        <f>AVERAGE(M180:M189)</f>
        <v>3.7417964071856291</v>
      </c>
      <c r="O180" s="324">
        <f>(N180*$AE$5)+(N190*$AE$4)+(AVERAGE(N180:N202)*$AE$6)+(N201*$AE$8)+(AVERAGE(N180:N202)*$AE$7)</f>
        <v>3.7706526194465582</v>
      </c>
      <c r="P180" s="324">
        <f>AVERAGE(O180:O242)</f>
        <v>3.8054946189747438</v>
      </c>
      <c r="Q180" s="325"/>
      <c r="R180" s="17" t="str">
        <f t="shared" si="14"/>
        <v>D</v>
      </c>
      <c r="S180" s="327" t="str">
        <f>IF(((N180&gt;=$Z$4)*AND(N180&lt;=$AA$4)),$Y$4,IF(((N180&gt;$AA$4)*AND(N180&lt;=$AA$5)),$Y$5,IF(((N180&gt;$AA$5)*AND(N180&lt;=$AA$6)),$Y$6,IF(((N180&gt;$AA$6)*AND(N180&lt;=$AA$7)),$Y$7,IF(((N180&gt;$AA$7)*AND(N180&lt;=$AA$8)),$Y$8,IF(EXACT(N180,$Y$9),$Z$9))))))</f>
        <v>C</v>
      </c>
      <c r="T180" s="327" t="str">
        <f>IF(((O180&gt;=$Z$4)*AND(O180&lt;=$AA$4)),$Y$4,IF(((O180&gt;$AA$4)*AND(O180&lt;=$AA$5)),$Y$5,IF(((O180&gt;$AA$5)*AND(O180&lt;=$AA$6)),$Y$6,IF(((O180&gt;$AA$6)*AND(O180&lt;=$AA$7)),$Y$7,IF(((O180&gt;$AA$7)*AND(O180&lt;=$AA$8)),$Y$8,IF(EXACT(O180,$Y$9),$Z$9))))))</f>
        <v>C</v>
      </c>
      <c r="U180" s="327" t="str">
        <f>IF(((P180&gt;=$Z$4)*AND(P180&lt;=$AA$4)),$Y$4,IF(((P180&gt;$AA$4)*AND(P180&lt;=$AA$5)),$Y$5,IF(((P180&gt;$AA$5)*AND(P180&lt;=$AA$6)),$Y$6,IF(((P180&gt;$AA$6)*AND(P180&lt;=$AA$7)),$Y$7,IF(((P180&gt;$AA$7)*AND(P180&lt;=$AA$8)),$Y$8,IF(EXACT(P180,$Y$9),$Z$9))))))</f>
        <v>C</v>
      </c>
      <c r="V180" s="328"/>
    </row>
    <row r="181" spans="1:22" ht="36" customHeight="1" x14ac:dyDescent="0.25">
      <c r="A181" s="343"/>
      <c r="B181" s="343"/>
      <c r="C181" s="334"/>
      <c r="D181" s="337"/>
      <c r="E181" s="11" t="str">
        <f>Apreciación!A34</f>
        <v>Estudiantes</v>
      </c>
      <c r="F181" s="11" t="str">
        <f>Apreciación!E34</f>
        <v xml:space="preserve">Cuenta de 24. En mi programa académico existen espacios académicos en donde se inscriben estudiantes de diferentes programas. </v>
      </c>
      <c r="G181" s="205">
        <f>Apreciación!F34</f>
        <v>0.10179640718562874</v>
      </c>
      <c r="H181" s="205">
        <f>Apreciación!G34</f>
        <v>3.5928143712574849E-2</v>
      </c>
      <c r="I181" s="205">
        <f>Apreciación!H34</f>
        <v>0.16766467065868262</v>
      </c>
      <c r="J181" s="205">
        <f>Apreciación!I34</f>
        <v>0.3592814371257485</v>
      </c>
      <c r="K181" s="205">
        <f>Apreciación!J34</f>
        <v>0.26347305389221559</v>
      </c>
      <c r="L181" s="205">
        <f>Apreciación!K34</f>
        <v>7.1856287425149698E-2</v>
      </c>
      <c r="M181" s="85">
        <f t="shared" ref="M181:M202" si="22">(G181*$G$2)+(H181*$H$2)+(I181*$I$2)+(J181*$J$2)+(K181*$K$2)+(L181*$L$2)</f>
        <v>3.659880239520958</v>
      </c>
      <c r="N181" s="325"/>
      <c r="O181" s="325"/>
      <c r="P181" s="325"/>
      <c r="Q181" s="325"/>
      <c r="R181" s="17" t="str">
        <f t="shared" si="14"/>
        <v>C</v>
      </c>
      <c r="S181" s="328"/>
      <c r="T181" s="328"/>
      <c r="U181" s="328"/>
      <c r="V181" s="328"/>
    </row>
    <row r="182" spans="1:22" ht="36" customHeight="1" x14ac:dyDescent="0.25">
      <c r="A182" s="343"/>
      <c r="B182" s="343"/>
      <c r="C182" s="334"/>
      <c r="D182" s="337"/>
      <c r="E182" s="11" t="str">
        <f>Apreciación!A36</f>
        <v>Estudiantes</v>
      </c>
      <c r="F182" s="11" t="str">
        <f>Apreciación!E36</f>
        <v xml:space="preserve">Cuenta de 26. Mi programa académico incentiva las actividades y proyectos extra clase que los estudiantes realizan. </v>
      </c>
      <c r="G182" s="205">
        <f>Apreciación!F36</f>
        <v>8.3832335329341312E-2</v>
      </c>
      <c r="H182" s="205">
        <f>Apreciación!G36</f>
        <v>0.1317365269461078</v>
      </c>
      <c r="I182" s="205">
        <f>Apreciación!H36</f>
        <v>0.28143712574850299</v>
      </c>
      <c r="J182" s="205">
        <f>Apreciación!I36</f>
        <v>0.32934131736526945</v>
      </c>
      <c r="K182" s="205">
        <f>Apreciación!J36</f>
        <v>0.15568862275449102</v>
      </c>
      <c r="L182" s="205">
        <f>Apreciación!K36</f>
        <v>1.7964071856287425E-2</v>
      </c>
      <c r="M182" s="85">
        <f t="shared" si="22"/>
        <v>3.6952095808383234</v>
      </c>
      <c r="N182" s="325"/>
      <c r="O182" s="325"/>
      <c r="P182" s="325"/>
      <c r="Q182" s="325"/>
      <c r="R182" s="17" t="str">
        <f t="shared" si="14"/>
        <v>C</v>
      </c>
      <c r="S182" s="328"/>
      <c r="T182" s="328"/>
      <c r="U182" s="328"/>
      <c r="V182" s="328"/>
    </row>
    <row r="183" spans="1:22" ht="48" customHeight="1" x14ac:dyDescent="0.25">
      <c r="A183" s="343"/>
      <c r="B183" s="343"/>
      <c r="C183" s="334"/>
      <c r="D183" s="337"/>
      <c r="E183" s="11" t="str">
        <f>Apreciación!A37</f>
        <v>Estudiantes</v>
      </c>
      <c r="F183" s="11" t="str">
        <f>Apreciación!E37</f>
        <v>Cuenta de 27. Las estrategias didácticas empleadas en mi programa académico me permiten adquirir los conocimientos característicos de la profesión que escogí.</v>
      </c>
      <c r="G183" s="203">
        <f>Apreciación!F37</f>
        <v>4.1916167664670656E-2</v>
      </c>
      <c r="H183" s="203">
        <f>Apreciación!G37</f>
        <v>9.580838323353294E-2</v>
      </c>
      <c r="I183" s="203">
        <f>Apreciación!H37</f>
        <v>0.23952095808383234</v>
      </c>
      <c r="J183" s="203">
        <f>Apreciación!I37</f>
        <v>0.3652694610778443</v>
      </c>
      <c r="K183" s="203">
        <f>Apreciación!J37</f>
        <v>0.25149700598802394</v>
      </c>
      <c r="L183" s="203">
        <f>Apreciación!K37</f>
        <v>5.9880239520958087E-3</v>
      </c>
      <c r="M183" s="125">
        <f t="shared" si="22"/>
        <v>3.9688622754491014</v>
      </c>
      <c r="N183" s="325"/>
      <c r="O183" s="325"/>
      <c r="P183" s="325"/>
      <c r="Q183" s="325"/>
      <c r="R183" s="17" t="str">
        <f t="shared" si="14"/>
        <v>C</v>
      </c>
      <c r="S183" s="328"/>
      <c r="T183" s="328"/>
      <c r="U183" s="328"/>
      <c r="V183" s="328"/>
    </row>
    <row r="184" spans="1:22" ht="36" customHeight="1" x14ac:dyDescent="0.25">
      <c r="A184" s="343"/>
      <c r="B184" s="343"/>
      <c r="C184" s="334"/>
      <c r="D184" s="337"/>
      <c r="E184" s="11" t="str">
        <f>Apreciación!A38</f>
        <v>Estudiantes</v>
      </c>
      <c r="F184" s="11" t="str">
        <f>Apreciación!E38</f>
        <v>Cuenta de 28. El plan de estudios de mi programa académico se desarrolla empleando estrategias didácticas diversas.</v>
      </c>
      <c r="G184" s="203">
        <f>Apreciación!F38</f>
        <v>5.3892215568862277E-2</v>
      </c>
      <c r="H184" s="203">
        <f>Apreciación!G38</f>
        <v>0.11976047904191617</v>
      </c>
      <c r="I184" s="203">
        <f>Apreciación!H38</f>
        <v>0.3712574850299401</v>
      </c>
      <c r="J184" s="203">
        <f>Apreciación!I38</f>
        <v>0.26946107784431139</v>
      </c>
      <c r="K184" s="203">
        <f>Apreciación!J38</f>
        <v>0.16766467065868262</v>
      </c>
      <c r="L184" s="203">
        <f>Apreciación!K38</f>
        <v>1.7964071856287425E-2</v>
      </c>
      <c r="M184" s="125">
        <f t="shared" si="22"/>
        <v>3.7467065868263476</v>
      </c>
      <c r="N184" s="325"/>
      <c r="O184" s="325"/>
      <c r="P184" s="325"/>
      <c r="Q184" s="325"/>
      <c r="R184" s="17" t="str">
        <f t="shared" si="14"/>
        <v>C</v>
      </c>
      <c r="S184" s="328"/>
      <c r="T184" s="328"/>
      <c r="U184" s="328"/>
      <c r="V184" s="328"/>
    </row>
    <row r="185" spans="1:22" ht="24" customHeight="1" x14ac:dyDescent="0.25">
      <c r="A185" s="343"/>
      <c r="B185" s="343"/>
      <c r="C185" s="334"/>
      <c r="D185" s="337"/>
      <c r="E185" s="11" t="str">
        <f>Apreciación!A39</f>
        <v>Estudiantes</v>
      </c>
      <c r="F185" s="11" t="str">
        <f>Apreciación!E39</f>
        <v>Cuenta de 29. Me siento a gusto con las estrategias de enseñanza utilizadas en mi programa académico.</v>
      </c>
      <c r="G185" s="203">
        <f>Apreciación!F39</f>
        <v>5.9880239520958084E-2</v>
      </c>
      <c r="H185" s="203">
        <f>Apreciación!G39</f>
        <v>0.11377245508982035</v>
      </c>
      <c r="I185" s="203">
        <f>Apreciación!H39</f>
        <v>0.29341317365269459</v>
      </c>
      <c r="J185" s="203">
        <f>Apreciación!I39</f>
        <v>0.39520958083832336</v>
      </c>
      <c r="K185" s="203">
        <f>Apreciación!J39</f>
        <v>0.12574850299401197</v>
      </c>
      <c r="L185" s="203">
        <f>Apreciación!K39</f>
        <v>1.1976047904191617E-2</v>
      </c>
      <c r="M185" s="125">
        <f t="shared" si="22"/>
        <v>3.7802395209580837</v>
      </c>
      <c r="N185" s="325"/>
      <c r="O185" s="325"/>
      <c r="P185" s="325"/>
      <c r="Q185" s="325"/>
      <c r="R185" s="17" t="str">
        <f t="shared" si="14"/>
        <v>C</v>
      </c>
      <c r="S185" s="328"/>
      <c r="T185" s="328"/>
      <c r="U185" s="328"/>
      <c r="V185" s="328"/>
    </row>
    <row r="186" spans="1:22" ht="36" customHeight="1" x14ac:dyDescent="0.25">
      <c r="A186" s="343"/>
      <c r="B186" s="343"/>
      <c r="C186" s="334"/>
      <c r="D186" s="337"/>
      <c r="E186" s="11" t="str">
        <f>Apreciación!A40</f>
        <v>Estudiantes</v>
      </c>
      <c r="F186" s="11" t="str">
        <f>Apreciación!E40</f>
        <v>Cuenta de 30. Los docentes de mi programa académico cumplen con el contenido propuesto para los espacios académicos en cada semestre.</v>
      </c>
      <c r="G186" s="203">
        <f>Apreciación!F40</f>
        <v>4.1916167664670656E-2</v>
      </c>
      <c r="H186" s="203">
        <f>Apreciación!G40</f>
        <v>5.3892215568862277E-2</v>
      </c>
      <c r="I186" s="203">
        <f>Apreciación!H40</f>
        <v>0.24550898203592814</v>
      </c>
      <c r="J186" s="203">
        <f>Apreciación!I40</f>
        <v>0.45508982035928142</v>
      </c>
      <c r="K186" s="203">
        <f>Apreciación!J40</f>
        <v>0.20359281437125748</v>
      </c>
      <c r="L186" s="203">
        <f>Apreciación!K40</f>
        <v>0</v>
      </c>
      <c r="M186" s="125">
        <f t="shared" si="22"/>
        <v>4.0170658682634732</v>
      </c>
      <c r="N186" s="325"/>
      <c r="O186" s="325"/>
      <c r="P186" s="325"/>
      <c r="Q186" s="325"/>
      <c r="R186" s="17" t="str">
        <f t="shared" si="14"/>
        <v>B</v>
      </c>
      <c r="S186" s="328"/>
      <c r="T186" s="328"/>
      <c r="U186" s="328"/>
      <c r="V186" s="328"/>
    </row>
    <row r="187" spans="1:22" ht="24" customHeight="1" x14ac:dyDescent="0.25">
      <c r="A187" s="343"/>
      <c r="B187" s="343"/>
      <c r="C187" s="334"/>
      <c r="D187" s="337"/>
      <c r="E187" s="11" t="str">
        <f>Apreciación!A41</f>
        <v>Estudiantes</v>
      </c>
      <c r="F187" s="11" t="str">
        <f>Apreciación!E41</f>
        <v>Cuenta de 31. Me siento a gusto con las estrategias de enseñanza utilizadas en mi programa académico.</v>
      </c>
      <c r="G187" s="203">
        <f>Apreciación!F41</f>
        <v>5.3892215568862277E-2</v>
      </c>
      <c r="H187" s="203">
        <f>Apreciación!G41</f>
        <v>7.7844311377245512E-2</v>
      </c>
      <c r="I187" s="203">
        <f>Apreciación!H41</f>
        <v>0.3532934131736527</v>
      </c>
      <c r="J187" s="203">
        <f>Apreciación!I41</f>
        <v>0.3473053892215569</v>
      </c>
      <c r="K187" s="203">
        <f>Apreciación!J41</f>
        <v>0.16167664670658682</v>
      </c>
      <c r="L187" s="203">
        <f>Apreciación!K41</f>
        <v>5.9880239520958087E-3</v>
      </c>
      <c r="M187" s="125">
        <f t="shared" si="22"/>
        <v>3.8550898203592814</v>
      </c>
      <c r="N187" s="325"/>
      <c r="O187" s="325"/>
      <c r="P187" s="325"/>
      <c r="Q187" s="325"/>
      <c r="R187" s="17" t="str">
        <f t="shared" si="14"/>
        <v>C</v>
      </c>
      <c r="S187" s="328"/>
      <c r="T187" s="328"/>
      <c r="U187" s="328"/>
      <c r="V187" s="328"/>
    </row>
    <row r="188" spans="1:22" ht="36" customHeight="1" x14ac:dyDescent="0.25">
      <c r="A188" s="343"/>
      <c r="B188" s="343"/>
      <c r="C188" s="334"/>
      <c r="D188" s="337"/>
      <c r="E188" s="11" t="str">
        <f>Apreciación!A42</f>
        <v>Estudiantes</v>
      </c>
      <c r="F188" s="12" t="str">
        <f>Apreciación!E42</f>
        <v>Cuenta de 32. Conozco las diferencias entre los programas de formación en ingeniería por ciclos y los programas de ingeniería tradicional.</v>
      </c>
      <c r="G188" s="203">
        <f>Apreciación!F42</f>
        <v>5.9880239520958084E-2</v>
      </c>
      <c r="H188" s="203">
        <f>Apreciación!G42</f>
        <v>4.1916167664670656E-2</v>
      </c>
      <c r="I188" s="203">
        <f>Apreciación!H42</f>
        <v>0.15568862275449102</v>
      </c>
      <c r="J188" s="203">
        <f>Apreciación!I42</f>
        <v>0.31736526946107785</v>
      </c>
      <c r="K188" s="203">
        <f>Apreciación!J42</f>
        <v>0.3652694610778443</v>
      </c>
      <c r="L188" s="203">
        <f>Apreciación!K42</f>
        <v>5.9880239520958084E-2</v>
      </c>
      <c r="M188" s="150">
        <f t="shared" si="22"/>
        <v>3.8694610778443117</v>
      </c>
      <c r="N188" s="325"/>
      <c r="O188" s="325"/>
      <c r="P188" s="325"/>
      <c r="Q188" s="325"/>
      <c r="R188" s="17" t="str">
        <f t="shared" si="14"/>
        <v>C</v>
      </c>
      <c r="S188" s="328"/>
      <c r="T188" s="328"/>
      <c r="U188" s="328"/>
      <c r="V188" s="328"/>
    </row>
    <row r="189" spans="1:22" ht="36" customHeight="1" x14ac:dyDescent="0.25">
      <c r="A189" s="343"/>
      <c r="B189" s="343"/>
      <c r="C189" s="334"/>
      <c r="D189" s="337"/>
      <c r="E189" s="11" t="str">
        <f>Apreciación!A43</f>
        <v>Estudiantes</v>
      </c>
      <c r="F189" s="12" t="str">
        <f>Apreciación!E43</f>
        <v>Cuenta de 33. Tengo claro qué es y para qué sirve el componente propedéutico en un programa de ingeniería por ciclos.</v>
      </c>
      <c r="G189" s="203">
        <f>Apreciación!F43</f>
        <v>4.1916167664670656E-2</v>
      </c>
      <c r="H189" s="203">
        <f>Apreciación!G43</f>
        <v>5.3892215568862277E-2</v>
      </c>
      <c r="I189" s="203">
        <f>Apreciación!H43</f>
        <v>0.18562874251497005</v>
      </c>
      <c r="J189" s="203">
        <f>Apreciación!I43</f>
        <v>0.32335329341317365</v>
      </c>
      <c r="K189" s="203">
        <f>Apreciación!J43</f>
        <v>0.3592814371257485</v>
      </c>
      <c r="L189" s="203">
        <f>Apreciación!K43</f>
        <v>3.5928143712574849E-2</v>
      </c>
      <c r="M189" s="156">
        <f t="shared" si="22"/>
        <v>3.9817365269461082</v>
      </c>
      <c r="N189" s="326"/>
      <c r="O189" s="325"/>
      <c r="P189" s="325"/>
      <c r="Q189" s="325"/>
      <c r="R189" s="17" t="str">
        <f t="shared" si="14"/>
        <v>C</v>
      </c>
      <c r="S189" s="329"/>
      <c r="T189" s="328"/>
      <c r="U189" s="328"/>
      <c r="V189" s="328"/>
    </row>
    <row r="190" spans="1:22" ht="36" customHeight="1" x14ac:dyDescent="0.25">
      <c r="A190" s="343"/>
      <c r="B190" s="343"/>
      <c r="C190" s="334"/>
      <c r="D190" s="337"/>
      <c r="E190" s="11" t="str">
        <f>Apreciación!A136</f>
        <v>Docentes</v>
      </c>
      <c r="F190" s="11" t="str">
        <f>Apreciación!E136</f>
        <v xml:space="preserve">Cuenta de 33. El plan de estudios del programa académico al cual pertenezco ofrece la suficiente variedad de espacios académicos electivos. </v>
      </c>
      <c r="G190" s="205">
        <f>Apreciación!F136</f>
        <v>3.7037037037037035E-2</v>
      </c>
      <c r="H190" s="205">
        <f>Apreciación!G136</f>
        <v>0</v>
      </c>
      <c r="I190" s="205">
        <f>Apreciación!H136</f>
        <v>0.14814814814814814</v>
      </c>
      <c r="J190" s="205">
        <f>Apreciación!I136</f>
        <v>0.51851851851851849</v>
      </c>
      <c r="K190" s="205">
        <f>Apreciación!J136</f>
        <v>0.25925925925925924</v>
      </c>
      <c r="L190" s="205">
        <f>Apreciación!K136</f>
        <v>3.7037037037037035E-2</v>
      </c>
      <c r="M190" s="85">
        <f t="shared" si="22"/>
        <v>4.0203703703703706</v>
      </c>
      <c r="N190" s="324">
        <f>AVERAGE(M190:M200)</f>
        <v>3.8159932659932663</v>
      </c>
      <c r="O190" s="325"/>
      <c r="P190" s="325"/>
      <c r="Q190" s="325"/>
      <c r="R190" s="17" t="str">
        <f t="shared" si="14"/>
        <v>B</v>
      </c>
      <c r="S190" s="327" t="str">
        <f>IF(((N190&gt;=$Z$4)*AND(N190&lt;=$AA$4)),$Y$4,IF(((N190&gt;$AA$4)*AND(N190&lt;=$AA$5)),$Y$5,IF(((N190&gt;$AA$5)*AND(N190&lt;=$AA$6)),$Y$6,IF(((N190&gt;$AA$6)*AND(N190&lt;=$AA$7)),$Y$7,IF(((N190&gt;$AA$7)*AND(N190&lt;=$AA$8)),$Y$8,IF(EXACT(N190,$Y$9),$Z$9))))))</f>
        <v>C</v>
      </c>
      <c r="T190" s="328"/>
      <c r="U190" s="328"/>
      <c r="V190" s="328"/>
    </row>
    <row r="191" spans="1:22" ht="36" customHeight="1" x14ac:dyDescent="0.25">
      <c r="A191" s="343"/>
      <c r="B191" s="343"/>
      <c r="C191" s="334"/>
      <c r="D191" s="337"/>
      <c r="E191" s="11" t="str">
        <f>Apreciación!A137</f>
        <v>Docentes</v>
      </c>
      <c r="F191" s="11" t="str">
        <f>Apreciación!E137</f>
        <v xml:space="preserve">Cuenta de 34. El programa académico al cual pertenezco incentiva las actividades y proyectos extra clase realizados por docentes y estudiantes. </v>
      </c>
      <c r="G191" s="205">
        <f>Apreciación!F137</f>
        <v>7.407407407407407E-2</v>
      </c>
      <c r="H191" s="205">
        <f>Apreciación!G137</f>
        <v>0.1111111111111111</v>
      </c>
      <c r="I191" s="205">
        <f>Apreciación!H137</f>
        <v>0.18518518518518517</v>
      </c>
      <c r="J191" s="205">
        <f>Apreciación!I137</f>
        <v>0.33333333333333331</v>
      </c>
      <c r="K191" s="205">
        <f>Apreciación!J137</f>
        <v>0.18518518518518517</v>
      </c>
      <c r="L191" s="205">
        <f>Apreciación!K137</f>
        <v>0.1111111111111111</v>
      </c>
      <c r="M191" s="85">
        <f t="shared" si="22"/>
        <v>3.4185185185185185</v>
      </c>
      <c r="N191" s="325"/>
      <c r="O191" s="325"/>
      <c r="P191" s="325"/>
      <c r="Q191" s="325"/>
      <c r="R191" s="17" t="str">
        <f t="shared" si="14"/>
        <v>D</v>
      </c>
      <c r="S191" s="328"/>
      <c r="T191" s="328"/>
      <c r="U191" s="328"/>
      <c r="V191" s="328"/>
    </row>
    <row r="192" spans="1:22" ht="36" customHeight="1" x14ac:dyDescent="0.25">
      <c r="A192" s="343"/>
      <c r="B192" s="343"/>
      <c r="C192" s="334"/>
      <c r="D192" s="337"/>
      <c r="E192" s="11" t="str">
        <f>Apreciación!A138</f>
        <v>Docentes</v>
      </c>
      <c r="F192" s="12" t="str">
        <f>Apreciación!E138</f>
        <v>Cuenta de 35. Considero que el programa académico al cual pertenezco se preocupa por evolucionar hacia planes de estudios cada vez más flexibles.</v>
      </c>
      <c r="G192" s="203">
        <f>Apreciación!F138</f>
        <v>7.407407407407407E-2</v>
      </c>
      <c r="H192" s="203">
        <f>Apreciación!G138</f>
        <v>7.407407407407407E-2</v>
      </c>
      <c r="I192" s="203">
        <f>Apreciación!H138</f>
        <v>0.22222222222222221</v>
      </c>
      <c r="J192" s="203">
        <f>Apreciación!I138</f>
        <v>0.29629629629629628</v>
      </c>
      <c r="K192" s="203">
        <f>Apreciación!J138</f>
        <v>0.25925925925925924</v>
      </c>
      <c r="L192" s="203">
        <f>Apreciación!K138</f>
        <v>7.407407407407407E-2</v>
      </c>
      <c r="M192" s="125">
        <f t="shared" si="22"/>
        <v>3.6425925925925924</v>
      </c>
      <c r="N192" s="325"/>
      <c r="O192" s="325"/>
      <c r="P192" s="325"/>
      <c r="Q192" s="325"/>
      <c r="R192" s="17" t="str">
        <f t="shared" si="14"/>
        <v>C</v>
      </c>
      <c r="S192" s="328"/>
      <c r="T192" s="328"/>
      <c r="U192" s="328"/>
      <c r="V192" s="328"/>
    </row>
    <row r="193" spans="1:22" ht="48" customHeight="1" x14ac:dyDescent="0.25">
      <c r="A193" s="343"/>
      <c r="B193" s="343"/>
      <c r="C193" s="334"/>
      <c r="D193" s="337"/>
      <c r="E193" s="11" t="str">
        <f>Apreciación!A139</f>
        <v>Docentes</v>
      </c>
      <c r="F193" s="12" t="str">
        <f>Apreciación!E139</f>
        <v>Cuenta de 36. Considero que el programa académico al cual pertenezco se preocupa permanentemente por la actualización de los contenidos programáticos de los diferentes espacios académicos.</v>
      </c>
      <c r="G193" s="203">
        <f>Apreciación!F139</f>
        <v>3.7037037037037035E-2</v>
      </c>
      <c r="H193" s="203">
        <f>Apreciación!G139</f>
        <v>0</v>
      </c>
      <c r="I193" s="203">
        <f>Apreciación!H139</f>
        <v>0.1111111111111111</v>
      </c>
      <c r="J193" s="203">
        <f>Apreciación!I139</f>
        <v>0.40740740740740738</v>
      </c>
      <c r="K193" s="203">
        <f>Apreciación!J139</f>
        <v>0.40740740740740738</v>
      </c>
      <c r="L193" s="203">
        <f>Apreciación!K139</f>
        <v>3.7037037037037035E-2</v>
      </c>
      <c r="M193" s="125">
        <f t="shared" si="22"/>
        <v>4.1203703703703702</v>
      </c>
      <c r="N193" s="325"/>
      <c r="O193" s="325"/>
      <c r="P193" s="325"/>
      <c r="Q193" s="325"/>
      <c r="R193" s="17" t="str">
        <f t="shared" si="14"/>
        <v>B</v>
      </c>
      <c r="S193" s="328"/>
      <c r="T193" s="328"/>
      <c r="U193" s="328"/>
      <c r="V193" s="328"/>
    </row>
    <row r="194" spans="1:22" ht="48" customHeight="1" x14ac:dyDescent="0.25">
      <c r="A194" s="343"/>
      <c r="B194" s="343"/>
      <c r="C194" s="334"/>
      <c r="D194" s="337"/>
      <c r="E194" s="11" t="str">
        <f>Apreciación!A140</f>
        <v>Docentes</v>
      </c>
      <c r="F194" s="12" t="str">
        <f>Apreciación!E140</f>
        <v xml:space="preserve">Cuenta de 37. Considero que el programa académico al cual pertenezco reflexiona permanentemente sobre los métodos de enseñanza- aprendizaje empleados. </v>
      </c>
      <c r="G194" s="203">
        <f>Apreciación!F140</f>
        <v>7.407407407407407E-2</v>
      </c>
      <c r="H194" s="203">
        <f>Apreciación!G140</f>
        <v>0.1111111111111111</v>
      </c>
      <c r="I194" s="203">
        <f>Apreciación!H140</f>
        <v>0.29629629629629628</v>
      </c>
      <c r="J194" s="203">
        <f>Apreciación!I140</f>
        <v>0.29629629629629628</v>
      </c>
      <c r="K194" s="203">
        <f>Apreciación!J140</f>
        <v>0.14814814814814814</v>
      </c>
      <c r="L194" s="203">
        <f>Apreciación!K140</f>
        <v>7.407407407407407E-2</v>
      </c>
      <c r="M194" s="125">
        <f t="shared" si="22"/>
        <v>3.498148148148148</v>
      </c>
      <c r="N194" s="325"/>
      <c r="O194" s="325"/>
      <c r="P194" s="325"/>
      <c r="Q194" s="325"/>
      <c r="R194" s="17" t="str">
        <f t="shared" si="14"/>
        <v>D</v>
      </c>
      <c r="S194" s="328"/>
      <c r="T194" s="328"/>
      <c r="U194" s="328"/>
      <c r="V194" s="328"/>
    </row>
    <row r="195" spans="1:22" ht="36" customHeight="1" x14ac:dyDescent="0.25">
      <c r="A195" s="343"/>
      <c r="B195" s="343"/>
      <c r="C195" s="334"/>
      <c r="D195" s="337"/>
      <c r="E195" s="11" t="str">
        <f>Apreciación!A141</f>
        <v>Docentes</v>
      </c>
      <c r="F195" s="12" t="str">
        <f>Apreciación!E141</f>
        <v>Cuenta de 38. Conozco las diferencias entre los programas de formación en ingeniería por ciclos y los programas de ingeniería tradicional.</v>
      </c>
      <c r="G195" s="203">
        <f>Apreciación!F141</f>
        <v>3.7037037037037035E-2</v>
      </c>
      <c r="H195" s="203">
        <f>Apreciación!G141</f>
        <v>0</v>
      </c>
      <c r="I195" s="203">
        <f>Apreciación!H141</f>
        <v>7.407407407407407E-2</v>
      </c>
      <c r="J195" s="203">
        <f>Apreciación!I141</f>
        <v>0.14814814814814814</v>
      </c>
      <c r="K195" s="203">
        <f>Apreciación!J141</f>
        <v>0.70370370370370372</v>
      </c>
      <c r="L195" s="203">
        <f>Apreciación!K141</f>
        <v>3.7037037037037035E-2</v>
      </c>
      <c r="M195" s="125">
        <f t="shared" si="22"/>
        <v>4.3018518518518523</v>
      </c>
      <c r="N195" s="325"/>
      <c r="O195" s="325"/>
      <c r="P195" s="325"/>
      <c r="Q195" s="325"/>
      <c r="R195" s="17" t="str">
        <f t="shared" si="14"/>
        <v>B</v>
      </c>
      <c r="S195" s="328"/>
      <c r="T195" s="328"/>
      <c r="U195" s="328"/>
      <c r="V195" s="328"/>
    </row>
    <row r="196" spans="1:22" ht="45" customHeight="1" x14ac:dyDescent="0.25">
      <c r="A196" s="343"/>
      <c r="B196" s="343"/>
      <c r="C196" s="334"/>
      <c r="D196" s="337"/>
      <c r="E196" s="11" t="str">
        <f>Apreciación!A142</f>
        <v>Docentes</v>
      </c>
      <c r="F196" s="12" t="str">
        <f>Apreciación!E142</f>
        <v>Cuenta de 39. Tengo claro qué es y para qué sirve el componente propedéutico en un programa de ingeniería por ciclos.</v>
      </c>
      <c r="G196" s="203">
        <f>Apreciación!F142</f>
        <v>3.7037037037037035E-2</v>
      </c>
      <c r="H196" s="203">
        <f>Apreciación!G142</f>
        <v>3.7037037037037035E-2</v>
      </c>
      <c r="I196" s="203">
        <f>Apreciación!H142</f>
        <v>7.407407407407407E-2</v>
      </c>
      <c r="J196" s="203">
        <f>Apreciación!I142</f>
        <v>0.22222222222222221</v>
      </c>
      <c r="K196" s="203">
        <f>Apreciación!J142</f>
        <v>0.62962962962962965</v>
      </c>
      <c r="L196" s="203">
        <f>Apreciación!K142</f>
        <v>0</v>
      </c>
      <c r="M196" s="125">
        <f t="shared" si="22"/>
        <v>4.3703703703703702</v>
      </c>
      <c r="N196" s="325"/>
      <c r="O196" s="325"/>
      <c r="P196" s="325"/>
      <c r="Q196" s="325"/>
      <c r="R196" s="17" t="str">
        <f t="shared" si="14"/>
        <v>B</v>
      </c>
      <c r="S196" s="328"/>
      <c r="T196" s="328"/>
      <c r="U196" s="328"/>
      <c r="V196" s="328"/>
    </row>
    <row r="197" spans="1:22" ht="36" customHeight="1" x14ac:dyDescent="0.25">
      <c r="A197" s="343"/>
      <c r="B197" s="343"/>
      <c r="C197" s="334"/>
      <c r="D197" s="337"/>
      <c r="E197" s="11" t="str">
        <f>Apreciación!A143</f>
        <v>Docentes</v>
      </c>
      <c r="F197" s="12" t="str">
        <f>Apreciación!E143</f>
        <v>Cuenta de 40. Considero que ser tecnólogo brinda oportunidades para la vinculación en el mercado laboral.</v>
      </c>
      <c r="G197" s="203">
        <f>Apreciación!F143</f>
        <v>0</v>
      </c>
      <c r="H197" s="203">
        <f>Apreciación!G143</f>
        <v>0</v>
      </c>
      <c r="I197" s="203">
        <f>Apreciación!H143</f>
        <v>0</v>
      </c>
      <c r="J197" s="203">
        <f>Apreciación!I143</f>
        <v>0.18518518518518517</v>
      </c>
      <c r="K197" s="203">
        <f>Apreciación!J143</f>
        <v>0.77777777777777779</v>
      </c>
      <c r="L197" s="203">
        <f>Apreciación!K143</f>
        <v>3.7037037037037035E-2</v>
      </c>
      <c r="M197" s="125">
        <f t="shared" si="22"/>
        <v>4.4722222222222223</v>
      </c>
      <c r="N197" s="325"/>
      <c r="O197" s="325"/>
      <c r="P197" s="325"/>
      <c r="Q197" s="325"/>
      <c r="R197" s="17" t="str">
        <f t="shared" si="14"/>
        <v>B</v>
      </c>
      <c r="S197" s="328"/>
      <c r="T197" s="328"/>
      <c r="U197" s="328"/>
      <c r="V197" s="328"/>
    </row>
    <row r="198" spans="1:22" ht="36" customHeight="1" x14ac:dyDescent="0.25">
      <c r="A198" s="343"/>
      <c r="B198" s="343"/>
      <c r="C198" s="334"/>
      <c r="D198" s="337"/>
      <c r="E198" s="11" t="str">
        <f>Apreciación!A148</f>
        <v>Docentes</v>
      </c>
      <c r="F198" s="12" t="str">
        <f>Apreciación!E148</f>
        <v>Cuenta de 45. El programa académico al cual pertenezco incentiva el desarrollo de trabajos de aula con contenido investigativo.</v>
      </c>
      <c r="G198" s="203">
        <f>Apreciación!F148</f>
        <v>3.7037037037037035E-2</v>
      </c>
      <c r="H198" s="203">
        <f>Apreciación!G148</f>
        <v>3.7037037037037035E-2</v>
      </c>
      <c r="I198" s="203">
        <f>Apreciación!H148</f>
        <v>0.1111111111111111</v>
      </c>
      <c r="J198" s="203">
        <f>Apreciación!I148</f>
        <v>0.59259259259259256</v>
      </c>
      <c r="K198" s="203">
        <f>Apreciación!J148</f>
        <v>0.18518518518518517</v>
      </c>
      <c r="L198" s="203">
        <f>Apreciación!K148</f>
        <v>3.7037037037037035E-2</v>
      </c>
      <c r="M198" s="125">
        <f t="shared" si="22"/>
        <v>3.9518518518518517</v>
      </c>
      <c r="N198" s="325"/>
      <c r="O198" s="325"/>
      <c r="P198" s="325"/>
      <c r="Q198" s="325"/>
      <c r="R198" s="17" t="str">
        <f t="shared" si="14"/>
        <v>C</v>
      </c>
      <c r="S198" s="328"/>
      <c r="T198" s="328"/>
      <c r="U198" s="328"/>
      <c r="V198" s="328"/>
    </row>
    <row r="199" spans="1:22" ht="36" customHeight="1" x14ac:dyDescent="0.25">
      <c r="A199" s="343"/>
      <c r="B199" s="343"/>
      <c r="C199" s="334"/>
      <c r="D199" s="337"/>
      <c r="E199" s="11" t="str">
        <f>Apreciación!A171</f>
        <v>Docentes</v>
      </c>
      <c r="F199" s="12" t="str">
        <f>Apreciación!E171</f>
        <v>Cuenta de 55. Considero que la institución apoya suficientemente las iniciativas de movilidad académica de los docentes.</v>
      </c>
      <c r="G199" s="203">
        <f>Apreciación!F171</f>
        <v>0.14814814814814814</v>
      </c>
      <c r="H199" s="203">
        <f>Apreciación!G171</f>
        <v>0.18518518518518517</v>
      </c>
      <c r="I199" s="203">
        <f>Apreciación!H171</f>
        <v>0.14814814814814814</v>
      </c>
      <c r="J199" s="203">
        <f>Apreciación!I171</f>
        <v>0.25925925925925924</v>
      </c>
      <c r="K199" s="203">
        <f>Apreciación!J171</f>
        <v>0.1111111111111111</v>
      </c>
      <c r="L199" s="203">
        <f>Apreciación!K171</f>
        <v>0.14814814814814814</v>
      </c>
      <c r="M199" s="125">
        <f t="shared" si="22"/>
        <v>2.9629629629629628</v>
      </c>
      <c r="N199" s="325"/>
      <c r="O199" s="325"/>
      <c r="P199" s="325"/>
      <c r="Q199" s="325"/>
      <c r="R199" s="17" t="str">
        <f t="shared" si="14"/>
        <v>D</v>
      </c>
      <c r="S199" s="328"/>
      <c r="T199" s="328"/>
      <c r="U199" s="328"/>
      <c r="V199" s="328"/>
    </row>
    <row r="200" spans="1:22" ht="36" customHeight="1" x14ac:dyDescent="0.25">
      <c r="A200" s="343"/>
      <c r="B200" s="343"/>
      <c r="C200" s="334"/>
      <c r="D200" s="337"/>
      <c r="E200" s="11" t="str">
        <f>Apreciación!A173</f>
        <v>Docentes</v>
      </c>
      <c r="F200" s="12" t="str">
        <f>Apreciación!E173</f>
        <v xml:space="preserve">Cuenta de 57. El programa académico al cual pertenezco muestra una dinámica de integración a redes académicas externas. </v>
      </c>
      <c r="G200" s="203">
        <f>Apreciación!F173</f>
        <v>0.14814814814814814</v>
      </c>
      <c r="H200" s="203">
        <f>Apreciación!G173</f>
        <v>0.1111111111111111</v>
      </c>
      <c r="I200" s="203">
        <f>Apreciación!H173</f>
        <v>0.40740740740740738</v>
      </c>
      <c r="J200" s="203">
        <f>Apreciación!I173</f>
        <v>0.18518518518518517</v>
      </c>
      <c r="K200" s="203">
        <f>Apreciación!J173</f>
        <v>7.407407407407407E-2</v>
      </c>
      <c r="L200" s="203">
        <f>Apreciación!K173</f>
        <v>7.407407407407407E-2</v>
      </c>
      <c r="M200" s="125">
        <f t="shared" si="22"/>
        <v>3.2166666666666668</v>
      </c>
      <c r="N200" s="326"/>
      <c r="O200" s="325"/>
      <c r="P200" s="325"/>
      <c r="Q200" s="325"/>
      <c r="R200" s="17" t="str">
        <f t="shared" si="14"/>
        <v>D</v>
      </c>
      <c r="S200" s="329"/>
      <c r="T200" s="328"/>
      <c r="U200" s="328"/>
      <c r="V200" s="328"/>
    </row>
    <row r="201" spans="1:22" ht="36" customHeight="1" x14ac:dyDescent="0.25">
      <c r="A201" s="343"/>
      <c r="B201" s="343"/>
      <c r="C201" s="334"/>
      <c r="D201" s="337"/>
      <c r="E201" s="11" t="str">
        <f>Apreciación!A225</f>
        <v>Administrativos</v>
      </c>
      <c r="F201" s="12" t="str">
        <f>Apreciación!E225</f>
        <v>Cuenta de 6. Conozco las diferencias entre los programas de formación en ingeniería por ciclos y los programas de ingeniería tradicional.</v>
      </c>
      <c r="G201" s="203">
        <f>Apreciación!F225</f>
        <v>2.6315789473684209E-2</v>
      </c>
      <c r="H201" s="203">
        <f>Apreciación!G225</f>
        <v>5.2631578947368418E-2</v>
      </c>
      <c r="I201" s="203">
        <f>Apreciación!H225</f>
        <v>0.14912280701754385</v>
      </c>
      <c r="J201" s="203">
        <f>Apreciación!I225</f>
        <v>0.26315789473684209</v>
      </c>
      <c r="K201" s="203">
        <f>Apreciación!J225</f>
        <v>0.40350877192982454</v>
      </c>
      <c r="L201" s="203">
        <f>Apreciación!K225</f>
        <v>0.10526315789473684</v>
      </c>
      <c r="M201" s="156">
        <f t="shared" si="22"/>
        <v>3.7736842105263158</v>
      </c>
      <c r="N201" s="324">
        <f>AVERAGE(M201:M202)</f>
        <v>3.6892543859649121</v>
      </c>
      <c r="O201" s="325"/>
      <c r="P201" s="325"/>
      <c r="Q201" s="325"/>
      <c r="R201" s="17" t="str">
        <f t="shared" si="14"/>
        <v>C</v>
      </c>
      <c r="S201" s="327" t="str">
        <f>IF(((N201&gt;=$Z$4)*AND(N201&lt;=$AA$4)),$Y$4,IF(((N201&gt;$AA$4)*AND(N201&lt;=$AA$5)),$Y$5,IF(((N201&gt;$AA$5)*AND(N201&lt;=$AA$6)),$Y$6,IF(((N201&gt;$AA$6)*AND(N201&lt;=$AA$7)),$Y$7,IF(((N201&gt;$AA$7)*AND(N201&lt;=$AA$8)),$Y$8,IF(EXACT(N201,$Y$9),$Z$9))))))</f>
        <v>C</v>
      </c>
      <c r="T201" s="328"/>
      <c r="U201" s="328"/>
      <c r="V201" s="328"/>
    </row>
    <row r="202" spans="1:22" ht="36" customHeight="1" x14ac:dyDescent="0.25">
      <c r="A202" s="343"/>
      <c r="B202" s="343"/>
      <c r="C202" s="335"/>
      <c r="D202" s="338"/>
      <c r="E202" s="11" t="str">
        <f>Apreciación!A226</f>
        <v>Administrativos</v>
      </c>
      <c r="F202" s="12" t="str">
        <f>Apreciación!E226</f>
        <v>Cuenta de 7. Tengo claro qué es y para qué sirve el componente propedéutico en un programa de ingeniería por ciclos.</v>
      </c>
      <c r="G202" s="203">
        <f>Apreciación!F226</f>
        <v>6.1403508771929821E-2</v>
      </c>
      <c r="H202" s="203">
        <f>Apreciación!G226</f>
        <v>3.5087719298245612E-2</v>
      </c>
      <c r="I202" s="203">
        <f>Apreciación!H226</f>
        <v>0.14035087719298245</v>
      </c>
      <c r="J202" s="203">
        <f>Apreciación!I226</f>
        <v>0.2982456140350877</v>
      </c>
      <c r="K202" s="203">
        <f>Apreciación!J226</f>
        <v>0.34210526315789475</v>
      </c>
      <c r="L202" s="203">
        <f>Apreciación!K226</f>
        <v>0.12280701754385964</v>
      </c>
      <c r="M202" s="156">
        <f t="shared" si="22"/>
        <v>3.6048245614035084</v>
      </c>
      <c r="N202" s="326"/>
      <c r="O202" s="326"/>
      <c r="P202" s="325"/>
      <c r="Q202" s="325"/>
      <c r="R202" s="17" t="str">
        <f>IF(((M202&gt;=$Z$4)*AND(M202&lt;=$AA$4)),$Y$4,IF(((M202&gt;$AA$4)*AND(M202&lt;=$AA$5)),$Y$5,IF(((M202&gt;$AA$5)*AND(M202&lt;=$AA$6)),$Y$6,IF(((M202&gt;$AA$6)*AND(M202&lt;=$AA$7)),$Y$7,IF(((M202&gt;$AA$7)*AND(M202&lt;=$AA$8)),$Y$8,IF(EXACT(M202,$Y$9),$Z$9))))))</f>
        <v>C</v>
      </c>
      <c r="S202" s="329"/>
      <c r="T202" s="329"/>
      <c r="U202" s="328"/>
      <c r="V202" s="328"/>
    </row>
    <row r="203" spans="1:22" ht="60" x14ac:dyDescent="0.25">
      <c r="A203" s="343"/>
      <c r="B203" s="343"/>
      <c r="C203" s="58" t="str">
        <f>Final!E90</f>
        <v>b</v>
      </c>
      <c r="D203" s="59" t="str">
        <f>Final!F90</f>
        <v>Aplicación y evaluación de políticas y normas relacionadas con homologaciones de créditos, equivalencia de títulos y transferencias; de forma que se garantice a los estudiantes la continuidad y movilidad en el sistema educativo.</v>
      </c>
      <c r="E203" s="61" t="s">
        <v>64</v>
      </c>
      <c r="F203" s="61" t="s">
        <v>64</v>
      </c>
      <c r="G203" s="204" t="s">
        <v>64</v>
      </c>
      <c r="H203" s="204" t="s">
        <v>64</v>
      </c>
      <c r="I203" s="204" t="s">
        <v>64</v>
      </c>
      <c r="J203" s="204" t="s">
        <v>64</v>
      </c>
      <c r="K203" s="204" t="s">
        <v>64</v>
      </c>
      <c r="L203" s="204" t="s">
        <v>64</v>
      </c>
      <c r="M203" s="85" t="s">
        <v>64</v>
      </c>
      <c r="N203" s="85" t="s">
        <v>64</v>
      </c>
      <c r="O203" s="85" t="s">
        <v>64</v>
      </c>
      <c r="P203" s="325"/>
      <c r="Q203" s="325"/>
      <c r="R203" s="17" t="str">
        <f t="shared" si="14"/>
        <v>NA</v>
      </c>
      <c r="S203" s="17" t="str">
        <f>IF(((N203&gt;=$Z$4)*AND(N203&lt;=$AA$4)),$Y$4,IF(((N203&gt;$AA$4)*AND(N203&lt;=$AA$5)),$Y$5,IF(((N203&gt;$AA$5)*AND(N203&lt;=$AA$6)),$Y$6,IF(((N203&gt;$AA$6)*AND(N203&lt;=$AA$7)),$Y$7,IF(((N203&gt;$AA$7)*AND(N203&lt;=$AA$8)),$Y$8,IF(EXACT(N203,$Y$9),$Z$9))))))</f>
        <v>NA</v>
      </c>
      <c r="T203" s="17" t="str">
        <f>IF(((O203&gt;=$Z$4)*AND(O203&lt;=$AA$4)),$Y$4,IF(((O203&gt;$AA$4)*AND(O203&lt;=$AA$5)),$Y$5,IF(((O203&gt;$AA$5)*AND(O203&lt;=$AA$6)),$Y$6,IF(((O203&gt;$AA$6)*AND(O203&lt;=$AA$7)),$Y$7,IF(((O203&gt;$AA$7)*AND(O203&lt;=$AA$8)),$Y$8,IF(EXACT(O203,$Y$9),$Z$9))))))</f>
        <v>NA</v>
      </c>
      <c r="U203" s="328"/>
      <c r="V203" s="328"/>
    </row>
    <row r="204" spans="1:22" ht="48" customHeight="1" x14ac:dyDescent="0.25">
      <c r="A204" s="343"/>
      <c r="B204" s="343"/>
      <c r="C204" s="333" t="str">
        <f>Final!E91</f>
        <v>c</v>
      </c>
      <c r="D204" s="330" t="str">
        <f>Final!F91</f>
        <v>Nivel de correspondencia entre los desarrollos disciplinares, profesionales y pedagógicos frente a los mecanismos de actualización del currículo atendiendo las necesidades del entorno.</v>
      </c>
      <c r="E204" s="73" t="str">
        <f>Apreciación!A149</f>
        <v>Docentes</v>
      </c>
      <c r="F204" s="133" t="str">
        <f>Apreciación!E149</f>
        <v>Cuenta de 46. Conozco los procesos efectuados para la evaluación periódica de la pertinencia y calidad del programa académico al cual pertenezco.</v>
      </c>
      <c r="G204" s="204">
        <f>Apreciación!F149</f>
        <v>3.7037037037037035E-2</v>
      </c>
      <c r="H204" s="204">
        <f>Apreciación!G149</f>
        <v>7.407407407407407E-2</v>
      </c>
      <c r="I204" s="204">
        <f>Apreciación!H149</f>
        <v>0.14814814814814814</v>
      </c>
      <c r="J204" s="204">
        <f>Apreciación!I149</f>
        <v>0.29629629629629628</v>
      </c>
      <c r="K204" s="204">
        <f>Apreciación!J149</f>
        <v>0.37037037037037035</v>
      </c>
      <c r="L204" s="204">
        <f>Apreciación!K149</f>
        <v>7.407407407407407E-2</v>
      </c>
      <c r="M204" s="18">
        <f>(G204*$G$2)+(H204*$H$2)+(I204*$I$2)+(J204*$J$2)+(K204*$K$2)+(L204*$L$2)</f>
        <v>3.8333333333333335</v>
      </c>
      <c r="N204" s="324">
        <f>AVERAGE(M204:M206)</f>
        <v>3.8722222222222222</v>
      </c>
      <c r="O204" s="324">
        <f>(AVERAGE(N204:N208)*$AE$5)+(N204*$AE$4)+(AVERAGE(N204:N208)*$AE$6)+(N207*$AE$8)+(AVERAGE(N204:N208)*$AE$7)</f>
        <v>3.7273026315789473</v>
      </c>
      <c r="P204" s="325"/>
      <c r="Q204" s="325"/>
      <c r="R204" s="17" t="str">
        <f t="shared" si="14"/>
        <v>C</v>
      </c>
      <c r="S204" s="327" t="str">
        <f>IF(((N204&gt;=$Z$4)*AND(N204&lt;=$AA$4)),$Y$4,IF(((N204&gt;$AA$4)*AND(N204&lt;=$AA$5)),$Y$5,IF(((N204&gt;$AA$5)*AND(N204&lt;=$AA$6)),$Y$6,IF(((N204&gt;$AA$6)*AND(N204&lt;=$AA$7)),$Y$7,IF(((N204&gt;$AA$7)*AND(N204&lt;=$AA$8)),$Y$8,IF(EXACT(N204,$Y$9),$Z$9))))))</f>
        <v>C</v>
      </c>
      <c r="T204" s="327" t="str">
        <f>IF(((O204&gt;=$Z$4)*AND(O204&lt;=$AA$4)),$Y$4,IF(((O204&gt;$AA$4)*AND(O204&lt;=$AA$5)),$Y$5,IF(((O204&gt;$AA$5)*AND(O204&lt;=$AA$6)),$Y$6,IF(((O204&gt;$AA$6)*AND(O204&lt;=$AA$7)),$Y$7,IF(((O204&gt;$AA$7)*AND(O204&lt;=$AA$8)),$Y$8,IF(EXACT(O204,$Y$9),$Z$9))))))</f>
        <v>C</v>
      </c>
      <c r="U204" s="328"/>
      <c r="V204" s="328"/>
    </row>
    <row r="205" spans="1:22" ht="36" x14ac:dyDescent="0.25">
      <c r="A205" s="343"/>
      <c r="B205" s="343"/>
      <c r="C205" s="334"/>
      <c r="D205" s="331"/>
      <c r="E205" s="73" t="str">
        <f>Apreciación!A150</f>
        <v>Docentes</v>
      </c>
      <c r="F205" s="133" t="str">
        <f>Apreciación!E150</f>
        <v>Cuenta de 47. He participado en procesos para la evaluación periódica de la pertinencia y calidad del programa académico al cual pertenezco.</v>
      </c>
      <c r="G205" s="204">
        <f>Apreciación!F150</f>
        <v>0.1111111111111111</v>
      </c>
      <c r="H205" s="204">
        <f>Apreciación!G150</f>
        <v>3.7037037037037035E-2</v>
      </c>
      <c r="I205" s="204">
        <f>Apreciación!H150</f>
        <v>0.22222222222222221</v>
      </c>
      <c r="J205" s="204">
        <f>Apreciación!I150</f>
        <v>0.29629629629629628</v>
      </c>
      <c r="K205" s="204">
        <f>Apreciación!J150</f>
        <v>0.29629629629629628</v>
      </c>
      <c r="L205" s="204">
        <f>Apreciación!K150</f>
        <v>3.7037037037037035E-2</v>
      </c>
      <c r="M205" s="125">
        <f>(G205*$G$2)+(H205*$H$2)+(I205*$I$2)+(J205*$J$2)+(K205*$K$2)+(L205*$L$2)</f>
        <v>3.7722222222222221</v>
      </c>
      <c r="N205" s="325"/>
      <c r="O205" s="325"/>
      <c r="P205" s="325"/>
      <c r="Q205" s="325"/>
      <c r="R205" s="17" t="str">
        <f t="shared" si="14"/>
        <v>C</v>
      </c>
      <c r="S205" s="328"/>
      <c r="T205" s="328"/>
      <c r="U205" s="328"/>
      <c r="V205" s="328"/>
    </row>
    <row r="206" spans="1:22" ht="36" x14ac:dyDescent="0.25">
      <c r="A206" s="343"/>
      <c r="B206" s="343"/>
      <c r="C206" s="334"/>
      <c r="D206" s="331"/>
      <c r="E206" s="73" t="str">
        <f>Apreciación!A151</f>
        <v>Docentes</v>
      </c>
      <c r="F206" s="133" t="str">
        <f>Apreciación!E151</f>
        <v>Cuenta de 48. Puedo identificar mejoras realizadas en el programa académico al cual pertenezco durante el último año.</v>
      </c>
      <c r="G206" s="204">
        <f>Apreciación!F151</f>
        <v>7.407407407407407E-2</v>
      </c>
      <c r="H206" s="204">
        <f>Apreciación!G151</f>
        <v>0</v>
      </c>
      <c r="I206" s="204">
        <f>Apreciación!H151</f>
        <v>0.18518518518518517</v>
      </c>
      <c r="J206" s="204">
        <f>Apreciación!I151</f>
        <v>0.25925925925925924</v>
      </c>
      <c r="K206" s="204">
        <f>Apreciación!J151</f>
        <v>0.44444444444444442</v>
      </c>
      <c r="L206" s="204">
        <f>Apreciación!K151</f>
        <v>3.7037037037037035E-2</v>
      </c>
      <c r="M206" s="125">
        <f>(G206*$G$2)+(H206*$H$2)+(I206*$I$2)+(J206*$J$2)+(K206*$K$2)+(L206*$L$2)</f>
        <v>4.0111111111111111</v>
      </c>
      <c r="N206" s="326"/>
      <c r="O206" s="325"/>
      <c r="P206" s="325"/>
      <c r="Q206" s="325"/>
      <c r="R206" s="17" t="str">
        <f t="shared" si="14"/>
        <v>B</v>
      </c>
      <c r="S206" s="329"/>
      <c r="T206" s="328"/>
      <c r="U206" s="328"/>
      <c r="V206" s="328"/>
    </row>
    <row r="207" spans="1:22" ht="48" x14ac:dyDescent="0.25">
      <c r="A207" s="343"/>
      <c r="B207" s="343"/>
      <c r="C207" s="334"/>
      <c r="D207" s="331"/>
      <c r="E207" s="73" t="str">
        <f>Apreciación!A227</f>
        <v>Administrativos</v>
      </c>
      <c r="F207" s="133" t="str">
        <f>Apreciación!E227</f>
        <v>Cuenta de 8. Conozco los procesos efectuados para la evaluación periódica de la pertinencia y calidad de los programas académicos con los cuales me he relacionado.</v>
      </c>
      <c r="G207" s="204">
        <f>Apreciación!F227</f>
        <v>5.2631578947368418E-2</v>
      </c>
      <c r="H207" s="204">
        <f>Apreciación!G227</f>
        <v>7.0175438596491224E-2</v>
      </c>
      <c r="I207" s="204">
        <f>Apreciación!H227</f>
        <v>0.21052631578947367</v>
      </c>
      <c r="J207" s="204">
        <f>Apreciación!I227</f>
        <v>0.35964912280701755</v>
      </c>
      <c r="K207" s="204">
        <f>Apreciación!J227</f>
        <v>0.18421052631578946</v>
      </c>
      <c r="L207" s="204">
        <f>Apreciación!K227</f>
        <v>0.12280701754385964</v>
      </c>
      <c r="M207" s="125">
        <f>(G207*$G$2)+(H207*$H$2)+(I207*$I$2)+(J207*$J$2)+(K207*$K$2)+(L207*$L$2)</f>
        <v>3.4609649122807018</v>
      </c>
      <c r="N207" s="324">
        <f>AVERAGE(M207:M208)</f>
        <v>3.4263157894736844</v>
      </c>
      <c r="O207" s="325"/>
      <c r="P207" s="325"/>
      <c r="Q207" s="325"/>
      <c r="R207" s="17" t="str">
        <f t="shared" si="14"/>
        <v>D</v>
      </c>
      <c r="S207" s="327" t="str">
        <f>IF(((N207&gt;=$Z$4)*AND(N207&lt;=$AA$4)),$Y$4,IF(((N207&gt;$AA$4)*AND(N207&lt;=$AA$5)),$Y$5,IF(((N207&gt;$AA$5)*AND(N207&lt;=$AA$6)),$Y$6,IF(((N207&gt;$AA$6)*AND(N207&lt;=$AA$7)),$Y$7,IF(((N207&gt;$AA$7)*AND(N207&lt;=$AA$8)),$Y$8,IF(EXACT(N207,$Y$9),$Z$9))))))</f>
        <v>D</v>
      </c>
      <c r="T207" s="328"/>
      <c r="U207" s="328"/>
      <c r="V207" s="328"/>
    </row>
    <row r="208" spans="1:22" ht="48" x14ac:dyDescent="0.25">
      <c r="A208" s="343"/>
      <c r="B208" s="343"/>
      <c r="C208" s="335"/>
      <c r="D208" s="332"/>
      <c r="E208" s="73" t="str">
        <f>Apreciación!A228</f>
        <v>Administrativos</v>
      </c>
      <c r="F208" s="133" t="str">
        <f>Apreciación!E228</f>
        <v>Cuenta de 9. He participado en procesos para la evaluación periódica de la pertinencia y calidad de los programas académicos con los cuales me he relacionado.</v>
      </c>
      <c r="G208" s="204">
        <f>Apreciación!F228</f>
        <v>0.10526315789473684</v>
      </c>
      <c r="H208" s="204">
        <f>Apreciación!G228</f>
        <v>6.1403508771929821E-2</v>
      </c>
      <c r="I208" s="204">
        <f>Apreciación!H228</f>
        <v>0.17543859649122806</v>
      </c>
      <c r="J208" s="204">
        <f>Apreciación!I228</f>
        <v>0.28947368421052633</v>
      </c>
      <c r="K208" s="204">
        <f>Apreciación!J228</f>
        <v>0.24561403508771928</v>
      </c>
      <c r="L208" s="204">
        <f>Apreciación!K228</f>
        <v>0.12280701754385964</v>
      </c>
      <c r="M208" s="125">
        <f>(G208*$G$2)+(H208*$H$2)+(I208*$I$2)+(J208*$J$2)+(K208*$K$2)+(L208*$L$2)</f>
        <v>3.3916666666666666</v>
      </c>
      <c r="N208" s="326"/>
      <c r="O208" s="326"/>
      <c r="P208" s="325"/>
      <c r="Q208" s="325"/>
      <c r="R208" s="17" t="str">
        <f t="shared" si="14"/>
        <v>D</v>
      </c>
      <c r="S208" s="329"/>
      <c r="T208" s="329"/>
      <c r="U208" s="328"/>
      <c r="V208" s="328"/>
    </row>
    <row r="209" spans="1:22" ht="60" x14ac:dyDescent="0.25">
      <c r="A209" s="343"/>
      <c r="B209" s="343"/>
      <c r="C209" s="58" t="str">
        <f>Final!E92</f>
        <v>d</v>
      </c>
      <c r="D209" s="59" t="str">
        <f>Final!F92</f>
        <v>Definición del índice de flexibilidad curricular del proyecto curricular y comparación de este a nivel nacional e internacional con programas académicos que coincidan con el campo de conocimiento del proyecto curricular.</v>
      </c>
      <c r="E209" s="61" t="s">
        <v>64</v>
      </c>
      <c r="F209" s="61" t="s">
        <v>64</v>
      </c>
      <c r="G209" s="204" t="s">
        <v>64</v>
      </c>
      <c r="H209" s="204" t="s">
        <v>64</v>
      </c>
      <c r="I209" s="204" t="s">
        <v>64</v>
      </c>
      <c r="J209" s="204" t="s">
        <v>64</v>
      </c>
      <c r="K209" s="204" t="s">
        <v>64</v>
      </c>
      <c r="L209" s="204" t="s">
        <v>64</v>
      </c>
      <c r="M209" s="85" t="s">
        <v>64</v>
      </c>
      <c r="N209" s="85" t="s">
        <v>64</v>
      </c>
      <c r="O209" s="85" t="s">
        <v>64</v>
      </c>
      <c r="P209" s="325"/>
      <c r="Q209" s="325"/>
      <c r="R209" s="17" t="str">
        <f t="shared" si="14"/>
        <v>NA</v>
      </c>
      <c r="S209" s="17" t="str">
        <f>IF(((N209&gt;=$Z$4)*AND(N209&lt;=$AA$4)),$Y$4,IF(((N209&gt;$AA$4)*AND(N209&lt;=$AA$5)),$Y$5,IF(((N209&gt;$AA$5)*AND(N209&lt;=$AA$6)),$Y$6,IF(((N209&gt;$AA$6)*AND(N209&lt;=$AA$7)),$Y$7,IF(((N209&gt;$AA$7)*AND(N209&lt;=$AA$8)),$Y$8,IF(EXACT(N209,$Y$9),$Z$9))))))</f>
        <v>NA</v>
      </c>
      <c r="T209" s="17" t="str">
        <f>IF(((O209&gt;=$Z$4)*AND(O209&lt;=$AA$4)),$Y$4,IF(((O209&gt;$AA$4)*AND(O209&lt;=$AA$5)),$Y$5,IF(((O209&gt;$AA$5)*AND(O209&lt;=$AA$6)),$Y$6,IF(((O209&gt;$AA$6)*AND(O209&lt;=$AA$7)),$Y$7,IF(((O209&gt;$AA$7)*AND(O209&lt;=$AA$8)),$Y$8,IF(EXACT(O209,$Y$9),$Z$9))))))</f>
        <v>NA</v>
      </c>
      <c r="U209" s="328"/>
      <c r="V209" s="328"/>
    </row>
    <row r="210" spans="1:22" ht="24" x14ac:dyDescent="0.25">
      <c r="A210" s="343"/>
      <c r="B210" s="343"/>
      <c r="C210" s="333" t="str">
        <f>Final!E93</f>
        <v>e</v>
      </c>
      <c r="D210" s="330" t="str">
        <f>Final!F93</f>
        <v>Eficacia en la aplicación de las políticas institucionales sobre flexibilidad curricular, a la luz de las apreciaciones de directivos, profesores y estudiantes del proyecto curricular.</v>
      </c>
      <c r="E210" s="11" t="str">
        <f>Apreciación!A32</f>
        <v>Estudiantes</v>
      </c>
      <c r="F210" s="11" t="str">
        <f>Apreciación!E32</f>
        <v>Cuenta de 22. Puedo inscribir espacios académicos en otros programas académicos.</v>
      </c>
      <c r="G210" s="205">
        <f>Apreciación!F32</f>
        <v>5.9880239520958084E-2</v>
      </c>
      <c r="H210" s="205">
        <f>Apreciación!G32</f>
        <v>5.9880239520958084E-2</v>
      </c>
      <c r="I210" s="205">
        <f>Apreciación!H32</f>
        <v>0.1497005988023952</v>
      </c>
      <c r="J210" s="205">
        <f>Apreciación!I32</f>
        <v>0.3712574850299401</v>
      </c>
      <c r="K210" s="205">
        <f>Apreciación!J32</f>
        <v>0.29940119760479039</v>
      </c>
      <c r="L210" s="205">
        <f>Apreciación!K32</f>
        <v>5.9880239520958084E-2</v>
      </c>
      <c r="M210" s="18">
        <f>(G210*$G$2)+(H210*$H$2)+(I210*$I$2)+(J210*$J$2)+(K210*$K$2)+(L210*$L$2)</f>
        <v>3.8137724550898202</v>
      </c>
      <c r="N210" s="324">
        <f>AVERAGE(M210:M214)</f>
        <v>3.4969461077844315</v>
      </c>
      <c r="O210" s="324">
        <f>(N210*$AE$5)+(N215*$AE$4)+(AVERAGE(N210:N217)*$AE$6)+(AVERAGE(N210:N217)*$AE$8)+(AVERAGE(N210:N217)*$AE$7)</f>
        <v>3.6052306867745987</v>
      </c>
      <c r="P210" s="325"/>
      <c r="Q210" s="325"/>
      <c r="R210" s="17" t="str">
        <f t="shared" si="14"/>
        <v>C</v>
      </c>
      <c r="S210" s="327" t="str">
        <f>IF(((N210&gt;=$Z$4)*AND(N210&lt;=$AA$4)),$Y$4,IF(((N210&gt;$AA$4)*AND(N210&lt;=$AA$5)),$Y$5,IF(((N210&gt;$AA$5)*AND(N210&lt;=$AA$6)),$Y$6,IF(((N210&gt;$AA$6)*AND(N210&lt;=$AA$7)),$Y$7,IF(((N210&gt;$AA$7)*AND(N210&lt;=$AA$8)),$Y$8,IF(EXACT(N210,$Y$9),$Z$9))))))</f>
        <v>D</v>
      </c>
      <c r="T210" s="327" t="str">
        <f>IF(((O210&gt;=$Z$4)*AND(O210&lt;=$AA$4)),$Y$4,IF(((O210&gt;$AA$4)*AND(O210&lt;=$AA$5)),$Y$5,IF(((O210&gt;$AA$5)*AND(O210&lt;=$AA$6)),$Y$6,IF(((O210&gt;$AA$6)*AND(O210&lt;=$AA$7)),$Y$7,IF(((O210&gt;$AA$7)*AND(O210&lt;=$AA$8)),$Y$8,IF(EXACT(O210,$Y$9),$Z$9))))))</f>
        <v>C</v>
      </c>
      <c r="U210" s="328"/>
      <c r="V210" s="328"/>
    </row>
    <row r="211" spans="1:22" ht="36" x14ac:dyDescent="0.25">
      <c r="A211" s="343"/>
      <c r="B211" s="343"/>
      <c r="C211" s="334"/>
      <c r="D211" s="331"/>
      <c r="E211" s="11" t="str">
        <f>Apreciación!A33</f>
        <v>Estudiantes</v>
      </c>
      <c r="F211" s="11" t="str">
        <f>Apreciación!E33</f>
        <v>Cuenta de 23. Puedo inscribir espacios académicos en otras Instituciones y homologarlas en mi programa académico.</v>
      </c>
      <c r="G211" s="205">
        <f>Apreciación!F33</f>
        <v>0.12574850299401197</v>
      </c>
      <c r="H211" s="205">
        <f>Apreciación!G33</f>
        <v>0.11976047904191617</v>
      </c>
      <c r="I211" s="205">
        <f>Apreciación!H33</f>
        <v>0.19760479041916168</v>
      </c>
      <c r="J211" s="205">
        <f>Apreciación!I33</f>
        <v>0.1377245508982036</v>
      </c>
      <c r="K211" s="205">
        <f>Apreciación!J33</f>
        <v>0.20359281437125748</v>
      </c>
      <c r="L211" s="205">
        <f>Apreciación!K33</f>
        <v>0.21556886227544911</v>
      </c>
      <c r="M211" s="85">
        <f t="shared" ref="M211:M217" si="23">(G211*$G$2)+(H211*$H$2)+(I211*$I$2)+(J211*$J$2)+(K211*$K$2)+(L211*$L$2)</f>
        <v>2.8437125748502994</v>
      </c>
      <c r="N211" s="325"/>
      <c r="O211" s="325"/>
      <c r="P211" s="325"/>
      <c r="Q211" s="325"/>
      <c r="R211" s="17" t="str">
        <f t="shared" si="14"/>
        <v>D</v>
      </c>
      <c r="S211" s="328"/>
      <c r="T211" s="328"/>
      <c r="U211" s="328"/>
      <c r="V211" s="328"/>
    </row>
    <row r="212" spans="1:22" ht="36" x14ac:dyDescent="0.25">
      <c r="A212" s="343"/>
      <c r="B212" s="343"/>
      <c r="C212" s="334"/>
      <c r="D212" s="331"/>
      <c r="E212" s="11" t="str">
        <f>Apreciación!A34</f>
        <v>Estudiantes</v>
      </c>
      <c r="F212" s="11" t="str">
        <f>Apreciación!E34</f>
        <v xml:space="preserve">Cuenta de 24. En mi programa académico existen espacios académicos en donde se inscriben estudiantes de diferentes programas. </v>
      </c>
      <c r="G212" s="205">
        <f>Apreciación!F34</f>
        <v>0.10179640718562874</v>
      </c>
      <c r="H212" s="205">
        <f>Apreciación!G34</f>
        <v>3.5928143712574849E-2</v>
      </c>
      <c r="I212" s="205">
        <f>Apreciación!H34</f>
        <v>0.16766467065868262</v>
      </c>
      <c r="J212" s="205">
        <f>Apreciación!I34</f>
        <v>0.3592814371257485</v>
      </c>
      <c r="K212" s="205">
        <f>Apreciación!J34</f>
        <v>0.26347305389221559</v>
      </c>
      <c r="L212" s="205">
        <f>Apreciación!K34</f>
        <v>7.1856287425149698E-2</v>
      </c>
      <c r="M212" s="85">
        <f t="shared" si="23"/>
        <v>3.659880239520958</v>
      </c>
      <c r="N212" s="325"/>
      <c r="O212" s="325"/>
      <c r="P212" s="325"/>
      <c r="Q212" s="325"/>
      <c r="R212" s="17" t="str">
        <f t="shared" si="14"/>
        <v>C</v>
      </c>
      <c r="S212" s="328"/>
      <c r="T212" s="328"/>
      <c r="U212" s="328"/>
      <c r="V212" s="328"/>
    </row>
    <row r="213" spans="1:22" ht="60" x14ac:dyDescent="0.25">
      <c r="A213" s="343"/>
      <c r="B213" s="343"/>
      <c r="C213" s="334"/>
      <c r="D213" s="331"/>
      <c r="E213" s="11" t="str">
        <f>Apreciación!A35</f>
        <v>Estudiantes</v>
      </c>
      <c r="F213" s="11" t="str">
        <f>Apreciación!E35</f>
        <v>Cuenta de 25. En mi programa académico existen cursos de interés para los estudiantes de otros programas académicos de la Facultad Tecnológica y de la Universidad Distrital Francisco José de Caldas.</v>
      </c>
      <c r="G213" s="205">
        <f>Apreciación!F35</f>
        <v>6.5868263473053898E-2</v>
      </c>
      <c r="H213" s="205">
        <f>Apreciación!G35</f>
        <v>0.11976047904191617</v>
      </c>
      <c r="I213" s="205">
        <f>Apreciación!H35</f>
        <v>0.26347305389221559</v>
      </c>
      <c r="J213" s="205">
        <f>Apreciación!I35</f>
        <v>0.28742514970059879</v>
      </c>
      <c r="K213" s="205">
        <f>Apreciación!J35</f>
        <v>0.17365269461077845</v>
      </c>
      <c r="L213" s="205">
        <f>Apreciación!K35</f>
        <v>8.9820359281437126E-2</v>
      </c>
      <c r="M213" s="85">
        <f t="shared" si="23"/>
        <v>3.4721556886227547</v>
      </c>
      <c r="N213" s="325"/>
      <c r="O213" s="325"/>
      <c r="P213" s="325"/>
      <c r="Q213" s="325"/>
      <c r="R213" s="17" t="str">
        <f t="shared" si="14"/>
        <v>D</v>
      </c>
      <c r="S213" s="328"/>
      <c r="T213" s="328"/>
      <c r="U213" s="328"/>
      <c r="V213" s="328"/>
    </row>
    <row r="214" spans="1:22" ht="36" x14ac:dyDescent="0.25">
      <c r="A214" s="343"/>
      <c r="B214" s="343"/>
      <c r="C214" s="334"/>
      <c r="D214" s="331"/>
      <c r="E214" s="11" t="str">
        <f>Apreciación!A36</f>
        <v>Estudiantes</v>
      </c>
      <c r="F214" s="11" t="str">
        <f>Apreciación!E36</f>
        <v xml:space="preserve">Cuenta de 26. Mi programa académico incentiva las actividades y proyectos extra clase que los estudiantes realizan. </v>
      </c>
      <c r="G214" s="205">
        <f>Apreciación!F36</f>
        <v>8.3832335329341312E-2</v>
      </c>
      <c r="H214" s="205">
        <f>Apreciación!G36</f>
        <v>0.1317365269461078</v>
      </c>
      <c r="I214" s="205">
        <f>Apreciación!H36</f>
        <v>0.28143712574850299</v>
      </c>
      <c r="J214" s="205">
        <f>Apreciación!I36</f>
        <v>0.32934131736526945</v>
      </c>
      <c r="K214" s="205">
        <f>Apreciación!J36</f>
        <v>0.15568862275449102</v>
      </c>
      <c r="L214" s="205">
        <f>Apreciación!K36</f>
        <v>1.7964071856287425E-2</v>
      </c>
      <c r="M214" s="85">
        <f t="shared" si="23"/>
        <v>3.6952095808383234</v>
      </c>
      <c r="N214" s="326"/>
      <c r="O214" s="325"/>
      <c r="P214" s="325"/>
      <c r="Q214" s="325"/>
      <c r="R214" s="17" t="str">
        <f t="shared" si="14"/>
        <v>C</v>
      </c>
      <c r="S214" s="329"/>
      <c r="T214" s="328"/>
      <c r="U214" s="328"/>
      <c r="V214" s="328"/>
    </row>
    <row r="215" spans="1:22" ht="36" x14ac:dyDescent="0.25">
      <c r="A215" s="343"/>
      <c r="B215" s="343"/>
      <c r="C215" s="334"/>
      <c r="D215" s="331"/>
      <c r="E215" s="11" t="str">
        <f>Apreciación!A136</f>
        <v>Docentes</v>
      </c>
      <c r="F215" s="11" t="str">
        <f>Apreciación!E136</f>
        <v xml:space="preserve">Cuenta de 33. El plan de estudios del programa académico al cual pertenezco ofrece la suficiente variedad de espacios académicos electivos. </v>
      </c>
      <c r="G215" s="205">
        <f>Apreciación!F136</f>
        <v>3.7037037037037035E-2</v>
      </c>
      <c r="H215" s="205">
        <f>Apreciación!G136</f>
        <v>0</v>
      </c>
      <c r="I215" s="205">
        <f>Apreciación!H136</f>
        <v>0.14814814814814814</v>
      </c>
      <c r="J215" s="205">
        <f>Apreciación!I136</f>
        <v>0.51851851851851849</v>
      </c>
      <c r="K215" s="205">
        <f>Apreciación!J136</f>
        <v>0.25925925925925924</v>
      </c>
      <c r="L215" s="205">
        <f>Apreciación!K136</f>
        <v>3.7037037037037035E-2</v>
      </c>
      <c r="M215" s="85">
        <f t="shared" si="23"/>
        <v>4.0203703703703706</v>
      </c>
      <c r="N215" s="324">
        <f>AVERAGE(M215:M217)</f>
        <v>3.6938271604938273</v>
      </c>
      <c r="O215" s="325"/>
      <c r="P215" s="325"/>
      <c r="Q215" s="325"/>
      <c r="R215" s="17" t="str">
        <f t="shared" si="14"/>
        <v>B</v>
      </c>
      <c r="S215" s="327" t="str">
        <f>IF(((N215&gt;=$Z$4)*AND(N215&lt;=$AA$4)),$Y$4,IF(((N215&gt;$AA$4)*AND(N215&lt;=$AA$5)),$Y$5,IF(((N215&gt;$AA$5)*AND(N215&lt;=$AA$6)),$Y$6,IF(((N215&gt;$AA$6)*AND(N215&lt;=$AA$7)),$Y$7,IF(((N215&gt;$AA$7)*AND(N215&lt;=$AA$8)),$Y$8,IF(EXACT(N215,$Y$9),$Z$9))))))</f>
        <v>C</v>
      </c>
      <c r="T215" s="328"/>
      <c r="U215" s="328"/>
      <c r="V215" s="328"/>
    </row>
    <row r="216" spans="1:22" ht="36" x14ac:dyDescent="0.25">
      <c r="A216" s="343"/>
      <c r="B216" s="343"/>
      <c r="C216" s="334"/>
      <c r="D216" s="331"/>
      <c r="E216" s="11" t="str">
        <f>Apreciación!A137</f>
        <v>Docentes</v>
      </c>
      <c r="F216" s="11" t="str">
        <f>Apreciación!E137</f>
        <v xml:space="preserve">Cuenta de 34. El programa académico al cual pertenezco incentiva las actividades y proyectos extra clase realizados por docentes y estudiantes. </v>
      </c>
      <c r="G216" s="205">
        <f>Apreciación!F137</f>
        <v>7.407407407407407E-2</v>
      </c>
      <c r="H216" s="205">
        <f>Apreciación!G137</f>
        <v>0.1111111111111111</v>
      </c>
      <c r="I216" s="205">
        <f>Apreciación!H137</f>
        <v>0.18518518518518517</v>
      </c>
      <c r="J216" s="205">
        <f>Apreciación!I137</f>
        <v>0.33333333333333331</v>
      </c>
      <c r="K216" s="205">
        <f>Apreciación!J137</f>
        <v>0.18518518518518517</v>
      </c>
      <c r="L216" s="205">
        <f>Apreciación!K137</f>
        <v>0.1111111111111111</v>
      </c>
      <c r="M216" s="85">
        <f t="shared" si="23"/>
        <v>3.4185185185185185</v>
      </c>
      <c r="N216" s="325"/>
      <c r="O216" s="325"/>
      <c r="P216" s="325"/>
      <c r="Q216" s="325"/>
      <c r="R216" s="17" t="str">
        <f t="shared" si="14"/>
        <v>D</v>
      </c>
      <c r="S216" s="328"/>
      <c r="T216" s="328"/>
      <c r="U216" s="328"/>
      <c r="V216" s="328"/>
    </row>
    <row r="217" spans="1:22" ht="48" x14ac:dyDescent="0.25">
      <c r="A217" s="343"/>
      <c r="B217" s="343"/>
      <c r="C217" s="334"/>
      <c r="D217" s="331"/>
      <c r="E217" s="11" t="str">
        <f>Apreciación!A138</f>
        <v>Docentes</v>
      </c>
      <c r="F217" s="11" t="str">
        <f>Apreciación!E138</f>
        <v>Cuenta de 35. Considero que el programa académico al cual pertenezco se preocupa por evolucionar hacia planes de estudios cada vez más flexibles.</v>
      </c>
      <c r="G217" s="205">
        <f>Apreciación!F138</f>
        <v>7.407407407407407E-2</v>
      </c>
      <c r="H217" s="205">
        <f>Apreciación!G138</f>
        <v>7.407407407407407E-2</v>
      </c>
      <c r="I217" s="205">
        <f>Apreciación!H138</f>
        <v>0.22222222222222221</v>
      </c>
      <c r="J217" s="205">
        <f>Apreciación!I138</f>
        <v>0.29629629629629628</v>
      </c>
      <c r="K217" s="205">
        <f>Apreciación!J138</f>
        <v>0.25925925925925924</v>
      </c>
      <c r="L217" s="205">
        <f>Apreciación!K138</f>
        <v>7.407407407407407E-2</v>
      </c>
      <c r="M217" s="85">
        <f t="shared" si="23"/>
        <v>3.6425925925925924</v>
      </c>
      <c r="N217" s="326"/>
      <c r="O217" s="325"/>
      <c r="P217" s="325"/>
      <c r="Q217" s="325"/>
      <c r="R217" s="17" t="str">
        <f t="shared" si="14"/>
        <v>C</v>
      </c>
      <c r="S217" s="329"/>
      <c r="T217" s="328"/>
      <c r="U217" s="328"/>
      <c r="V217" s="328"/>
    </row>
    <row r="218" spans="1:22" ht="48" x14ac:dyDescent="0.25">
      <c r="A218" s="343"/>
      <c r="B218" s="343"/>
      <c r="C218" s="58" t="str">
        <f>Final!E94</f>
        <v>f</v>
      </c>
      <c r="D218" s="59" t="str">
        <f>Final!F94</f>
        <v>Resultados de la aplicación en el proyecto curricular de las políticas de movilidad estudiantil hacia otras instituciones nacionales e internacionales.</v>
      </c>
      <c r="E218" s="61" t="s">
        <v>64</v>
      </c>
      <c r="F218" s="61" t="s">
        <v>64</v>
      </c>
      <c r="G218" s="204" t="s">
        <v>64</v>
      </c>
      <c r="H218" s="204" t="s">
        <v>64</v>
      </c>
      <c r="I218" s="204" t="s">
        <v>64</v>
      </c>
      <c r="J218" s="204" t="s">
        <v>64</v>
      </c>
      <c r="K218" s="204" t="s">
        <v>64</v>
      </c>
      <c r="L218" s="204" t="s">
        <v>64</v>
      </c>
      <c r="M218" s="125" t="s">
        <v>64</v>
      </c>
      <c r="N218" s="125" t="s">
        <v>64</v>
      </c>
      <c r="O218" s="125" t="s">
        <v>64</v>
      </c>
      <c r="P218" s="325"/>
      <c r="Q218" s="325"/>
      <c r="R218" s="17" t="str">
        <f t="shared" si="14"/>
        <v>NA</v>
      </c>
      <c r="S218" s="17" t="str">
        <f t="shared" ref="S218:T220" si="24">IF(((N218&gt;=$Z$4)*AND(N218&lt;=$AA$4)),$Y$4,IF(((N218&gt;$AA$4)*AND(N218&lt;=$AA$5)),$Y$5,IF(((N218&gt;$AA$5)*AND(N218&lt;=$AA$6)),$Y$6,IF(((N218&gt;$AA$6)*AND(N218&lt;=$AA$7)),$Y$7,IF(((N218&gt;$AA$7)*AND(N218&lt;=$AA$8)),$Y$8,IF(EXACT(N218,$Y$9),$Z$9))))))</f>
        <v>NA</v>
      </c>
      <c r="T218" s="17" t="str">
        <f t="shared" si="24"/>
        <v>NA</v>
      </c>
      <c r="U218" s="328"/>
      <c r="V218" s="328"/>
    </row>
    <row r="219" spans="1:22" ht="36" x14ac:dyDescent="0.25">
      <c r="A219" s="343"/>
      <c r="B219" s="343"/>
      <c r="C219" s="58" t="str">
        <f>Final!E95</f>
        <v>g</v>
      </c>
      <c r="D219" s="59" t="str">
        <f>Final!F95</f>
        <v>Existencia, aplicación y evaluación de sistemas de homologación de créditos y de tránsito del pregrado al postgrado</v>
      </c>
      <c r="E219" s="61" t="s">
        <v>64</v>
      </c>
      <c r="F219" s="61" t="s">
        <v>64</v>
      </c>
      <c r="G219" s="204" t="s">
        <v>64</v>
      </c>
      <c r="H219" s="204" t="s">
        <v>64</v>
      </c>
      <c r="I219" s="204" t="s">
        <v>64</v>
      </c>
      <c r="J219" s="204" t="s">
        <v>64</v>
      </c>
      <c r="K219" s="204" t="s">
        <v>64</v>
      </c>
      <c r="L219" s="204" t="s">
        <v>64</v>
      </c>
      <c r="M219" s="125" t="s">
        <v>64</v>
      </c>
      <c r="N219" s="125" t="s">
        <v>64</v>
      </c>
      <c r="O219" s="125" t="s">
        <v>64</v>
      </c>
      <c r="P219" s="325"/>
      <c r="Q219" s="325"/>
      <c r="R219" s="17" t="str">
        <f t="shared" si="14"/>
        <v>NA</v>
      </c>
      <c r="S219" s="17" t="str">
        <f t="shared" si="24"/>
        <v>NA</v>
      </c>
      <c r="T219" s="17" t="str">
        <f t="shared" si="24"/>
        <v>NA</v>
      </c>
      <c r="U219" s="328"/>
      <c r="V219" s="328"/>
    </row>
    <row r="220" spans="1:22" ht="60" x14ac:dyDescent="0.25">
      <c r="A220" s="343"/>
      <c r="B220" s="343"/>
      <c r="C220" s="333" t="str">
        <f>Final!E96</f>
        <v>h</v>
      </c>
      <c r="D220" s="336" t="str">
        <f>Final!F96</f>
        <v>Aplicación de criterios de flexibilidad, a la oferta académica, para garantizar la participación de los estudiantes en el diseño de su propio plan académico según sus intereses y que permita la adquisición de actitudes, conocimientos, capacidades y habilidades, con el apoyo de un tutor o asesor.</v>
      </c>
      <c r="E220" s="11" t="str">
        <f>Apreciación!A35</f>
        <v>Estudiantes</v>
      </c>
      <c r="F220" s="11" t="str">
        <f>Apreciación!E35</f>
        <v>Cuenta de 25. En mi programa académico existen cursos de interés para los estudiantes de otros programas académicos de la Facultad Tecnológica y de la Universidad Distrital Francisco José de Caldas.</v>
      </c>
      <c r="G220" s="205">
        <f>Apreciación!F35</f>
        <v>6.5868263473053898E-2</v>
      </c>
      <c r="H220" s="205">
        <f>Apreciación!G35</f>
        <v>0.11976047904191617</v>
      </c>
      <c r="I220" s="205">
        <f>Apreciación!H35</f>
        <v>0.26347305389221559</v>
      </c>
      <c r="J220" s="205">
        <f>Apreciación!I35</f>
        <v>0.28742514970059879</v>
      </c>
      <c r="K220" s="205">
        <f>Apreciación!J35</f>
        <v>0.17365269461077845</v>
      </c>
      <c r="L220" s="205">
        <f>Apreciación!K35</f>
        <v>8.9820359281437126E-2</v>
      </c>
      <c r="M220" s="18">
        <f t="shared" ref="M220:M230" si="25">(G220*$G$2)+(H220*$H$2)+(I220*$I$2)+(J220*$J$2)+(K220*$K$2)+(L220*$L$2)</f>
        <v>3.4721556886227547</v>
      </c>
      <c r="N220" s="324">
        <f>AVERAGE(M220:M227)</f>
        <v>3.5219311377245512</v>
      </c>
      <c r="O220" s="324">
        <f>(N220*$AE$5)+(N228*$AE$4)+(AVERAGE(N220:N229)*$AE$6)+(AVERAGE(N220:N229)*$AE$8)+(AVERAGE(N220:N229)*$AE$7)</f>
        <v>3.6921838267908629</v>
      </c>
      <c r="P220" s="325"/>
      <c r="Q220" s="325"/>
      <c r="R220" s="17" t="str">
        <f t="shared" si="14"/>
        <v>D</v>
      </c>
      <c r="S220" s="327" t="str">
        <f t="shared" si="24"/>
        <v>C</v>
      </c>
      <c r="T220" s="327" t="str">
        <f t="shared" si="24"/>
        <v>C</v>
      </c>
      <c r="U220" s="328"/>
      <c r="V220" s="328"/>
    </row>
    <row r="221" spans="1:22" ht="36" x14ac:dyDescent="0.25">
      <c r="A221" s="343"/>
      <c r="B221" s="343"/>
      <c r="C221" s="334"/>
      <c r="D221" s="337"/>
      <c r="E221" s="11" t="str">
        <f>Apreciación!A28</f>
        <v>Estudiantes</v>
      </c>
      <c r="F221" s="12" t="str">
        <f>Apreciación!E28</f>
        <v xml:space="preserve">Cuenta de 18. El plan de estudios me permite cursar espacios académicos electivos en diversas áreas. </v>
      </c>
      <c r="G221" s="203">
        <f>Apreciación!F28</f>
        <v>0.10179640718562874</v>
      </c>
      <c r="H221" s="203">
        <f>Apreciación!G28</f>
        <v>0.1437125748502994</v>
      </c>
      <c r="I221" s="203">
        <f>Apreciación!H28</f>
        <v>0.27544910179640719</v>
      </c>
      <c r="J221" s="203">
        <f>Apreciación!I28</f>
        <v>0.28742514970059879</v>
      </c>
      <c r="K221" s="203">
        <f>Apreciación!J28</f>
        <v>0.16167664670658682</v>
      </c>
      <c r="L221" s="203">
        <f>Apreciación!K28</f>
        <v>2.9940119760479042E-2</v>
      </c>
      <c r="M221" s="125">
        <f t="shared" si="25"/>
        <v>3.591317365269461</v>
      </c>
      <c r="N221" s="325"/>
      <c r="O221" s="325"/>
      <c r="P221" s="325"/>
      <c r="Q221" s="325"/>
      <c r="R221" s="17" t="str">
        <f t="shared" si="14"/>
        <v>C</v>
      </c>
      <c r="S221" s="328"/>
      <c r="T221" s="328"/>
      <c r="U221" s="328"/>
      <c r="V221" s="328"/>
    </row>
    <row r="222" spans="1:22" ht="24" x14ac:dyDescent="0.25">
      <c r="A222" s="343"/>
      <c r="B222" s="343"/>
      <c r="C222" s="334"/>
      <c r="D222" s="337"/>
      <c r="E222" s="11" t="str">
        <f>Apreciación!A29</f>
        <v>Estudiantes</v>
      </c>
      <c r="F222" s="12" t="str">
        <f>Apreciación!E29</f>
        <v>Cuenta de 19. El menú de asignaturas electivas despierta en mi interés profesional y personal.</v>
      </c>
      <c r="G222" s="203">
        <f>Apreciación!F29</f>
        <v>8.3832335329341312E-2</v>
      </c>
      <c r="H222" s="203">
        <f>Apreciación!G29</f>
        <v>0.1437125748502994</v>
      </c>
      <c r="I222" s="203">
        <f>Apreciación!H29</f>
        <v>0.26946107784431139</v>
      </c>
      <c r="J222" s="203">
        <f>Apreciación!I29</f>
        <v>0.28143712574850299</v>
      </c>
      <c r="K222" s="203">
        <f>Apreciación!J29</f>
        <v>0.18562874251497005</v>
      </c>
      <c r="L222" s="203">
        <f>Apreciación!K29</f>
        <v>3.5928143712574849E-2</v>
      </c>
      <c r="M222" s="125">
        <f t="shared" si="25"/>
        <v>3.6272455089820359</v>
      </c>
      <c r="N222" s="325"/>
      <c r="O222" s="325"/>
      <c r="P222" s="325"/>
      <c r="Q222" s="325"/>
      <c r="R222" s="17" t="str">
        <f t="shared" si="14"/>
        <v>C</v>
      </c>
      <c r="S222" s="328"/>
      <c r="T222" s="328"/>
      <c r="U222" s="328"/>
      <c r="V222" s="328"/>
    </row>
    <row r="223" spans="1:22" ht="24" x14ac:dyDescent="0.25">
      <c r="A223" s="343"/>
      <c r="B223" s="343"/>
      <c r="C223" s="334"/>
      <c r="D223" s="337"/>
      <c r="E223" s="11" t="str">
        <f>Apreciación!A32</f>
        <v>Estudiantes</v>
      </c>
      <c r="F223" s="12" t="str">
        <f>Apreciación!E32</f>
        <v>Cuenta de 22. Puedo inscribir espacios académicos en otros programas académicos.</v>
      </c>
      <c r="G223" s="203">
        <f>Apreciación!F32</f>
        <v>5.9880239520958084E-2</v>
      </c>
      <c r="H223" s="203">
        <f>Apreciación!G32</f>
        <v>5.9880239520958084E-2</v>
      </c>
      <c r="I223" s="203">
        <f>Apreciación!H32</f>
        <v>0.1497005988023952</v>
      </c>
      <c r="J223" s="203">
        <f>Apreciación!I32</f>
        <v>0.3712574850299401</v>
      </c>
      <c r="K223" s="203">
        <f>Apreciación!J32</f>
        <v>0.29940119760479039</v>
      </c>
      <c r="L223" s="203">
        <f>Apreciación!K32</f>
        <v>5.9880239520958084E-2</v>
      </c>
      <c r="M223" s="125">
        <f t="shared" si="25"/>
        <v>3.8137724550898202</v>
      </c>
      <c r="N223" s="325"/>
      <c r="O223" s="325"/>
      <c r="P223" s="325"/>
      <c r="Q223" s="325"/>
      <c r="R223" s="17" t="str">
        <f t="shared" si="14"/>
        <v>C</v>
      </c>
      <c r="S223" s="328"/>
      <c r="T223" s="328"/>
      <c r="U223" s="328"/>
      <c r="V223" s="328"/>
    </row>
    <row r="224" spans="1:22" ht="36" x14ac:dyDescent="0.25">
      <c r="A224" s="343"/>
      <c r="B224" s="343"/>
      <c r="C224" s="334"/>
      <c r="D224" s="337"/>
      <c r="E224" s="11" t="str">
        <f>Apreciación!A33</f>
        <v>Estudiantes</v>
      </c>
      <c r="F224" s="12" t="str">
        <f>Apreciación!E33</f>
        <v>Cuenta de 23. Puedo inscribir espacios académicos en otras Instituciones y homologarlas en mi programa académico.</v>
      </c>
      <c r="G224" s="203">
        <f>Apreciación!F33</f>
        <v>0.12574850299401197</v>
      </c>
      <c r="H224" s="203">
        <f>Apreciación!G33</f>
        <v>0.11976047904191617</v>
      </c>
      <c r="I224" s="203">
        <f>Apreciación!H33</f>
        <v>0.19760479041916168</v>
      </c>
      <c r="J224" s="203">
        <f>Apreciación!I33</f>
        <v>0.1377245508982036</v>
      </c>
      <c r="K224" s="203">
        <f>Apreciación!J33</f>
        <v>0.20359281437125748</v>
      </c>
      <c r="L224" s="203">
        <f>Apreciación!K33</f>
        <v>0.21556886227544911</v>
      </c>
      <c r="M224" s="125">
        <f t="shared" si="25"/>
        <v>2.8437125748502994</v>
      </c>
      <c r="N224" s="325"/>
      <c r="O224" s="325"/>
      <c r="P224" s="325"/>
      <c r="Q224" s="325"/>
      <c r="R224" s="17" t="str">
        <f t="shared" si="14"/>
        <v>D</v>
      </c>
      <c r="S224" s="328"/>
      <c r="T224" s="328"/>
      <c r="U224" s="328"/>
      <c r="V224" s="328"/>
    </row>
    <row r="225" spans="1:22" ht="36" x14ac:dyDescent="0.25">
      <c r="A225" s="343"/>
      <c r="B225" s="343"/>
      <c r="C225" s="334"/>
      <c r="D225" s="337"/>
      <c r="E225" s="11" t="str">
        <f>Apreciación!A34</f>
        <v>Estudiantes</v>
      </c>
      <c r="F225" s="12" t="str">
        <f>Apreciación!E34</f>
        <v xml:space="preserve">Cuenta de 24. En mi programa académico existen espacios académicos en donde se inscriben estudiantes de diferentes programas. </v>
      </c>
      <c r="G225" s="203">
        <f>Apreciación!F34</f>
        <v>0.10179640718562874</v>
      </c>
      <c r="H225" s="203">
        <f>Apreciación!G34</f>
        <v>3.5928143712574849E-2</v>
      </c>
      <c r="I225" s="203">
        <f>Apreciación!H34</f>
        <v>0.16766467065868262</v>
      </c>
      <c r="J225" s="203">
        <f>Apreciación!I34</f>
        <v>0.3592814371257485</v>
      </c>
      <c r="K225" s="203">
        <f>Apreciación!J34</f>
        <v>0.26347305389221559</v>
      </c>
      <c r="L225" s="203">
        <f>Apreciación!K34</f>
        <v>7.1856287425149698E-2</v>
      </c>
      <c r="M225" s="125">
        <f t="shared" si="25"/>
        <v>3.659880239520958</v>
      </c>
      <c r="N225" s="325"/>
      <c r="O225" s="325"/>
      <c r="P225" s="325"/>
      <c r="Q225" s="325"/>
      <c r="R225" s="17" t="str">
        <f t="shared" si="14"/>
        <v>C</v>
      </c>
      <c r="S225" s="328"/>
      <c r="T225" s="328"/>
      <c r="U225" s="328"/>
      <c r="V225" s="328"/>
    </row>
    <row r="226" spans="1:22" ht="60" x14ac:dyDescent="0.25">
      <c r="A226" s="343"/>
      <c r="B226" s="343"/>
      <c r="C226" s="334"/>
      <c r="D226" s="337"/>
      <c r="E226" s="11" t="str">
        <f>Apreciación!A35</f>
        <v>Estudiantes</v>
      </c>
      <c r="F226" s="12" t="str">
        <f>Apreciación!E35</f>
        <v>Cuenta de 25. En mi programa académico existen cursos de interés para los estudiantes de otros programas académicos de la Facultad Tecnológica y de la Universidad Distrital Francisco José de Caldas.</v>
      </c>
      <c r="G226" s="203">
        <f>Apreciación!F35</f>
        <v>6.5868263473053898E-2</v>
      </c>
      <c r="H226" s="203">
        <f>Apreciación!G35</f>
        <v>0.11976047904191617</v>
      </c>
      <c r="I226" s="203">
        <f>Apreciación!H35</f>
        <v>0.26347305389221559</v>
      </c>
      <c r="J226" s="203">
        <f>Apreciación!I35</f>
        <v>0.28742514970059879</v>
      </c>
      <c r="K226" s="203">
        <f>Apreciación!J35</f>
        <v>0.17365269461077845</v>
      </c>
      <c r="L226" s="203">
        <f>Apreciación!K35</f>
        <v>8.9820359281437126E-2</v>
      </c>
      <c r="M226" s="125">
        <f t="shared" si="25"/>
        <v>3.4721556886227547</v>
      </c>
      <c r="N226" s="325"/>
      <c r="O226" s="325"/>
      <c r="P226" s="325"/>
      <c r="Q226" s="325"/>
      <c r="R226" s="17" t="str">
        <f t="shared" si="14"/>
        <v>D</v>
      </c>
      <c r="S226" s="328"/>
      <c r="T226" s="328"/>
      <c r="U226" s="328"/>
      <c r="V226" s="328"/>
    </row>
    <row r="227" spans="1:22" ht="36" x14ac:dyDescent="0.25">
      <c r="A227" s="343"/>
      <c r="B227" s="343"/>
      <c r="C227" s="334"/>
      <c r="D227" s="338"/>
      <c r="E227" s="11" t="str">
        <f>Apreciación!A36</f>
        <v>Estudiantes</v>
      </c>
      <c r="F227" s="12" t="str">
        <f>Apreciación!E36</f>
        <v xml:space="preserve">Cuenta de 26. Mi programa académico incentiva las actividades y proyectos extra clase que los estudiantes realizan. </v>
      </c>
      <c r="G227" s="203">
        <f>Apreciación!F36</f>
        <v>8.3832335329341312E-2</v>
      </c>
      <c r="H227" s="203">
        <f>Apreciación!G36</f>
        <v>0.1317365269461078</v>
      </c>
      <c r="I227" s="203">
        <f>Apreciación!H36</f>
        <v>0.28143712574850299</v>
      </c>
      <c r="J227" s="203">
        <f>Apreciación!I36</f>
        <v>0.32934131736526945</v>
      </c>
      <c r="K227" s="203">
        <f>Apreciación!J36</f>
        <v>0.15568862275449102</v>
      </c>
      <c r="L227" s="203">
        <f>Apreciación!K36</f>
        <v>1.7964071856287425E-2</v>
      </c>
      <c r="M227" s="125">
        <f t="shared" si="25"/>
        <v>3.6952095808383234</v>
      </c>
      <c r="N227" s="326"/>
      <c r="O227" s="325"/>
      <c r="P227" s="325"/>
      <c r="Q227" s="325"/>
      <c r="R227" s="17" t="str">
        <f t="shared" si="14"/>
        <v>C</v>
      </c>
      <c r="S227" s="329"/>
      <c r="T227" s="328"/>
      <c r="U227" s="328"/>
      <c r="V227" s="328"/>
    </row>
    <row r="228" spans="1:22" ht="36" x14ac:dyDescent="0.25">
      <c r="A228" s="343"/>
      <c r="B228" s="343"/>
      <c r="C228" s="334"/>
      <c r="D228" s="337"/>
      <c r="E228" s="11" t="str">
        <f>Apreciación!A136</f>
        <v>Docentes</v>
      </c>
      <c r="F228" s="11" t="str">
        <f>Apreciación!E136</f>
        <v xml:space="preserve">Cuenta de 33. El plan de estudios del programa académico al cual pertenezco ofrece la suficiente variedad de espacios académicos electivos. </v>
      </c>
      <c r="G228" s="205">
        <f>Apreciación!F136</f>
        <v>3.7037037037037035E-2</v>
      </c>
      <c r="H228" s="205">
        <f>Apreciación!G136</f>
        <v>0</v>
      </c>
      <c r="I228" s="205">
        <f>Apreciación!H136</f>
        <v>0.14814814814814814</v>
      </c>
      <c r="J228" s="205">
        <f>Apreciación!I136</f>
        <v>0.51851851851851849</v>
      </c>
      <c r="K228" s="205">
        <f>Apreciación!J136</f>
        <v>0.25925925925925924</v>
      </c>
      <c r="L228" s="205">
        <f>Apreciación!K136</f>
        <v>3.7037037037037035E-2</v>
      </c>
      <c r="M228" s="85">
        <f t="shared" si="25"/>
        <v>4.0203703703703706</v>
      </c>
      <c r="N228" s="324">
        <f>AVERAGE(M228:M229)</f>
        <v>3.8314814814814815</v>
      </c>
      <c r="O228" s="325"/>
      <c r="P228" s="325"/>
      <c r="Q228" s="325"/>
      <c r="R228" s="17" t="str">
        <f t="shared" si="14"/>
        <v>B</v>
      </c>
      <c r="S228" s="327" t="str">
        <f>IF(((N228&gt;=$Z$4)*AND(N228&lt;=$AA$4)),$Y$4,IF(((N228&gt;$AA$4)*AND(N228&lt;=$AA$5)),$Y$5,IF(((N228&gt;$AA$5)*AND(N228&lt;=$AA$6)),$Y$6,IF(((N228&gt;$AA$6)*AND(N228&lt;=$AA$7)),$Y$7,IF(((N228&gt;$AA$7)*AND(N228&lt;=$AA$8)),$Y$8,IF(EXACT(N228,$Y$9),$Z$9))))))</f>
        <v>C</v>
      </c>
      <c r="T228" s="328"/>
      <c r="U228" s="328"/>
      <c r="V228" s="328"/>
    </row>
    <row r="229" spans="1:22" ht="48" x14ac:dyDescent="0.25">
      <c r="A229" s="343"/>
      <c r="B229" s="343"/>
      <c r="C229" s="334"/>
      <c r="D229" s="337"/>
      <c r="E229" s="11" t="str">
        <f>Apreciación!A138</f>
        <v>Docentes</v>
      </c>
      <c r="F229" s="11" t="str">
        <f>Apreciación!E138</f>
        <v>Cuenta de 35. Considero que el programa académico al cual pertenezco se preocupa por evolucionar hacia planes de estudios cada vez más flexibles.</v>
      </c>
      <c r="G229" s="205">
        <f>Apreciación!F138</f>
        <v>7.407407407407407E-2</v>
      </c>
      <c r="H229" s="205">
        <f>Apreciación!G138</f>
        <v>7.407407407407407E-2</v>
      </c>
      <c r="I229" s="205">
        <f>Apreciación!H138</f>
        <v>0.22222222222222221</v>
      </c>
      <c r="J229" s="205">
        <f>Apreciación!I138</f>
        <v>0.29629629629629628</v>
      </c>
      <c r="K229" s="205">
        <f>Apreciación!J138</f>
        <v>0.25925925925925924</v>
      </c>
      <c r="L229" s="205">
        <f>Apreciación!K138</f>
        <v>7.407407407407407E-2</v>
      </c>
      <c r="M229" s="85">
        <f t="shared" si="25"/>
        <v>3.6425925925925924</v>
      </c>
      <c r="N229" s="325"/>
      <c r="O229" s="325"/>
      <c r="P229" s="325"/>
      <c r="Q229" s="325"/>
      <c r="R229" s="17" t="str">
        <f t="shared" si="14"/>
        <v>C</v>
      </c>
      <c r="S229" s="328"/>
      <c r="T229" s="328"/>
      <c r="U229" s="328"/>
      <c r="V229" s="328"/>
    </row>
    <row r="230" spans="1:22" ht="36" customHeight="1" x14ac:dyDescent="0.25">
      <c r="A230" s="343"/>
      <c r="B230" s="343"/>
      <c r="C230" s="333" t="str">
        <f>Final!E97</f>
        <v>i</v>
      </c>
      <c r="D230" s="330" t="str">
        <f>Final!F97</f>
        <v>Aseguramiento del tránsito y continuidad de los estudiantes en el sistema educativo y su inserción en el sistema productivo, acorde al tipo y modalidad del proyecto curricular, a través de mecanismos establecidos en los convenios y en las relaciones de cooperación interinstitucional con el sector educativo y laboral.</v>
      </c>
      <c r="E230" s="73" t="str">
        <f>Apreciación!A142</f>
        <v>Docentes</v>
      </c>
      <c r="F230" s="133" t="str">
        <f>Apreciación!E142</f>
        <v>Cuenta de 39. Tengo claro qué es y para qué sirve el componente propedéutico en un programa de ingeniería por ciclos.</v>
      </c>
      <c r="G230" s="204">
        <f>Apreciación!F142</f>
        <v>3.7037037037037035E-2</v>
      </c>
      <c r="H230" s="204">
        <f>Apreciación!G142</f>
        <v>3.7037037037037035E-2</v>
      </c>
      <c r="I230" s="204">
        <f>Apreciación!H142</f>
        <v>7.407407407407407E-2</v>
      </c>
      <c r="J230" s="204">
        <f>Apreciación!I142</f>
        <v>0.22222222222222221</v>
      </c>
      <c r="K230" s="204">
        <f>Apreciación!J142</f>
        <v>0.62962962962962965</v>
      </c>
      <c r="L230" s="204">
        <f>Apreciación!K142</f>
        <v>0</v>
      </c>
      <c r="M230" s="18">
        <f t="shared" si="25"/>
        <v>4.3703703703703702</v>
      </c>
      <c r="N230" s="324">
        <f>AVERAGE(M230:M233)</f>
        <v>4.3291666666666666</v>
      </c>
      <c r="O230" s="324">
        <f>(N234*$AE$5)+(N230*$AE$4)+(N240*$AE$6)+(N239*$AE$8)+(AVERAGE(N230:N241)*$AE$7)</f>
        <v>4.2321033302827544</v>
      </c>
      <c r="P230" s="325"/>
      <c r="Q230" s="325"/>
      <c r="R230" s="17" t="str">
        <f t="shared" si="14"/>
        <v>B</v>
      </c>
      <c r="S230" s="327" t="str">
        <f>IF(((N230&gt;=$Z$4)*AND(N230&lt;=$AA$4)),$Y$4,IF(((N230&gt;$AA$4)*AND(N230&lt;=$AA$5)),$Y$5,IF(((N230&gt;$AA$5)*AND(N230&lt;=$AA$6)),$Y$6,IF(((N230&gt;$AA$6)*AND(N230&lt;=$AA$7)),$Y$7,IF(((N230&gt;$AA$7)*AND(N230&lt;=$AA$8)),$Y$8,IF(EXACT(N230,$Y$9),$Z$9))))))</f>
        <v>B</v>
      </c>
      <c r="T230" s="327" t="str">
        <f>IF(((O230&gt;=$Z$4)*AND(O230&lt;=$AA$4)),$Y$4,IF(((O230&gt;$AA$4)*AND(O230&lt;=$AA$5)),$Y$5,IF(((O230&gt;$AA$5)*AND(O230&lt;=$AA$6)),$Y$6,IF(((O230&gt;$AA$6)*AND(O230&lt;=$AA$7)),$Y$7,IF(((O230&gt;$AA$7)*AND(O230&lt;=$AA$8)),$Y$8,IF(EXACT(O230,$Y$9),$Z$9))))))</f>
        <v>B</v>
      </c>
      <c r="U230" s="328"/>
      <c r="V230" s="328"/>
    </row>
    <row r="231" spans="1:22" ht="36" x14ac:dyDescent="0.25">
      <c r="A231" s="343"/>
      <c r="B231" s="343"/>
      <c r="C231" s="334"/>
      <c r="D231" s="331"/>
      <c r="E231" s="73" t="str">
        <f>Apreciación!A143</f>
        <v>Docentes</v>
      </c>
      <c r="F231" s="133" t="str">
        <f>Apreciación!E143</f>
        <v>Cuenta de 40. Considero que ser tecnólogo brinda oportunidades para la vinculación en el mercado laboral.</v>
      </c>
      <c r="G231" s="204">
        <f>Apreciación!F143</f>
        <v>0</v>
      </c>
      <c r="H231" s="204">
        <f>Apreciación!G143</f>
        <v>0</v>
      </c>
      <c r="I231" s="204">
        <f>Apreciación!H143</f>
        <v>0</v>
      </c>
      <c r="J231" s="204">
        <f>Apreciación!I143</f>
        <v>0.18518518518518517</v>
      </c>
      <c r="K231" s="204">
        <f>Apreciación!J143</f>
        <v>0.77777777777777779</v>
      </c>
      <c r="L231" s="204">
        <f>Apreciación!K143</f>
        <v>3.7037037037037035E-2</v>
      </c>
      <c r="M231" s="85">
        <f t="shared" ref="M231:M241" si="26">(G231*$G$2)+(H231*$H$2)+(I231*$I$2)+(J231*$J$2)+(K231*$K$2)+(L231*$L$2)</f>
        <v>4.4722222222222223</v>
      </c>
      <c r="N231" s="325"/>
      <c r="O231" s="325"/>
      <c r="P231" s="325"/>
      <c r="Q231" s="325"/>
      <c r="R231" s="17" t="str">
        <f t="shared" si="14"/>
        <v>B</v>
      </c>
      <c r="S231" s="328"/>
      <c r="T231" s="328"/>
      <c r="U231" s="328"/>
      <c r="V231" s="328"/>
    </row>
    <row r="232" spans="1:22" ht="24" x14ac:dyDescent="0.25">
      <c r="A232" s="343"/>
      <c r="B232" s="343"/>
      <c r="C232" s="334"/>
      <c r="D232" s="331"/>
      <c r="E232" s="73" t="str">
        <f>Apreciación!A144</f>
        <v>Docentes</v>
      </c>
      <c r="F232" s="133" t="str">
        <f>Apreciación!E144</f>
        <v xml:space="preserve">Cuenta de 41. Considero que ser ingeniero mejora las condiciones laborales del tecnólogo. </v>
      </c>
      <c r="G232" s="204">
        <f>Apreciación!F144</f>
        <v>3.7037037037037035E-2</v>
      </c>
      <c r="H232" s="204">
        <f>Apreciación!G144</f>
        <v>0</v>
      </c>
      <c r="I232" s="204">
        <f>Apreciación!H144</f>
        <v>3.7037037037037035E-2</v>
      </c>
      <c r="J232" s="204">
        <f>Apreciación!I144</f>
        <v>0.25925925925925924</v>
      </c>
      <c r="K232" s="204">
        <f>Apreciación!J144</f>
        <v>0.62962962962962965</v>
      </c>
      <c r="L232" s="204">
        <f>Apreciación!K144</f>
        <v>3.7037037037037035E-2</v>
      </c>
      <c r="M232" s="151">
        <f t="shared" si="26"/>
        <v>4.2796296296296301</v>
      </c>
      <c r="N232" s="325"/>
      <c r="O232" s="325"/>
      <c r="P232" s="325"/>
      <c r="Q232" s="325"/>
      <c r="R232" s="17" t="str">
        <f t="shared" si="14"/>
        <v>B</v>
      </c>
      <c r="S232" s="328"/>
      <c r="T232" s="328"/>
      <c r="U232" s="328"/>
      <c r="V232" s="328"/>
    </row>
    <row r="233" spans="1:22" ht="36" x14ac:dyDescent="0.25">
      <c r="A233" s="343"/>
      <c r="B233" s="343"/>
      <c r="C233" s="334"/>
      <c r="D233" s="331"/>
      <c r="E233" s="73" t="str">
        <f>Apreciación!A145</f>
        <v>Docentes</v>
      </c>
      <c r="F233" s="133" t="str">
        <f>Apreciación!E145</f>
        <v xml:space="preserve">Cuenta de 42. Considero que el paso por el nivel de ingeniería  mejora las competencias que se han desarrollado en el nivel tecnológico. </v>
      </c>
      <c r="G233" s="204">
        <f>Apreciación!F145</f>
        <v>3.7037037037037035E-2</v>
      </c>
      <c r="H233" s="204">
        <f>Apreciación!G145</f>
        <v>3.7037037037037035E-2</v>
      </c>
      <c r="I233" s="204">
        <f>Apreciación!H145</f>
        <v>7.407407407407407E-2</v>
      </c>
      <c r="J233" s="204">
        <f>Apreciación!I145</f>
        <v>0.22222222222222221</v>
      </c>
      <c r="K233" s="204">
        <f>Apreciación!J145</f>
        <v>0.59259259259259256</v>
      </c>
      <c r="L233" s="204">
        <f>Apreciación!K145</f>
        <v>3.7037037037037035E-2</v>
      </c>
      <c r="M233" s="151">
        <f t="shared" si="26"/>
        <v>4.1944444444444446</v>
      </c>
      <c r="N233" s="326"/>
      <c r="O233" s="325"/>
      <c r="P233" s="325"/>
      <c r="Q233" s="325"/>
      <c r="R233" s="17" t="str">
        <f t="shared" si="14"/>
        <v>B</v>
      </c>
      <c r="S233" s="329"/>
      <c r="T233" s="328"/>
      <c r="U233" s="328"/>
      <c r="V233" s="328"/>
    </row>
    <row r="234" spans="1:22" ht="36" x14ac:dyDescent="0.25">
      <c r="A234" s="343"/>
      <c r="B234" s="343"/>
      <c r="C234" s="334"/>
      <c r="D234" s="331"/>
      <c r="E234" s="73" t="str">
        <f>Apreciación!A43</f>
        <v>Estudiantes</v>
      </c>
      <c r="F234" s="133" t="str">
        <f>Apreciación!E43</f>
        <v>Cuenta de 33. Tengo claro qué es y para qué sirve el componente propedéutico en un programa de ingeniería por ciclos.</v>
      </c>
      <c r="G234" s="204">
        <f>Apreciación!F43</f>
        <v>4.1916167664670656E-2</v>
      </c>
      <c r="H234" s="204">
        <f>Apreciación!G43</f>
        <v>5.3892215568862277E-2</v>
      </c>
      <c r="I234" s="204">
        <f>Apreciación!H43</f>
        <v>0.18562874251497005</v>
      </c>
      <c r="J234" s="204">
        <f>Apreciación!I43</f>
        <v>0.32335329341317365</v>
      </c>
      <c r="K234" s="204">
        <f>Apreciación!J43</f>
        <v>0.3592814371257485</v>
      </c>
      <c r="L234" s="204">
        <f>Apreciación!K43</f>
        <v>3.5928143712574849E-2</v>
      </c>
      <c r="M234" s="125">
        <f t="shared" si="26"/>
        <v>3.9817365269461082</v>
      </c>
      <c r="N234" s="324">
        <f>AVERAGE(M234:M238)</f>
        <v>4.2182035928143717</v>
      </c>
      <c r="O234" s="325"/>
      <c r="P234" s="325"/>
      <c r="Q234" s="325"/>
      <c r="R234" s="17" t="str">
        <f t="shared" si="14"/>
        <v>C</v>
      </c>
      <c r="S234" s="327" t="str">
        <f>IF(((N234&gt;=$Z$4)*AND(N234&lt;=$AA$4)),$Y$4,IF(((N234&gt;$AA$4)*AND(N234&lt;=$AA$5)),$Y$5,IF(((N234&gt;$AA$5)*AND(N234&lt;=$AA$6)),$Y$6,IF(((N234&gt;$AA$6)*AND(N234&lt;=$AA$7)),$Y$7,IF(((N234&gt;$AA$7)*AND(N234&lt;=$AA$8)),$Y$8,IF(EXACT(N234,$Y$9),$Z$9))))))</f>
        <v>B</v>
      </c>
      <c r="T234" s="328"/>
      <c r="U234" s="328"/>
      <c r="V234" s="328"/>
    </row>
    <row r="235" spans="1:22" ht="36" x14ac:dyDescent="0.25">
      <c r="A235" s="343"/>
      <c r="B235" s="343"/>
      <c r="C235" s="334"/>
      <c r="D235" s="331"/>
      <c r="E235" s="73" t="str">
        <f>Apreciación!A44</f>
        <v>Estudiantes</v>
      </c>
      <c r="F235" s="133" t="str">
        <f>Apreciación!E44</f>
        <v>Cuenta de 34. Considero que ser tecnólogo me brinda oportunidades para vincularme en el mercado laboral.</v>
      </c>
      <c r="G235" s="204">
        <f>Apreciación!F44</f>
        <v>5.9880239520958087E-3</v>
      </c>
      <c r="H235" s="204">
        <f>Apreciación!G44</f>
        <v>2.3952095808383235E-2</v>
      </c>
      <c r="I235" s="204">
        <f>Apreciación!H44</f>
        <v>8.9820359281437126E-2</v>
      </c>
      <c r="J235" s="204">
        <f>Apreciación!I44</f>
        <v>0.38922155688622756</v>
      </c>
      <c r="K235" s="204">
        <f>Apreciación!J44</f>
        <v>0.49101796407185627</v>
      </c>
      <c r="L235" s="204">
        <f>Apreciación!K44</f>
        <v>0</v>
      </c>
      <c r="M235" s="125">
        <f t="shared" si="26"/>
        <v>4.3802395209580842</v>
      </c>
      <c r="N235" s="325"/>
      <c r="O235" s="325"/>
      <c r="P235" s="325"/>
      <c r="Q235" s="325"/>
      <c r="R235" s="17" t="str">
        <f t="shared" si="14"/>
        <v>B</v>
      </c>
      <c r="S235" s="328"/>
      <c r="T235" s="328"/>
      <c r="U235" s="328"/>
      <c r="V235" s="328"/>
    </row>
    <row r="236" spans="1:22" ht="24" x14ac:dyDescent="0.25">
      <c r="A236" s="343"/>
      <c r="B236" s="343"/>
      <c r="C236" s="334"/>
      <c r="D236" s="331"/>
      <c r="E236" s="73" t="str">
        <f>Apreciación!A45</f>
        <v>Estudiantes</v>
      </c>
      <c r="F236" s="133" t="str">
        <f>Apreciación!E45</f>
        <v xml:space="preserve">Cuenta de 35. Ser ingeniero mejora las condiciones laborales del tecnólogo. </v>
      </c>
      <c r="G236" s="204">
        <f>Apreciación!F45</f>
        <v>5.9880239520958087E-3</v>
      </c>
      <c r="H236" s="204">
        <f>Apreciación!G45</f>
        <v>5.9880239520958087E-3</v>
      </c>
      <c r="I236" s="204">
        <f>Apreciación!H45</f>
        <v>0.10778443113772455</v>
      </c>
      <c r="J236" s="204">
        <f>Apreciación!I45</f>
        <v>0.24550898203592814</v>
      </c>
      <c r="K236" s="204">
        <f>Apreciación!J45</f>
        <v>0.6107784431137725</v>
      </c>
      <c r="L236" s="204">
        <f>Apreciación!K45</f>
        <v>2.3952095808383235E-2</v>
      </c>
      <c r="M236" s="125">
        <f t="shared" si="26"/>
        <v>4.3589820359281441</v>
      </c>
      <c r="N236" s="325"/>
      <c r="O236" s="325"/>
      <c r="P236" s="325"/>
      <c r="Q236" s="325"/>
      <c r="R236" s="17" t="str">
        <f t="shared" si="14"/>
        <v>B</v>
      </c>
      <c r="S236" s="328"/>
      <c r="T236" s="328"/>
      <c r="U236" s="328"/>
      <c r="V236" s="328"/>
    </row>
    <row r="237" spans="1:22" ht="36" x14ac:dyDescent="0.25">
      <c r="A237" s="343"/>
      <c r="B237" s="343"/>
      <c r="C237" s="334"/>
      <c r="D237" s="331"/>
      <c r="E237" s="73" t="str">
        <f>Apreciación!A46</f>
        <v>Estudiantes</v>
      </c>
      <c r="F237" s="133" t="str">
        <f>Apreciación!E46</f>
        <v xml:space="preserve">Cuenta de 36. Mi proyecto de vida me motiva o me motivó a continuar con mis estudios de ingeniería. </v>
      </c>
      <c r="G237" s="204">
        <f>Apreciación!F46</f>
        <v>5.9880239520958087E-3</v>
      </c>
      <c r="H237" s="204">
        <f>Apreciación!G46</f>
        <v>1.1976047904191617E-2</v>
      </c>
      <c r="I237" s="204">
        <f>Apreciación!H46</f>
        <v>5.9880239520958084E-2</v>
      </c>
      <c r="J237" s="204">
        <f>Apreciación!I46</f>
        <v>0.22754491017964071</v>
      </c>
      <c r="K237" s="204">
        <f>Apreciación!J46</f>
        <v>0.67664670658682635</v>
      </c>
      <c r="L237" s="204">
        <f>Apreciación!K46</f>
        <v>1.7964071856287425E-2</v>
      </c>
      <c r="M237" s="125">
        <f t="shared" si="26"/>
        <v>4.4368263473053897</v>
      </c>
      <c r="N237" s="325"/>
      <c r="O237" s="325"/>
      <c r="P237" s="325"/>
      <c r="Q237" s="325"/>
      <c r="R237" s="17" t="str">
        <f t="shared" si="14"/>
        <v>B</v>
      </c>
      <c r="S237" s="328"/>
      <c r="T237" s="328"/>
      <c r="U237" s="328"/>
      <c r="V237" s="328"/>
    </row>
    <row r="238" spans="1:22" ht="36" x14ac:dyDescent="0.25">
      <c r="A238" s="343"/>
      <c r="B238" s="343"/>
      <c r="C238" s="334"/>
      <c r="D238" s="331"/>
      <c r="E238" s="73" t="str">
        <f>Apreciación!A47</f>
        <v>Estudiantes</v>
      </c>
      <c r="F238" s="133" t="str">
        <f>Apreciación!E47</f>
        <v xml:space="preserve">Cuenta de 37. Considero o consideré atractivo la posibilidad de cursar una ingeniería en otra área del conocimiento. </v>
      </c>
      <c r="G238" s="204">
        <f>Apreciación!F47</f>
        <v>8.9820359281437126E-2</v>
      </c>
      <c r="H238" s="204">
        <f>Apreciación!G47</f>
        <v>8.3832335329341312E-2</v>
      </c>
      <c r="I238" s="204">
        <f>Apreciación!H47</f>
        <v>0.1497005988023952</v>
      </c>
      <c r="J238" s="204">
        <f>Apreciación!I47</f>
        <v>0.32335329341317365</v>
      </c>
      <c r="K238" s="204">
        <f>Apreciación!J47</f>
        <v>0.3413173652694611</v>
      </c>
      <c r="L238" s="204">
        <f>Apreciación!K47</f>
        <v>1.1976047904191617E-2</v>
      </c>
      <c r="M238" s="125">
        <f t="shared" si="26"/>
        <v>3.9332335329341319</v>
      </c>
      <c r="N238" s="326"/>
      <c r="O238" s="325"/>
      <c r="P238" s="325"/>
      <c r="Q238" s="325"/>
      <c r="R238" s="17" t="str">
        <f t="shared" si="14"/>
        <v>C</v>
      </c>
      <c r="S238" s="329"/>
      <c r="T238" s="328"/>
      <c r="U238" s="328"/>
      <c r="V238" s="328"/>
    </row>
    <row r="239" spans="1:22" ht="36" x14ac:dyDescent="0.25">
      <c r="A239" s="343"/>
      <c r="B239" s="343"/>
      <c r="C239" s="334"/>
      <c r="D239" s="331"/>
      <c r="E239" s="73" t="str">
        <f>Apreciación!A226</f>
        <v>Administrativos</v>
      </c>
      <c r="F239" s="133" t="str">
        <f>Apreciación!E226</f>
        <v>Cuenta de 7. Tengo claro qué es y para qué sirve el componente propedéutico en un programa de ingeniería por ciclos.</v>
      </c>
      <c r="G239" s="204">
        <f>Apreciación!F226</f>
        <v>6.1403508771929821E-2</v>
      </c>
      <c r="H239" s="204">
        <f>Apreciación!G226</f>
        <v>3.5087719298245612E-2</v>
      </c>
      <c r="I239" s="204">
        <f>Apreciación!H226</f>
        <v>0.14035087719298245</v>
      </c>
      <c r="J239" s="204">
        <f>Apreciación!I226</f>
        <v>0.2982456140350877</v>
      </c>
      <c r="K239" s="204">
        <f>Apreciación!J226</f>
        <v>0.34210526315789475</v>
      </c>
      <c r="L239" s="204">
        <f>Apreciación!K226</f>
        <v>0.12280701754385964</v>
      </c>
      <c r="M239" s="156">
        <f t="shared" si="26"/>
        <v>3.6048245614035084</v>
      </c>
      <c r="N239" s="154">
        <f>AVERAGE(M239)</f>
        <v>3.6048245614035084</v>
      </c>
      <c r="O239" s="325"/>
      <c r="P239" s="325"/>
      <c r="Q239" s="325"/>
      <c r="R239" s="17" t="str">
        <f t="shared" si="14"/>
        <v>C</v>
      </c>
      <c r="S239" s="155" t="str">
        <f>IF(((N239&gt;=$Z$4)*AND(N239&lt;=$AA$4)),$Y$4,IF(((N239&gt;$AA$4)*AND(N239&lt;=$AA$5)),$Y$5,IF(((N239&gt;$AA$5)*AND(N239&lt;=$AA$6)),$Y$6,IF(((N239&gt;$AA$6)*AND(N239&lt;=$AA$7)),$Y$7,IF(((N239&gt;$AA$7)*AND(N239&lt;=$AA$8)),$Y$8,IF(EXACT(N239,$Y$9),$Z$9))))))</f>
        <v>C</v>
      </c>
      <c r="T239" s="328"/>
      <c r="U239" s="328"/>
      <c r="V239" s="328"/>
    </row>
    <row r="240" spans="1:22" ht="48" x14ac:dyDescent="0.25">
      <c r="A240" s="343"/>
      <c r="B240" s="343"/>
      <c r="C240" s="334"/>
      <c r="D240" s="331"/>
      <c r="E240" s="6" t="str">
        <f>Apreciación!A211</f>
        <v>Egresados</v>
      </c>
      <c r="F240" s="180" t="str">
        <f>Apreciación!E211</f>
        <v>Cuenta de 11.1. Mi paso por la Facultad Tecnológica de la Universidad Distrital me ayudó a: APROPIARME DE MÉTODOS PARA EL APRENDIZAJE AUTÓNOMO.</v>
      </c>
      <c r="G240" s="204">
        <f>Apreciación!F211</f>
        <v>0</v>
      </c>
      <c r="H240" s="204">
        <f>Apreciación!G211</f>
        <v>5.128205128205128E-2</v>
      </c>
      <c r="I240" s="204">
        <f>Apreciación!H211</f>
        <v>8.9743589743589744E-2</v>
      </c>
      <c r="J240" s="204">
        <f>Apreciación!I211</f>
        <v>0.51282051282051277</v>
      </c>
      <c r="K240" s="204">
        <f>Apreciación!J211</f>
        <v>0.34615384615384615</v>
      </c>
      <c r="L240" s="204">
        <f>Apreciación!K211</f>
        <v>0</v>
      </c>
      <c r="M240" s="156">
        <f t="shared" si="26"/>
        <v>4.2814102564102559</v>
      </c>
      <c r="N240" s="324">
        <f>AVERAGE(M240:M241)</f>
        <v>4.2910256410256409</v>
      </c>
      <c r="O240" s="325"/>
      <c r="P240" s="325"/>
      <c r="Q240" s="325"/>
      <c r="R240" s="17" t="str">
        <f>IF(((M240&gt;=$Z$4)*AND(M240&lt;=$AA$4)),$Y$4,IF(((M240&gt;$AA$4)*AND(M240&lt;=$AA$5)),$Y$5,IF(((M240&gt;$AA$5)*AND(M240&lt;=$AA$6)),$Y$6,IF(((M240&gt;$AA$6)*AND(M240&lt;=$AA$7)),$Y$7,IF(((M240&gt;$AA$7)*AND(M240&lt;=$AA$8)),$Y$8,IF(EXACT(M240,$Y$9),$Z$9))))))</f>
        <v>B</v>
      </c>
      <c r="S240" s="327" t="str">
        <f>IF(((N240&gt;=$Z$4)*AND(N240&lt;=$AA$4)),$Y$4,IF(((N240&gt;$AA$4)*AND(N240&lt;=$AA$5)),$Y$5,IF(((N240&gt;$AA$5)*AND(N240&lt;=$AA$6)),$Y$6,IF(((N240&gt;$AA$6)*AND(N240&lt;=$AA$7)),$Y$7,IF(((N240&gt;$AA$7)*AND(N240&lt;=$AA$8)),$Y$8,IF(EXACT(N240,$Y$9),$Z$9))))))</f>
        <v>B</v>
      </c>
      <c r="T240" s="328"/>
      <c r="U240" s="328"/>
      <c r="V240" s="328"/>
    </row>
    <row r="241" spans="1:22" ht="48" x14ac:dyDescent="0.25">
      <c r="A241" s="343"/>
      <c r="B241" s="343"/>
      <c r="C241" s="335"/>
      <c r="D241" s="332"/>
      <c r="E241" s="6" t="str">
        <f>Apreciación!A212</f>
        <v>Egresados</v>
      </c>
      <c r="F241" s="180" t="str">
        <f>Apreciación!E212</f>
        <v>Cuenta de 11.2. Mi paso por la Facultad Tecnológica de la Universidad Distrital me ayudó a: DESARROLLAR CAPACIDADES PARA LA SOLUCIÓN DE PROBLEMAS</v>
      </c>
      <c r="G241" s="204">
        <f>Apreciación!F212</f>
        <v>2.564102564102564E-2</v>
      </c>
      <c r="H241" s="204">
        <f>Apreciación!G212</f>
        <v>1.282051282051282E-2</v>
      </c>
      <c r="I241" s="204">
        <f>Apreciación!H212</f>
        <v>8.9743589743589744E-2</v>
      </c>
      <c r="J241" s="204">
        <f>Apreciación!I212</f>
        <v>0.46153846153846156</v>
      </c>
      <c r="K241" s="204">
        <f>Apreciación!J212</f>
        <v>0.41025641025641024</v>
      </c>
      <c r="L241" s="204">
        <f>Apreciación!K212</f>
        <v>0</v>
      </c>
      <c r="M241" s="157">
        <f t="shared" si="26"/>
        <v>4.3006410256410259</v>
      </c>
      <c r="N241" s="326"/>
      <c r="O241" s="326"/>
      <c r="P241" s="325"/>
      <c r="Q241" s="325"/>
      <c r="R241" s="17" t="str">
        <f>IF(((M241&gt;=$Z$4)*AND(M241&lt;=$AA$4)),$Y$4,IF(((M241&gt;$AA$4)*AND(M241&lt;=$AA$5)),$Y$5,IF(((M241&gt;$AA$5)*AND(M241&lt;=$AA$6)),$Y$6,IF(((M241&gt;$AA$6)*AND(M241&lt;=$AA$7)),$Y$7,IF(((M241&gt;$AA$7)*AND(M241&lt;=$AA$8)),$Y$8,IF(EXACT(M241,$Y$9),$Z$9))))))</f>
        <v>B</v>
      </c>
      <c r="S241" s="329"/>
      <c r="T241" s="329"/>
      <c r="U241" s="328"/>
      <c r="V241" s="328"/>
    </row>
    <row r="242" spans="1:22" ht="96" x14ac:dyDescent="0.25">
      <c r="A242" s="343"/>
      <c r="B242" s="344"/>
      <c r="C242" s="58" t="str">
        <f>Final!E98</f>
        <v>j</v>
      </c>
      <c r="D242" s="59" t="str">
        <f>Final!F98</f>
        <v>Acciones llevadas a cabo entre la Institución y otras instituciones del sector público o privado (educativo, productivo, financiero, entre otros) para articular y afirmar el carácter secuencial y complementario de los niveles de formación, desde el punto de vista académico y laboral, de acuerdo con el tipo y modalidad del proyecto curricular.</v>
      </c>
      <c r="E242" s="61" t="s">
        <v>64</v>
      </c>
      <c r="F242" s="61" t="s">
        <v>64</v>
      </c>
      <c r="G242" s="204" t="s">
        <v>64</v>
      </c>
      <c r="H242" s="204" t="s">
        <v>64</v>
      </c>
      <c r="I242" s="204" t="s">
        <v>64</v>
      </c>
      <c r="J242" s="204" t="s">
        <v>64</v>
      </c>
      <c r="K242" s="204" t="s">
        <v>64</v>
      </c>
      <c r="L242" s="204" t="s">
        <v>64</v>
      </c>
      <c r="M242" s="85" t="s">
        <v>64</v>
      </c>
      <c r="N242" s="85" t="s">
        <v>64</v>
      </c>
      <c r="O242" s="85" t="s">
        <v>64</v>
      </c>
      <c r="P242" s="326"/>
      <c r="Q242" s="325"/>
      <c r="R242" s="17" t="str">
        <f t="shared" si="14"/>
        <v>NA</v>
      </c>
      <c r="S242" s="17" t="str">
        <f>IF(((N242&gt;=$Z$4)*AND(N242&lt;=$AA$4)),$Y$4,IF(((N242&gt;$AA$4)*AND(N242&lt;=$AA$5)),$Y$5,IF(((N242&gt;$AA$5)*AND(N242&lt;=$AA$6)),$Y$6,IF(((N242&gt;$AA$6)*AND(N242&lt;=$AA$7)),$Y$7,IF(((N242&gt;$AA$7)*AND(N242&lt;=$AA$8)),$Y$8,IF(EXACT(N242,$Y$9),$Z$9))))))</f>
        <v>NA</v>
      </c>
      <c r="T242" s="17" t="str">
        <f>IF(((O242&gt;=$Z$4)*AND(O242&lt;=$AA$4)),$Y$4,IF(((O242&gt;$AA$4)*AND(O242&lt;=$AA$5)),$Y$5,IF(((O242&gt;$AA$5)*AND(O242&lt;=$AA$6)),$Y$6,IF(((O242&gt;$AA$6)*AND(O242&lt;=$AA$7)),$Y$7,IF(((O242&gt;$AA$7)*AND(O242&lt;=$AA$8)),$Y$8,IF(EXACT(O242,$Y$9),$Z$9))))))</f>
        <v>NA</v>
      </c>
      <c r="U242" s="329"/>
      <c r="V242" s="328"/>
    </row>
    <row r="243" spans="1:22" ht="36" x14ac:dyDescent="0.25">
      <c r="A243" s="343"/>
      <c r="B243" s="342">
        <v>18</v>
      </c>
      <c r="C243" s="333" t="str">
        <f>Final!E99</f>
        <v>a</v>
      </c>
      <c r="D243" s="330" t="str">
        <f>Final!F99</f>
        <v>Existencia de espacios y actividades resultantes de los espacios curriculares y extracurriculares que tienen un carácter explícitamente interdisciplinario.</v>
      </c>
      <c r="E243" s="11" t="str">
        <f>Apreciación!A30</f>
        <v>Estudiantes</v>
      </c>
      <c r="F243" s="11" t="str">
        <f>Apreciación!E30</f>
        <v>Cuenta de 20. En mi programa académico existe proyectos de investigación con participación de personas de distintas áreas del conocimiento.</v>
      </c>
      <c r="G243" s="205">
        <f>Apreciación!F30</f>
        <v>4.790419161676647E-2</v>
      </c>
      <c r="H243" s="205">
        <f>Apreciación!G30</f>
        <v>0.11377245508982035</v>
      </c>
      <c r="I243" s="205">
        <f>Apreciación!H30</f>
        <v>0.23952095808383234</v>
      </c>
      <c r="J243" s="205">
        <f>Apreciación!I30</f>
        <v>0.29341317365269459</v>
      </c>
      <c r="K243" s="205">
        <f>Apreciación!J30</f>
        <v>0.16167664670658682</v>
      </c>
      <c r="L243" s="205">
        <f>Apreciación!K30</f>
        <v>0.1437125748502994</v>
      </c>
      <c r="M243" s="18">
        <f>(G243*$G$2)+(H243*$H$2)+(I243*$I$2)+(J243*$J$2)+(K243*$K$2)+(L243*$L$2)</f>
        <v>3.3035928143712576</v>
      </c>
      <c r="N243" s="324">
        <f>AVERAGE(M243:M244)</f>
        <v>3.080239520958084</v>
      </c>
      <c r="O243" s="324">
        <f>(N243*$AE$5)+(N245*$AE$4)+(AVERAGE(N243:N245)*$AE$6)+(AVERAGE(N243:N245)*$AE$8)+(AVERAGE(N243:N245)*$AE$7)</f>
        <v>3.437404080727434</v>
      </c>
      <c r="P243" s="324">
        <f>AVERAGE(O243:O251)</f>
        <v>3.5064712242182301</v>
      </c>
      <c r="Q243" s="325"/>
      <c r="R243" s="17" t="str">
        <f t="shared" si="14"/>
        <v>D</v>
      </c>
      <c r="S243" s="327" t="str">
        <f>IF(((N243&gt;=$Z$4)*AND(N243&lt;=$AA$4)),$Y$4,IF(((N243&gt;$AA$4)*AND(N243&lt;=$AA$5)),$Y$5,IF(((N243&gt;$AA$5)*AND(N243&lt;=$AA$6)),$Y$6,IF(((N243&gt;$AA$6)*AND(N243&lt;=$AA$7)),$Y$7,IF(((N243&gt;$AA$7)*AND(N243&lt;=$AA$8)),$Y$8,IF(EXACT(N243,$Y$9),$Z$9))))))</f>
        <v>D</v>
      </c>
      <c r="T243" s="327" t="str">
        <f>IF(((O243&gt;=$Z$4)*AND(O243&lt;=$AA$4)),$Y$4,IF(((O243&gt;$AA$4)*AND(O243&lt;=$AA$5)),$Y$5,IF(((O243&gt;$AA$5)*AND(O243&lt;=$AA$6)),$Y$6,IF(((O243&gt;$AA$6)*AND(O243&lt;=$AA$7)),$Y$7,IF(((O243&gt;$AA$7)*AND(O243&lt;=$AA$8)),$Y$8,IF(EXACT(O243,$Y$9),$Z$9))))))</f>
        <v>D</v>
      </c>
      <c r="U243" s="327" t="str">
        <f>IF(((P243&gt;=$Z$4)*AND(P243&lt;=$AA$4)),$Y$4,IF(((P243&gt;$AA$4)*AND(P243&lt;=$AA$5)),$Y$5,IF(((P243&gt;$AA$5)*AND(P243&lt;=$AA$6)),$Y$6,IF(((P243&gt;$AA$6)*AND(P243&lt;=$AA$7)),$Y$7,IF(((P243&gt;$AA$7)*AND(P243&lt;=$AA$8)),$Y$8,IF(EXACT(P243,$Y$9),$Z$9))))))</f>
        <v>C</v>
      </c>
      <c r="V243" s="328"/>
    </row>
    <row r="244" spans="1:22" ht="36" x14ac:dyDescent="0.25">
      <c r="A244" s="343"/>
      <c r="B244" s="343"/>
      <c r="C244" s="334"/>
      <c r="D244" s="331"/>
      <c r="E244" s="11" t="str">
        <f>Apreciación!A31</f>
        <v>Estudiantes</v>
      </c>
      <c r="F244" s="11" t="str">
        <f>Apreciación!E31</f>
        <v>Cuenta de 21. Los proyectos de grado pueden realizarse con intervención de estudiantes de diferentes programas académicos.</v>
      </c>
      <c r="G244" s="205">
        <f>Apreciación!F31</f>
        <v>5.9880239520958084E-2</v>
      </c>
      <c r="H244" s="205">
        <f>Apreciación!G31</f>
        <v>0.10179640718562874</v>
      </c>
      <c r="I244" s="205">
        <f>Apreciación!H31</f>
        <v>0.22155688622754491</v>
      </c>
      <c r="J244" s="205">
        <f>Apreciación!I31</f>
        <v>0.23353293413173654</v>
      </c>
      <c r="K244" s="205">
        <f>Apreciación!J31</f>
        <v>0.1377245508982036</v>
      </c>
      <c r="L244" s="205">
        <f>Apreciación!K31</f>
        <v>0.24550898203592814</v>
      </c>
      <c r="M244" s="87">
        <f>(G244*$G$2)+(H244*$H$2)+(I244*$I$2)+(J244*$J$2)+(K244*$K$2)+(L244*$L$2)</f>
        <v>2.8568862275449103</v>
      </c>
      <c r="N244" s="326"/>
      <c r="O244" s="325"/>
      <c r="P244" s="325"/>
      <c r="Q244" s="325"/>
      <c r="R244" s="17" t="str">
        <f t="shared" ref="R244:R252" si="27">IF(((M244&gt;=$Z$4)*AND(M244&lt;=$AA$4)),$Y$4,IF(((M244&gt;$AA$4)*AND(M244&lt;=$AA$5)),$Y$5,IF(((M244&gt;$AA$5)*AND(M244&lt;=$AA$6)),$Y$6,IF(((M244&gt;$AA$6)*AND(M244&lt;=$AA$7)),$Y$7,IF(((M244&gt;$AA$7)*AND(M244&lt;=$AA$8)),$Y$8,IF(EXACT(M244,$Y$9),$Z$9))))))</f>
        <v>D</v>
      </c>
      <c r="S244" s="329"/>
      <c r="T244" s="328"/>
      <c r="U244" s="328"/>
      <c r="V244" s="328"/>
    </row>
    <row r="245" spans="1:22" ht="36" customHeight="1" x14ac:dyDescent="0.25">
      <c r="A245" s="343"/>
      <c r="B245" s="343"/>
      <c r="C245" s="334"/>
      <c r="D245" s="331"/>
      <c r="E245" s="11" t="str">
        <f>Apreciación!A134</f>
        <v>Docentes</v>
      </c>
      <c r="F245" s="11" t="str">
        <f>Apreciación!E134</f>
        <v>Cuenta de 31. El programa académico al cual pertenezco incentiva el desarrollo de proyectos de investigación con participación interdisciplinaria.</v>
      </c>
      <c r="G245" s="205">
        <f>Apreciación!F134</f>
        <v>0.14814814814814814</v>
      </c>
      <c r="H245" s="205">
        <f>Apreciación!G134</f>
        <v>7.407407407407407E-2</v>
      </c>
      <c r="I245" s="205">
        <f>Apreciación!H134</f>
        <v>0.25925925925925924</v>
      </c>
      <c r="J245" s="205">
        <f>Apreciación!I134</f>
        <v>0.29629629629629628</v>
      </c>
      <c r="K245" s="205">
        <f>Apreciación!J134</f>
        <v>0.22222222222222221</v>
      </c>
      <c r="L245" s="205">
        <f>Apreciación!K134</f>
        <v>0</v>
      </c>
      <c r="M245" s="87">
        <f>(G245*$G$2)+(H245*$H$2)+(I245*$I$2)+(J245*$J$2)+(K245*$K$2)+(L245*$L$2)</f>
        <v>3.7296296296296294</v>
      </c>
      <c r="N245" s="148">
        <f>AVERAGE(M245:M245)</f>
        <v>3.7296296296296294</v>
      </c>
      <c r="O245" s="325"/>
      <c r="P245" s="325"/>
      <c r="Q245" s="325"/>
      <c r="R245" s="17" t="str">
        <f t="shared" si="27"/>
        <v>C</v>
      </c>
      <c r="S245" s="147" t="str">
        <f>IF(((N245&gt;=$Z$4)*AND(N245&lt;=$AA$4)),$Y$4,IF(((N245&gt;$AA$4)*AND(N245&lt;=$AA$5)),$Y$5,IF(((N245&gt;$AA$5)*AND(N245&lt;=$AA$6)),$Y$6,IF(((N245&gt;$AA$6)*AND(N245&lt;=$AA$7)),$Y$7,IF(((N245&gt;$AA$7)*AND(N245&lt;=$AA$8)),$Y$8,IF(EXACT(N245,$Y$9),$Z$9))))))</f>
        <v>C</v>
      </c>
      <c r="T245" s="328"/>
      <c r="U245" s="328"/>
      <c r="V245" s="328"/>
    </row>
    <row r="246" spans="1:22" ht="60" x14ac:dyDescent="0.25">
      <c r="A246" s="343"/>
      <c r="B246" s="343"/>
      <c r="C246" s="58" t="str">
        <f>Final!E100</f>
        <v>b</v>
      </c>
      <c r="D246" s="59" t="str">
        <f>Final!F100</f>
        <v>Existencia mecanismos y estrategias explícitamente interdisciplinares que se asumen en el proyecto curricular para establecer formas de vincular conocimientos, relacionar conceptos y métodos de trabajo.</v>
      </c>
      <c r="E246" s="61" t="s">
        <v>64</v>
      </c>
      <c r="F246" s="61" t="s">
        <v>64</v>
      </c>
      <c r="G246" s="204" t="s">
        <v>64</v>
      </c>
      <c r="H246" s="204" t="s">
        <v>64</v>
      </c>
      <c r="I246" s="204" t="s">
        <v>64</v>
      </c>
      <c r="J246" s="204" t="s">
        <v>64</v>
      </c>
      <c r="K246" s="204" t="s">
        <v>64</v>
      </c>
      <c r="L246" s="204" t="s">
        <v>64</v>
      </c>
      <c r="M246" s="87" t="s">
        <v>64</v>
      </c>
      <c r="N246" s="87" t="s">
        <v>64</v>
      </c>
      <c r="O246" s="87" t="s">
        <v>64</v>
      </c>
      <c r="P246" s="325"/>
      <c r="Q246" s="325"/>
      <c r="R246" s="17" t="str">
        <f t="shared" si="27"/>
        <v>NA</v>
      </c>
      <c r="S246" s="17" t="str">
        <f>IF(((N246&gt;=$Z$4)*AND(N246&lt;=$AA$4)),$Y$4,IF(((N246&gt;$AA$4)*AND(N246&lt;=$AA$5)),$Y$5,IF(((N246&gt;$AA$5)*AND(N246&lt;=$AA$6)),$Y$6,IF(((N246&gt;$AA$6)*AND(N246&lt;=$AA$7)),$Y$7,IF(((N246&gt;$AA$7)*AND(N246&lt;=$AA$8)),$Y$8,IF(EXACT(N246,$Y$9),$Z$9))))))</f>
        <v>NA</v>
      </c>
      <c r="T246" s="17" t="str">
        <f>IF(((O246&gt;=$Z$4)*AND(O246&lt;=$AA$4)),$Y$4,IF(((O246&gt;$AA$4)*AND(O246&lt;=$AA$5)),$Y$5,IF(((O246&gt;$AA$5)*AND(O246&lt;=$AA$6)),$Y$6,IF(((O246&gt;$AA$6)*AND(O246&lt;=$AA$7)),$Y$7,IF(((O246&gt;$AA$7)*AND(O246&lt;=$AA$8)),$Y$8,IF(EXACT(O246,$Y$9),$Z$9))))))</f>
        <v>NA</v>
      </c>
      <c r="U246" s="328"/>
      <c r="V246" s="328"/>
    </row>
    <row r="247" spans="1:22" ht="36" customHeight="1" x14ac:dyDescent="0.25">
      <c r="A247" s="343"/>
      <c r="B247" s="343"/>
      <c r="C247" s="333" t="str">
        <f>Final!E101</f>
        <v>c</v>
      </c>
      <c r="D247" s="330" t="str">
        <f>Final!F101</f>
        <v>Apreciación de profesores y estudiantes sobre la pertinencia y eficacia de la interdisciplinariedad
del proyecto curricular en el enriquecimiento de la calidad del mismo.</v>
      </c>
      <c r="E247" s="11" t="str">
        <f>Apreciación!A30</f>
        <v>Estudiantes</v>
      </c>
      <c r="F247" s="12" t="str">
        <f>Apreciación!E30</f>
        <v>Cuenta de 20. En mi programa académico existe proyectos de investigación con participación de personas de distintas áreas del conocimiento.</v>
      </c>
      <c r="G247" s="203">
        <f>Apreciación!F30</f>
        <v>4.790419161676647E-2</v>
      </c>
      <c r="H247" s="203">
        <f>Apreciación!G30</f>
        <v>0.11377245508982035</v>
      </c>
      <c r="I247" s="203">
        <f>Apreciación!H30</f>
        <v>0.23952095808383234</v>
      </c>
      <c r="J247" s="203">
        <f>Apreciación!I30</f>
        <v>0.29341317365269459</v>
      </c>
      <c r="K247" s="203">
        <f>Apreciación!J30</f>
        <v>0.16167664670658682</v>
      </c>
      <c r="L247" s="203">
        <f>Apreciación!K30</f>
        <v>0.1437125748502994</v>
      </c>
      <c r="M247" s="18">
        <f t="shared" ref="M247:M252" si="28">(G247*$G$2)+(H247*$H$2)+(I247*$I$2)+(J247*$J$2)+(K247*$K$2)+(L247*$L$2)</f>
        <v>3.3035928143712576</v>
      </c>
      <c r="N247" s="324">
        <f>AVERAGE(M247:M249)</f>
        <v>3.3645708582834337</v>
      </c>
      <c r="O247" s="324">
        <f>(N247*$AE$5)+(N250*$AE$4)+(AVERAGE(N247:N251)*$AE$6)+(AVERAGE(N247:N251)*$AE$8)+(AVERAGE(N247:N251)*$AE$7)</f>
        <v>3.5755383677090267</v>
      </c>
      <c r="P247" s="325"/>
      <c r="Q247" s="325"/>
      <c r="R247" s="17" t="str">
        <f t="shared" si="27"/>
        <v>D</v>
      </c>
      <c r="S247" s="327" t="str">
        <f>IF(((N247&gt;=$Z$4)*AND(N247&lt;=$AA$4)),$Y$4,IF(((N247&gt;$AA$4)*AND(N247&lt;=$AA$5)),$Y$5,IF(((N247&gt;$AA$5)*AND(N247&lt;=$AA$6)),$Y$6,IF(((N247&gt;$AA$6)*AND(N247&lt;=$AA$7)),$Y$7,IF(((N247&gt;$AA$7)*AND(N247&lt;=$AA$8)),$Y$8,IF(EXACT(N247,$Y$9),$Z$9))))))</f>
        <v>D</v>
      </c>
      <c r="T247" s="327" t="str">
        <f>IF(((O247&gt;=$Z$4)*AND(O247&lt;=$AA$4)),$Y$4,IF(((O247&gt;$AA$4)*AND(O247&lt;=$AA$5)),$Y$5,IF(((O247&gt;$AA$5)*AND(O247&lt;=$AA$6)),$Y$6,IF(((O247&gt;$AA$6)*AND(O247&lt;=$AA$7)),$Y$7,IF(((O247&gt;$AA$7)*AND(O247&lt;=$AA$8)),$Y$8,IF(EXACT(O247,$Y$9),$Z$9))))))</f>
        <v>C</v>
      </c>
      <c r="U247" s="328"/>
      <c r="V247" s="328"/>
    </row>
    <row r="248" spans="1:22" ht="36" x14ac:dyDescent="0.25">
      <c r="A248" s="343"/>
      <c r="B248" s="343"/>
      <c r="C248" s="334"/>
      <c r="D248" s="331"/>
      <c r="E248" s="11" t="str">
        <f>Apreciación!A31</f>
        <v>Estudiantes</v>
      </c>
      <c r="F248" s="12" t="str">
        <f>Apreciación!E31</f>
        <v>Cuenta de 21. Los proyectos de grado pueden realizarse con intervención de estudiantes de diferentes programas académicos.</v>
      </c>
      <c r="G248" s="203">
        <f>Apreciación!F31</f>
        <v>5.9880239520958084E-2</v>
      </c>
      <c r="H248" s="203">
        <f>Apreciación!G31</f>
        <v>0.10179640718562874</v>
      </c>
      <c r="I248" s="203">
        <f>Apreciación!H31</f>
        <v>0.22155688622754491</v>
      </c>
      <c r="J248" s="203">
        <f>Apreciación!I31</f>
        <v>0.23353293413173654</v>
      </c>
      <c r="K248" s="203">
        <f>Apreciación!J31</f>
        <v>0.1377245508982036</v>
      </c>
      <c r="L248" s="203">
        <f>Apreciación!K31</f>
        <v>0.24550898203592814</v>
      </c>
      <c r="M248" s="87">
        <f t="shared" si="28"/>
        <v>2.8568862275449103</v>
      </c>
      <c r="N248" s="325"/>
      <c r="O248" s="325"/>
      <c r="P248" s="325"/>
      <c r="Q248" s="325"/>
      <c r="R248" s="17" t="str">
        <f t="shared" si="27"/>
        <v>D</v>
      </c>
      <c r="S248" s="328"/>
      <c r="T248" s="328"/>
      <c r="U248" s="328"/>
      <c r="V248" s="328"/>
    </row>
    <row r="249" spans="1:22" ht="36" x14ac:dyDescent="0.25">
      <c r="A249" s="343"/>
      <c r="B249" s="343"/>
      <c r="C249" s="334"/>
      <c r="D249" s="331"/>
      <c r="E249" s="11" t="str">
        <f>Apreciación!A47</f>
        <v>Estudiantes</v>
      </c>
      <c r="F249" s="12" t="str">
        <f>Apreciación!E47</f>
        <v xml:space="preserve">Cuenta de 37. Considero o consideré atractivo la posibilidad de cursar una ingeniería en otra área del conocimiento. </v>
      </c>
      <c r="G249" s="203">
        <f>Apreciación!F47</f>
        <v>8.9820359281437126E-2</v>
      </c>
      <c r="H249" s="203">
        <f>Apreciación!G47</f>
        <v>8.3832335329341312E-2</v>
      </c>
      <c r="I249" s="203">
        <f>Apreciación!H47</f>
        <v>0.1497005988023952</v>
      </c>
      <c r="J249" s="203">
        <f>Apreciación!I47</f>
        <v>0.32335329341317365</v>
      </c>
      <c r="K249" s="203">
        <f>Apreciación!J47</f>
        <v>0.3413173652694611</v>
      </c>
      <c r="L249" s="203">
        <f>Apreciación!K47</f>
        <v>1.1976047904191617E-2</v>
      </c>
      <c r="M249" s="125">
        <f t="shared" si="28"/>
        <v>3.9332335329341319</v>
      </c>
      <c r="N249" s="326"/>
      <c r="O249" s="325"/>
      <c r="P249" s="325"/>
      <c r="Q249" s="325"/>
      <c r="R249" s="17" t="str">
        <f t="shared" si="27"/>
        <v>C</v>
      </c>
      <c r="S249" s="329"/>
      <c r="T249" s="328"/>
      <c r="U249" s="328"/>
      <c r="V249" s="328"/>
    </row>
    <row r="250" spans="1:22" ht="36" x14ac:dyDescent="0.25">
      <c r="A250" s="343"/>
      <c r="B250" s="343"/>
      <c r="C250" s="334"/>
      <c r="D250" s="331"/>
      <c r="E250" s="11" t="str">
        <f>Apreciación!A134</f>
        <v>Docentes</v>
      </c>
      <c r="F250" s="12" t="str">
        <f>Apreciación!E134</f>
        <v>Cuenta de 31. El programa académico al cual pertenezco incentiva el desarrollo de proyectos de investigación con participación interdisciplinaria.</v>
      </c>
      <c r="G250" s="203">
        <f>Apreciación!F134</f>
        <v>0.14814814814814814</v>
      </c>
      <c r="H250" s="203">
        <f>Apreciación!G134</f>
        <v>7.407407407407407E-2</v>
      </c>
      <c r="I250" s="203">
        <f>Apreciación!H134</f>
        <v>0.25925925925925924</v>
      </c>
      <c r="J250" s="203">
        <f>Apreciación!I134</f>
        <v>0.29629629629629628</v>
      </c>
      <c r="K250" s="203">
        <f>Apreciación!J134</f>
        <v>0.22222222222222221</v>
      </c>
      <c r="L250" s="203">
        <f>Apreciación!K134</f>
        <v>0</v>
      </c>
      <c r="M250" s="87">
        <f t="shared" si="28"/>
        <v>3.7296296296296294</v>
      </c>
      <c r="N250" s="324">
        <f>AVERAGE(M250:M251)</f>
        <v>3.748148148148148</v>
      </c>
      <c r="O250" s="325"/>
      <c r="P250" s="325"/>
      <c r="Q250" s="325"/>
      <c r="R250" s="17" t="str">
        <f t="shared" si="27"/>
        <v>C</v>
      </c>
      <c r="S250" s="327" t="str">
        <f>IF(((N250&gt;=$Z$4)*AND(N250&lt;=$AA$4)),$Y$4,IF(((N250&gt;$AA$4)*AND(N250&lt;=$AA$5)),$Y$5,IF(((N250&gt;$AA$5)*AND(N250&lt;=$AA$6)),$Y$6,IF(((N250&gt;$AA$6)*AND(N250&lt;=$AA$7)),$Y$7,IF(((N250&gt;$AA$7)*AND(N250&lt;=$AA$8)),$Y$8,IF(EXACT(N250,$Y$9),$Z$9))))))</f>
        <v>C</v>
      </c>
      <c r="T250" s="328"/>
      <c r="U250" s="328"/>
      <c r="V250" s="328"/>
    </row>
    <row r="251" spans="1:22" ht="36" x14ac:dyDescent="0.25">
      <c r="A251" s="343"/>
      <c r="B251" s="344"/>
      <c r="C251" s="335"/>
      <c r="D251" s="332"/>
      <c r="E251" s="11" t="str">
        <f>Apreciación!A135</f>
        <v>Docentes</v>
      </c>
      <c r="F251" s="12" t="str">
        <f>Apreciación!E135</f>
        <v>Cuenta de 32. El programa académico al cual pertenezco incentiva el desarrollo de proyectos de grado con participación interdisciplinaria.</v>
      </c>
      <c r="G251" s="203">
        <f>Apreciación!F135</f>
        <v>0.14814814814814814</v>
      </c>
      <c r="H251" s="203">
        <f>Apreciación!G135</f>
        <v>7.407407407407407E-2</v>
      </c>
      <c r="I251" s="203">
        <f>Apreciación!H135</f>
        <v>0.18518518518518517</v>
      </c>
      <c r="J251" s="203">
        <f>Apreciación!I135</f>
        <v>0.37037037037037035</v>
      </c>
      <c r="K251" s="203">
        <f>Apreciación!J135</f>
        <v>0.22222222222222221</v>
      </c>
      <c r="L251" s="203">
        <f>Apreciación!K135</f>
        <v>0</v>
      </c>
      <c r="M251" s="152">
        <f t="shared" si="28"/>
        <v>3.7666666666666666</v>
      </c>
      <c r="N251" s="326"/>
      <c r="O251" s="326"/>
      <c r="P251" s="326"/>
      <c r="Q251" s="325"/>
      <c r="R251" s="17" t="str">
        <f>IF(((M251&gt;=$Z$4)*AND(M251&lt;=$AA$4)),$Y$4,IF(((M251&gt;$AA$4)*AND(M251&lt;=$AA$5)),$Y$5,IF(((M251&gt;$AA$5)*AND(M251&lt;=$AA$6)),$Y$6,IF(((M251&gt;$AA$6)*AND(M251&lt;=$AA$7)),$Y$7,IF(((M251&gt;$AA$7)*AND(M251&lt;=$AA$8)),$Y$8,IF(EXACT(M251,$Y$9),$Z$9))))))</f>
        <v>C</v>
      </c>
      <c r="S251" s="329"/>
      <c r="T251" s="329"/>
      <c r="U251" s="329"/>
      <c r="V251" s="328"/>
    </row>
    <row r="252" spans="1:22" ht="60" customHeight="1" x14ac:dyDescent="0.25">
      <c r="A252" s="343"/>
      <c r="B252" s="342">
        <v>19</v>
      </c>
      <c r="C252" s="333" t="str">
        <f>Final!E102</f>
        <v>a</v>
      </c>
      <c r="D252" s="330" t="str">
        <f>Final!F102</f>
        <v>Concordancia de los métodos de enseñanza y aprendizaje utilizados con el tipo y metodología del proyecto curricular, a la luz de los syllabus propuestos en cada uno de los espacios académicos.</v>
      </c>
      <c r="E252" s="73" t="str">
        <f>Apreciación!A37</f>
        <v>Estudiantes</v>
      </c>
      <c r="F252" s="133" t="str">
        <f>Apreciación!E37</f>
        <v>Cuenta de 27. Las estrategias didácticas empleadas en mi programa académico me permiten adquirir los conocimientos característicos de la profesión que escogí.</v>
      </c>
      <c r="G252" s="204">
        <f>Apreciación!F37</f>
        <v>4.1916167664670656E-2</v>
      </c>
      <c r="H252" s="204">
        <f>Apreciación!G37</f>
        <v>9.580838323353294E-2</v>
      </c>
      <c r="I252" s="204">
        <f>Apreciación!H37</f>
        <v>0.23952095808383234</v>
      </c>
      <c r="J252" s="204">
        <f>Apreciación!I37</f>
        <v>0.3652694610778443</v>
      </c>
      <c r="K252" s="204">
        <f>Apreciación!J37</f>
        <v>0.25149700598802394</v>
      </c>
      <c r="L252" s="204">
        <f>Apreciación!K37</f>
        <v>5.9880239520958087E-3</v>
      </c>
      <c r="M252" s="18">
        <f t="shared" si="28"/>
        <v>3.9688622754491014</v>
      </c>
      <c r="N252" s="324">
        <f>AVERAGE(M252:M271)</f>
        <v>3.7907784431137719</v>
      </c>
      <c r="O252" s="324">
        <f>(N252*$AE$5)+(N272*$AE$4)+(AVERAGE(N252:N295)*$AE$6)+(N288*$AE$8)+(AVERAGE(N252:N295)*$AE$7)</f>
        <v>3.6654019810038792</v>
      </c>
      <c r="P252" s="324">
        <f>AVERAGE(O252:O340)</f>
        <v>3.7710346957843695</v>
      </c>
      <c r="Q252" s="325"/>
      <c r="R252" s="17" t="str">
        <f t="shared" si="27"/>
        <v>C</v>
      </c>
      <c r="S252" s="327" t="str">
        <f>IF(((N252&gt;=$Z$4)*AND(N252&lt;=$AA$4)),$Y$4,IF(((N252&gt;$AA$4)*AND(N252&lt;=$AA$5)),$Y$5,IF(((N252&gt;$AA$5)*AND(N252&lt;=$AA$6)),$Y$6,IF(((N252&gt;$AA$6)*AND(N252&lt;=$AA$7)),$Y$7,IF(((N252&gt;$AA$7)*AND(N252&lt;=$AA$8)),$Y$8,IF(EXACT(N252,$Y$9),$Z$9))))))</f>
        <v>C</v>
      </c>
      <c r="T252" s="327" t="str">
        <f>IF(((O252&gt;=$Z$4)*AND(O252&lt;=$AA$4)),$Y$4,IF(((O252&gt;$AA$4)*AND(O252&lt;=$AA$5)),$Y$5,IF(((O252&gt;$AA$5)*AND(O252&lt;=$AA$6)),$Y$6,IF(((O252&gt;$AA$6)*AND(O252&lt;=$AA$7)),$Y$7,IF(((O252&gt;$AA$7)*AND(O252&lt;=$AA$8)),$Y$8,IF(EXACT(O252,$Y$9),$Z$9))))))</f>
        <v>C</v>
      </c>
      <c r="U252" s="327" t="str">
        <f>IF(((P252&gt;=$Z$4)*AND(P252&lt;=$AA$4)),$Y$4,IF(((P252&gt;$AA$4)*AND(P252&lt;=$AA$5)),$Y$5,IF(((P252&gt;$AA$5)*AND(P252&lt;=$AA$6)),$Y$6,IF(((P252&gt;$AA$6)*AND(P252&lt;=$AA$7)),$Y$7,IF(((P252&gt;$AA$7)*AND(P252&lt;=$AA$8)),$Y$8,IF(EXACT(P252,$Y$9),$Z$9))))))</f>
        <v>C</v>
      </c>
      <c r="V252" s="328"/>
    </row>
    <row r="253" spans="1:22" ht="36" x14ac:dyDescent="0.25">
      <c r="A253" s="343"/>
      <c r="B253" s="343"/>
      <c r="C253" s="334"/>
      <c r="D253" s="331"/>
      <c r="E253" s="73" t="str">
        <f>Apreciación!A38</f>
        <v>Estudiantes</v>
      </c>
      <c r="F253" s="133" t="str">
        <f>Apreciación!E38</f>
        <v>Cuenta de 28. El plan de estudios de mi programa académico se desarrolla empleando estrategias didácticas diversas.</v>
      </c>
      <c r="G253" s="204">
        <f>Apreciación!F38</f>
        <v>5.3892215568862277E-2</v>
      </c>
      <c r="H253" s="204">
        <f>Apreciación!G38</f>
        <v>0.11976047904191617</v>
      </c>
      <c r="I253" s="204">
        <f>Apreciación!H38</f>
        <v>0.3712574850299401</v>
      </c>
      <c r="J253" s="204">
        <f>Apreciación!I38</f>
        <v>0.26946107784431139</v>
      </c>
      <c r="K253" s="204">
        <f>Apreciación!J38</f>
        <v>0.16766467065868262</v>
      </c>
      <c r="L253" s="204">
        <f>Apreciación!K38</f>
        <v>1.7964071856287425E-2</v>
      </c>
      <c r="M253" s="125">
        <f t="shared" ref="M253:M271" si="29">(G253*$G$2)+(H253*$H$2)+(I253*$I$2)+(J253*$J$2)+(K253*$K$2)+(L253*$L$2)</f>
        <v>3.7467065868263476</v>
      </c>
      <c r="N253" s="325"/>
      <c r="O253" s="325"/>
      <c r="P253" s="325"/>
      <c r="Q253" s="325"/>
      <c r="R253" s="17" t="str">
        <f t="shared" ref="R253:R295" si="30">IF(((M253&gt;=$Z$4)*AND(M253&lt;=$AA$4)),$Y$4,IF(((M253&gt;$AA$4)*AND(M253&lt;=$AA$5)),$Y$5,IF(((M253&gt;$AA$5)*AND(M253&lt;=$AA$6)),$Y$6,IF(((M253&gt;$AA$6)*AND(M253&lt;=$AA$7)),$Y$7,IF(((M253&gt;$AA$7)*AND(M253&lt;=$AA$8)),$Y$8,IF(EXACT(M253,$Y$9),$Z$9))))))</f>
        <v>C</v>
      </c>
      <c r="S253" s="328"/>
      <c r="T253" s="328"/>
      <c r="U253" s="328"/>
      <c r="V253" s="328"/>
    </row>
    <row r="254" spans="1:22" ht="36" x14ac:dyDescent="0.25">
      <c r="A254" s="343"/>
      <c r="B254" s="343"/>
      <c r="C254" s="334"/>
      <c r="D254" s="331"/>
      <c r="E254" s="73" t="str">
        <f>Apreciación!A39</f>
        <v>Estudiantes</v>
      </c>
      <c r="F254" s="133" t="str">
        <f>Apreciación!E39</f>
        <v>Cuenta de 29. Me siento a gusto con las estrategias de enseñanza utilizadas en mi programa académico.</v>
      </c>
      <c r="G254" s="204">
        <f>Apreciación!F39</f>
        <v>5.9880239520958084E-2</v>
      </c>
      <c r="H254" s="204">
        <f>Apreciación!G39</f>
        <v>0.11377245508982035</v>
      </c>
      <c r="I254" s="204">
        <f>Apreciación!H39</f>
        <v>0.29341317365269459</v>
      </c>
      <c r="J254" s="204">
        <f>Apreciación!I39</f>
        <v>0.39520958083832336</v>
      </c>
      <c r="K254" s="204">
        <f>Apreciación!J39</f>
        <v>0.12574850299401197</v>
      </c>
      <c r="L254" s="204">
        <f>Apreciación!K39</f>
        <v>1.1976047904191617E-2</v>
      </c>
      <c r="M254" s="125">
        <f t="shared" si="29"/>
        <v>3.7802395209580837</v>
      </c>
      <c r="N254" s="325"/>
      <c r="O254" s="325"/>
      <c r="P254" s="325"/>
      <c r="Q254" s="325"/>
      <c r="R254" s="17" t="str">
        <f t="shared" si="30"/>
        <v>C</v>
      </c>
      <c r="S254" s="328"/>
      <c r="T254" s="328"/>
      <c r="U254" s="328"/>
      <c r="V254" s="328"/>
    </row>
    <row r="255" spans="1:22" ht="36" x14ac:dyDescent="0.25">
      <c r="A255" s="343"/>
      <c r="B255" s="343"/>
      <c r="C255" s="334"/>
      <c r="D255" s="331"/>
      <c r="E255" s="73" t="str">
        <f>Apreciación!A40</f>
        <v>Estudiantes</v>
      </c>
      <c r="F255" s="133" t="str">
        <f>Apreciación!E40</f>
        <v>Cuenta de 30. Los docentes de mi programa académico cumplen con el contenido propuesto para los espacios académicos en cada semestre.</v>
      </c>
      <c r="G255" s="204">
        <f>Apreciación!F40</f>
        <v>4.1916167664670656E-2</v>
      </c>
      <c r="H255" s="204">
        <f>Apreciación!G40</f>
        <v>5.3892215568862277E-2</v>
      </c>
      <c r="I255" s="204">
        <f>Apreciación!H40</f>
        <v>0.24550898203592814</v>
      </c>
      <c r="J255" s="204">
        <f>Apreciación!I40</f>
        <v>0.45508982035928142</v>
      </c>
      <c r="K255" s="204">
        <f>Apreciación!J40</f>
        <v>0.20359281437125748</v>
      </c>
      <c r="L255" s="204">
        <f>Apreciación!K40</f>
        <v>0</v>
      </c>
      <c r="M255" s="125">
        <f t="shared" si="29"/>
        <v>4.0170658682634732</v>
      </c>
      <c r="N255" s="325"/>
      <c r="O255" s="325"/>
      <c r="P255" s="325"/>
      <c r="Q255" s="325"/>
      <c r="R255" s="17" t="str">
        <f t="shared" si="30"/>
        <v>B</v>
      </c>
      <c r="S255" s="328"/>
      <c r="T255" s="328"/>
      <c r="U255" s="328"/>
      <c r="V255" s="328"/>
    </row>
    <row r="256" spans="1:22" ht="36" x14ac:dyDescent="0.25">
      <c r="A256" s="343"/>
      <c r="B256" s="343"/>
      <c r="C256" s="334"/>
      <c r="D256" s="331"/>
      <c r="E256" s="73" t="str">
        <f>Apreciación!A41</f>
        <v>Estudiantes</v>
      </c>
      <c r="F256" s="133" t="str">
        <f>Apreciación!E41</f>
        <v>Cuenta de 31. Me siento a gusto con las estrategias de enseñanza utilizadas en mi programa académico.</v>
      </c>
      <c r="G256" s="204">
        <f>Apreciación!F41</f>
        <v>5.3892215568862277E-2</v>
      </c>
      <c r="H256" s="204">
        <f>Apreciación!G41</f>
        <v>7.7844311377245512E-2</v>
      </c>
      <c r="I256" s="204">
        <f>Apreciación!H41</f>
        <v>0.3532934131736527</v>
      </c>
      <c r="J256" s="204">
        <f>Apreciación!I41</f>
        <v>0.3473053892215569</v>
      </c>
      <c r="K256" s="204">
        <f>Apreciación!J41</f>
        <v>0.16167664670658682</v>
      </c>
      <c r="L256" s="204">
        <f>Apreciación!K41</f>
        <v>5.9880239520958087E-3</v>
      </c>
      <c r="M256" s="125">
        <f t="shared" si="29"/>
        <v>3.8550898203592814</v>
      </c>
      <c r="N256" s="325"/>
      <c r="O256" s="325"/>
      <c r="P256" s="325"/>
      <c r="Q256" s="325"/>
      <c r="R256" s="17" t="str">
        <f t="shared" si="30"/>
        <v>C</v>
      </c>
      <c r="S256" s="328"/>
      <c r="T256" s="328"/>
      <c r="U256" s="328"/>
      <c r="V256" s="328"/>
    </row>
    <row r="257" spans="1:22" ht="24" x14ac:dyDescent="0.25">
      <c r="A257" s="343"/>
      <c r="B257" s="343"/>
      <c r="C257" s="334"/>
      <c r="D257" s="331"/>
      <c r="E257" s="73" t="str">
        <f>Apreciación!A58</f>
        <v>Estudiantes</v>
      </c>
      <c r="F257" s="133" t="str">
        <f>Apreciación!E58</f>
        <v>Cuenta de 48.1. Considero que el material bibliográfico es: SUFICIENTE.</v>
      </c>
      <c r="G257" s="204">
        <f>Apreciación!F58</f>
        <v>0.10778443113772455</v>
      </c>
      <c r="H257" s="204">
        <f>Apreciación!G58</f>
        <v>0.10179640718562874</v>
      </c>
      <c r="I257" s="204">
        <f>Apreciación!H58</f>
        <v>0.26946107784431139</v>
      </c>
      <c r="J257" s="204">
        <f>Apreciación!I58</f>
        <v>0.32335329341317365</v>
      </c>
      <c r="K257" s="204">
        <f>Apreciación!J58</f>
        <v>0.1497005988023952</v>
      </c>
      <c r="L257" s="204">
        <f>Apreciación!K58</f>
        <v>4.790419161676647E-2</v>
      </c>
      <c r="M257" s="125">
        <f t="shared" si="29"/>
        <v>3.5497005988023953</v>
      </c>
      <c r="N257" s="325"/>
      <c r="O257" s="325"/>
      <c r="P257" s="325"/>
      <c r="Q257" s="325"/>
      <c r="R257" s="17" t="str">
        <f t="shared" si="30"/>
        <v>C</v>
      </c>
      <c r="S257" s="328"/>
      <c r="T257" s="328"/>
      <c r="U257" s="328"/>
      <c r="V257" s="328"/>
    </row>
    <row r="258" spans="1:22" ht="24" x14ac:dyDescent="0.25">
      <c r="A258" s="343"/>
      <c r="B258" s="343"/>
      <c r="C258" s="334"/>
      <c r="D258" s="331"/>
      <c r="E258" s="73" t="str">
        <f>Apreciación!A59</f>
        <v>Estudiantes</v>
      </c>
      <c r="F258" s="133" t="str">
        <f>Apreciación!E59</f>
        <v>Cuenta de 48.2. Considero que el material bibliográfico es: ADECUADO.</v>
      </c>
      <c r="G258" s="204">
        <f>Apreciación!F59</f>
        <v>5.9880239520958084E-2</v>
      </c>
      <c r="H258" s="204">
        <f>Apreciación!G59</f>
        <v>4.790419161676647E-2</v>
      </c>
      <c r="I258" s="204">
        <f>Apreciación!H59</f>
        <v>0.29940119760479039</v>
      </c>
      <c r="J258" s="204">
        <f>Apreciación!I59</f>
        <v>0.3772455089820359</v>
      </c>
      <c r="K258" s="204">
        <f>Apreciación!J59</f>
        <v>0.17964071856287425</v>
      </c>
      <c r="L258" s="204">
        <f>Apreciación!K59</f>
        <v>3.5928143712574849E-2</v>
      </c>
      <c r="M258" s="125">
        <f t="shared" si="29"/>
        <v>3.7886227544910174</v>
      </c>
      <c r="N258" s="325"/>
      <c r="O258" s="325"/>
      <c r="P258" s="325"/>
      <c r="Q258" s="325"/>
      <c r="R258" s="17" t="str">
        <f t="shared" si="30"/>
        <v>C</v>
      </c>
      <c r="S258" s="328"/>
      <c r="T258" s="328"/>
      <c r="U258" s="328"/>
      <c r="V258" s="328"/>
    </row>
    <row r="259" spans="1:22" ht="24" x14ac:dyDescent="0.25">
      <c r="A259" s="343"/>
      <c r="B259" s="343"/>
      <c r="C259" s="334"/>
      <c r="D259" s="331"/>
      <c r="E259" s="73" t="str">
        <f>Apreciación!A60</f>
        <v>Estudiantes</v>
      </c>
      <c r="F259" s="133" t="str">
        <f>Apreciación!E60</f>
        <v>Cuenta de 48.3. Considero que el material bibliográfico es: ACTUALIZADO.</v>
      </c>
      <c r="G259" s="204">
        <f>Apreciación!F60</f>
        <v>5.9880239520958084E-2</v>
      </c>
      <c r="H259" s="204">
        <f>Apreciación!G60</f>
        <v>8.3832335329341312E-2</v>
      </c>
      <c r="I259" s="204">
        <f>Apreciación!H60</f>
        <v>0.3473053892215569</v>
      </c>
      <c r="J259" s="204">
        <f>Apreciación!I60</f>
        <v>0.31137724550898205</v>
      </c>
      <c r="K259" s="204">
        <f>Apreciación!J60</f>
        <v>0.1317365269461078</v>
      </c>
      <c r="L259" s="204">
        <f>Apreciación!K60</f>
        <v>6.5868263473053898E-2</v>
      </c>
      <c r="M259" s="125">
        <f t="shared" si="29"/>
        <v>3.567664670658683</v>
      </c>
      <c r="N259" s="325"/>
      <c r="O259" s="325"/>
      <c r="P259" s="325"/>
      <c r="Q259" s="325"/>
      <c r="R259" s="17" t="str">
        <f t="shared" si="30"/>
        <v>C</v>
      </c>
      <c r="S259" s="328"/>
      <c r="T259" s="328"/>
      <c r="U259" s="328"/>
      <c r="V259" s="328"/>
    </row>
    <row r="260" spans="1:22" ht="36" x14ac:dyDescent="0.25">
      <c r="A260" s="343"/>
      <c r="B260" s="343"/>
      <c r="C260" s="334"/>
      <c r="D260" s="331"/>
      <c r="E260" s="73" t="str">
        <f>Apreciación!A61</f>
        <v>Estudiantes</v>
      </c>
      <c r="F260" s="133" t="str">
        <f>Apreciación!E61</f>
        <v>Cuenta de 49.1. Considero que los computadores y software disponibles en mi programa académico son: SUFICIENTE.</v>
      </c>
      <c r="G260" s="204">
        <f>Apreciación!F61</f>
        <v>0.10179640718562874</v>
      </c>
      <c r="H260" s="204">
        <f>Apreciación!G61</f>
        <v>0.12574850299401197</v>
      </c>
      <c r="I260" s="204">
        <f>Apreciación!H61</f>
        <v>0.31137724550898205</v>
      </c>
      <c r="J260" s="204">
        <f>Apreciación!I61</f>
        <v>0.25748502994011974</v>
      </c>
      <c r="K260" s="204">
        <f>Apreciación!J61</f>
        <v>0.18562874251497005</v>
      </c>
      <c r="L260" s="204">
        <f>Apreciación!K61</f>
        <v>1.7964071856287425E-2</v>
      </c>
      <c r="M260" s="125">
        <f t="shared" si="29"/>
        <v>3.6592814371257485</v>
      </c>
      <c r="N260" s="325"/>
      <c r="O260" s="325"/>
      <c r="P260" s="325"/>
      <c r="Q260" s="325"/>
      <c r="R260" s="17" t="str">
        <f t="shared" si="30"/>
        <v>C</v>
      </c>
      <c r="S260" s="328"/>
      <c r="T260" s="328"/>
      <c r="U260" s="328"/>
      <c r="V260" s="328"/>
    </row>
    <row r="261" spans="1:22" ht="36" x14ac:dyDescent="0.25">
      <c r="A261" s="343"/>
      <c r="B261" s="343"/>
      <c r="C261" s="334"/>
      <c r="D261" s="331"/>
      <c r="E261" s="73" t="str">
        <f>Apreciación!A62</f>
        <v>Estudiantes</v>
      </c>
      <c r="F261" s="133" t="str">
        <f>Apreciación!E62</f>
        <v>Cuenta de 49.2. Considero que los computadores y software disponibles en mi programa académico son: ADECUADO.</v>
      </c>
      <c r="G261" s="204">
        <f>Apreciación!F62</f>
        <v>5.9880239520958084E-2</v>
      </c>
      <c r="H261" s="204">
        <f>Apreciación!G62</f>
        <v>6.5868263473053898E-2</v>
      </c>
      <c r="I261" s="204">
        <f>Apreciación!H62</f>
        <v>0.22754491017964071</v>
      </c>
      <c r="J261" s="204">
        <f>Apreciación!I62</f>
        <v>0.39520958083832336</v>
      </c>
      <c r="K261" s="204">
        <f>Apreciación!J62</f>
        <v>0.23353293413173654</v>
      </c>
      <c r="L261" s="204">
        <f>Apreciación!K62</f>
        <v>1.7964071856287425E-2</v>
      </c>
      <c r="M261" s="125">
        <f t="shared" si="29"/>
        <v>3.9071856287425151</v>
      </c>
      <c r="N261" s="325"/>
      <c r="O261" s="325"/>
      <c r="P261" s="325"/>
      <c r="Q261" s="325"/>
      <c r="R261" s="17" t="str">
        <f t="shared" si="30"/>
        <v>C</v>
      </c>
      <c r="S261" s="328"/>
      <c r="T261" s="328"/>
      <c r="U261" s="328"/>
      <c r="V261" s="328"/>
    </row>
    <row r="262" spans="1:22" ht="36" x14ac:dyDescent="0.25">
      <c r="A262" s="343"/>
      <c r="B262" s="343"/>
      <c r="C262" s="334"/>
      <c r="D262" s="331"/>
      <c r="E262" s="73" t="str">
        <f>Apreciación!A63</f>
        <v>Estudiantes</v>
      </c>
      <c r="F262" s="133" t="str">
        <f>Apreciación!E63</f>
        <v>Cuenta de 49.3. Considero que los computadores y software disponibles en mi programa académico son: ACTUALIZADO.</v>
      </c>
      <c r="G262" s="204">
        <f>Apreciación!F63</f>
        <v>5.9880239520958084E-2</v>
      </c>
      <c r="H262" s="204">
        <f>Apreciación!G63</f>
        <v>5.9880239520958084E-2</v>
      </c>
      <c r="I262" s="204">
        <f>Apreciación!H63</f>
        <v>0.20359281437125748</v>
      </c>
      <c r="J262" s="204">
        <f>Apreciación!I63</f>
        <v>0.45508982035928142</v>
      </c>
      <c r="K262" s="204">
        <f>Apreciación!J63</f>
        <v>0.19760479041916168</v>
      </c>
      <c r="L262" s="204">
        <f>Apreciación!K63</f>
        <v>2.3952095808383235E-2</v>
      </c>
      <c r="M262" s="125">
        <f t="shared" si="29"/>
        <v>3.8817365269461082</v>
      </c>
      <c r="N262" s="325"/>
      <c r="O262" s="325"/>
      <c r="P262" s="325"/>
      <c r="Q262" s="325"/>
      <c r="R262" s="17" t="str">
        <f t="shared" si="30"/>
        <v>C</v>
      </c>
      <c r="S262" s="328"/>
      <c r="T262" s="328"/>
      <c r="U262" s="328"/>
      <c r="V262" s="328"/>
    </row>
    <row r="263" spans="1:22" ht="60" x14ac:dyDescent="0.25">
      <c r="A263" s="343"/>
      <c r="B263" s="343"/>
      <c r="C263" s="334"/>
      <c r="D263" s="331"/>
      <c r="E263" s="73" t="str">
        <f>Apreciación!A64</f>
        <v>Estudiantes</v>
      </c>
      <c r="F263" s="133" t="str">
        <f>Apreciación!E64</f>
        <v>Cuenta de 50. Durante el desarrollo de las clases se hace un adecuado uso de las herramientas poseídas por la Universidad Distrital Francisco José de Caldas tales como: laboratorios, talleres y medios audiovisuales.</v>
      </c>
      <c r="G263" s="204">
        <f>Apreciación!F64</f>
        <v>2.9940119760479042E-2</v>
      </c>
      <c r="H263" s="204">
        <f>Apreciación!G64</f>
        <v>4.790419161676647E-2</v>
      </c>
      <c r="I263" s="204">
        <f>Apreciación!H64</f>
        <v>0.23952095808383234</v>
      </c>
      <c r="J263" s="204">
        <f>Apreciación!I64</f>
        <v>0.42514970059880242</v>
      </c>
      <c r="K263" s="204">
        <f>Apreciación!J64</f>
        <v>0.25748502994011974</v>
      </c>
      <c r="L263" s="204">
        <f>Apreciación!K64</f>
        <v>0</v>
      </c>
      <c r="M263" s="125">
        <f t="shared" si="29"/>
        <v>4.0871257485029933</v>
      </c>
      <c r="N263" s="325"/>
      <c r="O263" s="325"/>
      <c r="P263" s="325"/>
      <c r="Q263" s="325"/>
      <c r="R263" s="17" t="str">
        <f t="shared" si="30"/>
        <v>B</v>
      </c>
      <c r="S263" s="328"/>
      <c r="T263" s="328"/>
      <c r="U263" s="328"/>
      <c r="V263" s="328"/>
    </row>
    <row r="264" spans="1:22" ht="36" x14ac:dyDescent="0.25">
      <c r="A264" s="343"/>
      <c r="B264" s="343"/>
      <c r="C264" s="334"/>
      <c r="D264" s="331"/>
      <c r="E264" s="73" t="str">
        <f>Apreciación!A65</f>
        <v>Estudiantes</v>
      </c>
      <c r="F264" s="133" t="str">
        <f>Apreciación!E65</f>
        <v>Cuenta de 51.1. Considero que los laboratorios y talleres disponibles en mi programa académico son: SUFICIENTES.</v>
      </c>
      <c r="G264" s="204">
        <f>Apreciación!F65</f>
        <v>0.10778443113772455</v>
      </c>
      <c r="H264" s="204">
        <f>Apreciación!G65</f>
        <v>0.12574850299401197</v>
      </c>
      <c r="I264" s="204">
        <f>Apreciación!H65</f>
        <v>0.31137724550898205</v>
      </c>
      <c r="J264" s="204">
        <f>Apreciación!I65</f>
        <v>0.26347305389221559</v>
      </c>
      <c r="K264" s="204">
        <f>Apreciación!J65</f>
        <v>0.17964071856287425</v>
      </c>
      <c r="L264" s="204">
        <f>Apreciación!K65</f>
        <v>1.1976047904191617E-2</v>
      </c>
      <c r="M264" s="125">
        <f t="shared" si="29"/>
        <v>3.6661676646706587</v>
      </c>
      <c r="N264" s="325"/>
      <c r="O264" s="325"/>
      <c r="P264" s="325"/>
      <c r="Q264" s="325"/>
      <c r="R264" s="17" t="str">
        <f t="shared" si="30"/>
        <v>C</v>
      </c>
      <c r="S264" s="328"/>
      <c r="T264" s="328"/>
      <c r="U264" s="328"/>
      <c r="V264" s="328"/>
    </row>
    <row r="265" spans="1:22" ht="36" x14ac:dyDescent="0.25">
      <c r="A265" s="343"/>
      <c r="B265" s="343"/>
      <c r="C265" s="334"/>
      <c r="D265" s="331"/>
      <c r="E265" s="73" t="str">
        <f>Apreciación!A66</f>
        <v>Estudiantes</v>
      </c>
      <c r="F265" s="133" t="str">
        <f>Apreciación!E66</f>
        <v>Cuenta de 51.2. Considero que los laboratorios y talleres disponibles en mi programa académico son: ADECUADOS.</v>
      </c>
      <c r="G265" s="204">
        <f>Apreciación!F66</f>
        <v>5.9880239520958084E-2</v>
      </c>
      <c r="H265" s="204">
        <f>Apreciación!G66</f>
        <v>5.9880239520958084E-2</v>
      </c>
      <c r="I265" s="204">
        <f>Apreciación!H66</f>
        <v>0.30538922155688625</v>
      </c>
      <c r="J265" s="204">
        <f>Apreciación!I66</f>
        <v>0.3772455089820359</v>
      </c>
      <c r="K265" s="204">
        <f>Apreciación!J66</f>
        <v>0.18562874251497005</v>
      </c>
      <c r="L265" s="204">
        <f>Apreciación!K66</f>
        <v>1.1976047904191617E-2</v>
      </c>
      <c r="M265" s="125">
        <f t="shared" si="29"/>
        <v>3.874550898203593</v>
      </c>
      <c r="N265" s="325"/>
      <c r="O265" s="325"/>
      <c r="P265" s="325"/>
      <c r="Q265" s="325"/>
      <c r="R265" s="17" t="str">
        <f t="shared" si="30"/>
        <v>C</v>
      </c>
      <c r="S265" s="328"/>
      <c r="T265" s="328"/>
      <c r="U265" s="328"/>
      <c r="V265" s="328"/>
    </row>
    <row r="266" spans="1:22" ht="36" x14ac:dyDescent="0.25">
      <c r="A266" s="343"/>
      <c r="B266" s="343"/>
      <c r="C266" s="334"/>
      <c r="D266" s="331"/>
      <c r="E266" s="73" t="str">
        <f>Apreciación!A67</f>
        <v>Estudiantes</v>
      </c>
      <c r="F266" s="133" t="str">
        <f>Apreciación!E67</f>
        <v>Cuenta de 51.3. Considero que los laboratorios y talleres disponibles en mi programa académico son: ACTUALIZADOS.</v>
      </c>
      <c r="G266" s="204">
        <f>Apreciación!F67</f>
        <v>9.580838323353294E-2</v>
      </c>
      <c r="H266" s="204">
        <f>Apreciación!G67</f>
        <v>8.3832335329341312E-2</v>
      </c>
      <c r="I266" s="204">
        <f>Apreciación!H67</f>
        <v>0.31137724550898205</v>
      </c>
      <c r="J266" s="204">
        <f>Apreciación!I67</f>
        <v>0.32335329341317365</v>
      </c>
      <c r="K266" s="204">
        <f>Apreciación!J67</f>
        <v>0.1437125748502994</v>
      </c>
      <c r="L266" s="204">
        <f>Apreciación!K67</f>
        <v>4.1916167664670656E-2</v>
      </c>
      <c r="M266" s="125">
        <f t="shared" si="29"/>
        <v>3.602994011976048</v>
      </c>
      <c r="N266" s="325"/>
      <c r="O266" s="325"/>
      <c r="P266" s="325"/>
      <c r="Q266" s="325"/>
      <c r="R266" s="17" t="str">
        <f t="shared" si="30"/>
        <v>C</v>
      </c>
      <c r="S266" s="328"/>
      <c r="T266" s="328"/>
      <c r="U266" s="328"/>
      <c r="V266" s="328"/>
    </row>
    <row r="267" spans="1:22" ht="48" x14ac:dyDescent="0.25">
      <c r="A267" s="343"/>
      <c r="B267" s="343"/>
      <c r="C267" s="334"/>
      <c r="D267" s="331"/>
      <c r="E267" s="73" t="str">
        <f>Apreciación!A68</f>
        <v>Estudiantes</v>
      </c>
      <c r="F267" s="133" t="str">
        <f>Apreciación!E68</f>
        <v>Cuenta de 51.4. Considero que los laboratorios y talleres disponibles en mi programa académico son: APOYADOS POR PERSONAL DEBIDAMENTE CAPACITADO.</v>
      </c>
      <c r="G267" s="204">
        <f>Apreciación!F68</f>
        <v>7.7844311377245512E-2</v>
      </c>
      <c r="H267" s="204">
        <f>Apreciación!G68</f>
        <v>4.1916167664670656E-2</v>
      </c>
      <c r="I267" s="204">
        <f>Apreciación!H68</f>
        <v>0.25149700598802394</v>
      </c>
      <c r="J267" s="204">
        <f>Apreciación!I68</f>
        <v>0.3712574850299401</v>
      </c>
      <c r="K267" s="204">
        <f>Apreciación!J68</f>
        <v>0.24550898203592814</v>
      </c>
      <c r="L267" s="204">
        <f>Apreciación!K68</f>
        <v>1.1976047904191617E-2</v>
      </c>
      <c r="M267" s="125">
        <f t="shared" si="29"/>
        <v>3.9119760479041914</v>
      </c>
      <c r="N267" s="325"/>
      <c r="O267" s="325"/>
      <c r="P267" s="325"/>
      <c r="Q267" s="325"/>
      <c r="R267" s="17" t="str">
        <f t="shared" si="30"/>
        <v>C</v>
      </c>
      <c r="S267" s="328"/>
      <c r="T267" s="328"/>
      <c r="U267" s="328"/>
      <c r="V267" s="328"/>
    </row>
    <row r="268" spans="1:22" ht="24" x14ac:dyDescent="0.25">
      <c r="A268" s="343"/>
      <c r="B268" s="343"/>
      <c r="C268" s="334"/>
      <c r="D268" s="331"/>
      <c r="E268" s="73" t="str">
        <f>Apreciación!A72</f>
        <v>Estudiantes</v>
      </c>
      <c r="F268" s="133" t="str">
        <f>Apreciación!E72</f>
        <v>Cuenta de 52.1. Considero que los materiales de apoyo audiovisual son: SUFICIENTES.</v>
      </c>
      <c r="G268" s="204">
        <f>Apreciación!F72</f>
        <v>7.1856287425149698E-2</v>
      </c>
      <c r="H268" s="204">
        <f>Apreciación!G72</f>
        <v>0.16167664670658682</v>
      </c>
      <c r="I268" s="204">
        <f>Apreciación!H72</f>
        <v>0.32934131736526945</v>
      </c>
      <c r="J268" s="204">
        <f>Apreciación!I72</f>
        <v>0.27544910179640719</v>
      </c>
      <c r="K268" s="204">
        <f>Apreciación!J72</f>
        <v>0.1437125748502994</v>
      </c>
      <c r="L268" s="204">
        <f>Apreciación!K72</f>
        <v>1.7964071856287425E-2</v>
      </c>
      <c r="M268" s="125">
        <f t="shared" si="29"/>
        <v>3.6571856287425151</v>
      </c>
      <c r="N268" s="325"/>
      <c r="O268" s="325"/>
      <c r="P268" s="325"/>
      <c r="Q268" s="325"/>
      <c r="R268" s="17" t="str">
        <f t="shared" si="30"/>
        <v>C</v>
      </c>
      <c r="S268" s="328"/>
      <c r="T268" s="328"/>
      <c r="U268" s="328"/>
      <c r="V268" s="328"/>
    </row>
    <row r="269" spans="1:22" ht="24" x14ac:dyDescent="0.25">
      <c r="A269" s="343"/>
      <c r="B269" s="343"/>
      <c r="C269" s="334"/>
      <c r="D269" s="331"/>
      <c r="E269" s="73" t="str">
        <f>Apreciación!A73</f>
        <v>Estudiantes</v>
      </c>
      <c r="F269" s="133" t="str">
        <f>Apreciación!E73</f>
        <v>Cuenta de 52.2. Considero que los materiales de apoyo audiovisual son: ADECUADOS.</v>
      </c>
      <c r="G269" s="204">
        <f>Apreciación!F73</f>
        <v>5.9880239520958084E-2</v>
      </c>
      <c r="H269" s="204">
        <f>Apreciación!G73</f>
        <v>0.10778443113772455</v>
      </c>
      <c r="I269" s="204">
        <f>Apreciación!H73</f>
        <v>0.3413173652694611</v>
      </c>
      <c r="J269" s="204">
        <f>Apreciación!I73</f>
        <v>0.3413173652694611</v>
      </c>
      <c r="K269" s="204">
        <f>Apreciación!J73</f>
        <v>0.1437125748502994</v>
      </c>
      <c r="L269" s="204">
        <f>Apreciación!K73</f>
        <v>5.9880239520958087E-3</v>
      </c>
      <c r="M269" s="125">
        <f t="shared" si="29"/>
        <v>3.7988023952095809</v>
      </c>
      <c r="N269" s="325"/>
      <c r="O269" s="325"/>
      <c r="P269" s="325"/>
      <c r="Q269" s="325"/>
      <c r="R269" s="17" t="str">
        <f t="shared" si="30"/>
        <v>C</v>
      </c>
      <c r="S269" s="328"/>
      <c r="T269" s="328"/>
      <c r="U269" s="328"/>
      <c r="V269" s="328"/>
    </row>
    <row r="270" spans="1:22" ht="24" x14ac:dyDescent="0.25">
      <c r="A270" s="343"/>
      <c r="B270" s="343"/>
      <c r="C270" s="334"/>
      <c r="D270" s="331"/>
      <c r="E270" s="73" t="str">
        <f>Apreciación!A74</f>
        <v>Estudiantes</v>
      </c>
      <c r="F270" s="133" t="str">
        <f>Apreciación!E74</f>
        <v>Cuenta de 52.3. Considero que los materiales de apoyo audiovisual son: ACTUALIZADOS.</v>
      </c>
      <c r="G270" s="204">
        <f>Apreciación!F74</f>
        <v>4.790419161676647E-2</v>
      </c>
      <c r="H270" s="204">
        <f>Apreciación!G74</f>
        <v>7.7844311377245512E-2</v>
      </c>
      <c r="I270" s="204">
        <f>Apreciación!H74</f>
        <v>0.3652694610778443</v>
      </c>
      <c r="J270" s="204">
        <f>Apreciación!I74</f>
        <v>0.30538922155688625</v>
      </c>
      <c r="K270" s="204">
        <f>Apreciación!J74</f>
        <v>0.17964071856287425</v>
      </c>
      <c r="L270" s="204">
        <f>Apreciación!K74</f>
        <v>2.3952095808383235E-2</v>
      </c>
      <c r="M270" s="125">
        <f t="shared" si="29"/>
        <v>3.7985029940119759</v>
      </c>
      <c r="N270" s="325"/>
      <c r="O270" s="325"/>
      <c r="P270" s="325"/>
      <c r="Q270" s="325"/>
      <c r="R270" s="17" t="str">
        <f t="shared" si="30"/>
        <v>C</v>
      </c>
      <c r="S270" s="328"/>
      <c r="T270" s="328"/>
      <c r="U270" s="328"/>
      <c r="V270" s="328"/>
    </row>
    <row r="271" spans="1:22" ht="36" x14ac:dyDescent="0.25">
      <c r="A271" s="343"/>
      <c r="B271" s="343"/>
      <c r="C271" s="334"/>
      <c r="D271" s="331"/>
      <c r="E271" s="73" t="str">
        <f>Apreciación!A75</f>
        <v>Estudiantes</v>
      </c>
      <c r="F271" s="133" t="str">
        <f>Apreciación!E75</f>
        <v>Cuenta de 52.4. Considero que los materiales de apoyo audiovisual son: SOPORTADOS POR PERSONAL DEBIDAMENTE CAPACITADO.</v>
      </c>
      <c r="G271" s="204">
        <f>Apreciación!F75</f>
        <v>4.790419161676647E-2</v>
      </c>
      <c r="H271" s="204">
        <f>Apreciación!G75</f>
        <v>5.9880239520958084E-2</v>
      </c>
      <c r="I271" s="204">
        <f>Apreciación!H75</f>
        <v>0.26946107784431139</v>
      </c>
      <c r="J271" s="204">
        <f>Apreciación!I75</f>
        <v>0.3712574850299401</v>
      </c>
      <c r="K271" s="204">
        <f>Apreciación!J75</f>
        <v>0.18562874251497005</v>
      </c>
      <c r="L271" s="204">
        <f>Apreciación!K75</f>
        <v>6.5868263473053898E-2</v>
      </c>
      <c r="M271" s="125">
        <f t="shared" si="29"/>
        <v>3.6961077844311379</v>
      </c>
      <c r="N271" s="326"/>
      <c r="O271" s="325"/>
      <c r="P271" s="325"/>
      <c r="Q271" s="325"/>
      <c r="R271" s="17" t="str">
        <f t="shared" si="30"/>
        <v>C</v>
      </c>
      <c r="S271" s="329"/>
      <c r="T271" s="328"/>
      <c r="U271" s="328"/>
      <c r="V271" s="328"/>
    </row>
    <row r="272" spans="1:22" ht="60" x14ac:dyDescent="0.25">
      <c r="A272" s="343"/>
      <c r="B272" s="343"/>
      <c r="C272" s="334"/>
      <c r="D272" s="331"/>
      <c r="E272" s="73" t="str">
        <f>Apreciación!A127</f>
        <v>Docentes</v>
      </c>
      <c r="F272" s="133" t="str">
        <f>Apreciación!E127</f>
        <v>Cuenta de 24. Considero que la Universidad Distrital Francisco José de Caldas y el programa académico al cual pertenezco incentivan la producción de material de enseñanza (libros de texto, objetos de aprendizaje, material didáctico).</v>
      </c>
      <c r="G272" s="204">
        <f>Apreciación!F127</f>
        <v>0.18518518518518517</v>
      </c>
      <c r="H272" s="204">
        <f>Apreciación!G127</f>
        <v>0.14814814814814814</v>
      </c>
      <c r="I272" s="204">
        <f>Apreciación!H127</f>
        <v>0.22222222222222221</v>
      </c>
      <c r="J272" s="204">
        <f>Apreciación!I127</f>
        <v>0.22222222222222221</v>
      </c>
      <c r="K272" s="204">
        <f>Apreciación!J127</f>
        <v>0.18518518518518517</v>
      </c>
      <c r="L272" s="204">
        <f>Apreciación!K127</f>
        <v>3.7037037037037035E-2</v>
      </c>
      <c r="M272" s="125">
        <f t="shared" ref="M272:M295" si="31">(G272*$G$2)+(H272*$H$2)+(I272*$I$2)+(J272*$J$2)+(K272*$K$2)+(L272*$L$2)</f>
        <v>3.3870370370370368</v>
      </c>
      <c r="N272" s="324">
        <f>AVERAGE(M272:M287)</f>
        <v>3.6508101851851849</v>
      </c>
      <c r="O272" s="325"/>
      <c r="P272" s="325"/>
      <c r="Q272" s="325"/>
      <c r="R272" s="17" t="str">
        <f t="shared" si="30"/>
        <v>D</v>
      </c>
      <c r="S272" s="327" t="str">
        <f>IF(((N272&gt;=$Z$4)*AND(N272&lt;=$AA$4)),$Y$4,IF(((N272&gt;$AA$4)*AND(N272&lt;=$AA$5)),$Y$5,IF(((N272&gt;$AA$5)*AND(N272&lt;=$AA$6)),$Y$6,IF(((N272&gt;$AA$6)*AND(N272&lt;=$AA$7)),$Y$7,IF(((N272&gt;$AA$7)*AND(N272&lt;=$AA$8)),$Y$8,IF(EXACT(N272,$Y$9),$Z$9))))))</f>
        <v>C</v>
      </c>
      <c r="T272" s="328"/>
      <c r="U272" s="328"/>
      <c r="V272" s="328"/>
    </row>
    <row r="273" spans="1:22" ht="48" x14ac:dyDescent="0.25">
      <c r="A273" s="343"/>
      <c r="B273" s="343"/>
      <c r="C273" s="334"/>
      <c r="D273" s="331"/>
      <c r="E273" s="73" t="str">
        <f>Apreciación!A140</f>
        <v>Docentes</v>
      </c>
      <c r="F273" s="133" t="str">
        <f>Apreciación!E140</f>
        <v xml:space="preserve">Cuenta de 37. Considero que el programa académico al cual pertenezco reflexiona permanentemente sobre los métodos de enseñanza- aprendizaje empleados. </v>
      </c>
      <c r="G273" s="204">
        <f>Apreciación!F140</f>
        <v>7.407407407407407E-2</v>
      </c>
      <c r="H273" s="204">
        <f>Apreciación!G140</f>
        <v>0.1111111111111111</v>
      </c>
      <c r="I273" s="204">
        <f>Apreciación!H140</f>
        <v>0.29629629629629628</v>
      </c>
      <c r="J273" s="204">
        <f>Apreciación!I140</f>
        <v>0.29629629629629628</v>
      </c>
      <c r="K273" s="204">
        <f>Apreciación!J140</f>
        <v>0.14814814814814814</v>
      </c>
      <c r="L273" s="204">
        <f>Apreciación!K140</f>
        <v>7.407407407407407E-2</v>
      </c>
      <c r="M273" s="125">
        <f t="shared" si="31"/>
        <v>3.498148148148148</v>
      </c>
      <c r="N273" s="325"/>
      <c r="O273" s="325"/>
      <c r="P273" s="325"/>
      <c r="Q273" s="325"/>
      <c r="R273" s="17" t="str">
        <f t="shared" si="30"/>
        <v>D</v>
      </c>
      <c r="S273" s="328"/>
      <c r="T273" s="328"/>
      <c r="U273" s="328"/>
      <c r="V273" s="328"/>
    </row>
    <row r="274" spans="1:22" ht="36" x14ac:dyDescent="0.25">
      <c r="A274" s="343"/>
      <c r="B274" s="343"/>
      <c r="C274" s="334"/>
      <c r="D274" s="331"/>
      <c r="E274" s="73" t="str">
        <f>Apreciación!A154</f>
        <v>Docentes</v>
      </c>
      <c r="F274" s="133" t="str">
        <f>Apreciación!E154</f>
        <v>Cuenta de 51.1. Considero que el material bibliográfico a disposición del programa académico al cual pertenezco es: SUFICIENTE</v>
      </c>
      <c r="G274" s="204">
        <f>Apreciación!F154</f>
        <v>7.407407407407407E-2</v>
      </c>
      <c r="H274" s="204">
        <f>Apreciación!G154</f>
        <v>0.18518518518518517</v>
      </c>
      <c r="I274" s="204">
        <f>Apreciación!H154</f>
        <v>0.18518518518518517</v>
      </c>
      <c r="J274" s="204">
        <f>Apreciación!I154</f>
        <v>0.33333333333333331</v>
      </c>
      <c r="K274" s="204">
        <f>Apreciación!J154</f>
        <v>0.14814814814814814</v>
      </c>
      <c r="L274" s="204">
        <f>Apreciación!K154</f>
        <v>7.407407407407407E-2</v>
      </c>
      <c r="M274" s="125">
        <f t="shared" si="31"/>
        <v>3.4611111111111108</v>
      </c>
      <c r="N274" s="325"/>
      <c r="O274" s="325"/>
      <c r="P274" s="325"/>
      <c r="Q274" s="325"/>
      <c r="R274" s="17" t="str">
        <f t="shared" si="30"/>
        <v>D</v>
      </c>
      <c r="S274" s="328"/>
      <c r="T274" s="328"/>
      <c r="U274" s="328"/>
      <c r="V274" s="328"/>
    </row>
    <row r="275" spans="1:22" ht="36" x14ac:dyDescent="0.25">
      <c r="A275" s="343"/>
      <c r="B275" s="343"/>
      <c r="C275" s="334"/>
      <c r="D275" s="331"/>
      <c r="E275" s="73" t="str">
        <f>Apreciación!A155</f>
        <v>Docentes</v>
      </c>
      <c r="F275" s="133" t="str">
        <f>Apreciación!E155</f>
        <v>Cuenta de 51.2. Considero que el material bibliográfico a disposición del programa académico al cual pertenezco es: ADECUADO</v>
      </c>
      <c r="G275" s="204">
        <f>Apreciación!F155</f>
        <v>3.7037037037037035E-2</v>
      </c>
      <c r="H275" s="204">
        <f>Apreciación!G155</f>
        <v>0.14814814814814814</v>
      </c>
      <c r="I275" s="204">
        <f>Apreciación!H155</f>
        <v>0.25925925925925924</v>
      </c>
      <c r="J275" s="204">
        <f>Apreciación!I155</f>
        <v>0.29629629629629628</v>
      </c>
      <c r="K275" s="204">
        <f>Apreciación!J155</f>
        <v>0.18518518518518517</v>
      </c>
      <c r="L275" s="204">
        <f>Apreciación!K155</f>
        <v>7.407407407407407E-2</v>
      </c>
      <c r="M275" s="125">
        <f t="shared" si="31"/>
        <v>3.583333333333333</v>
      </c>
      <c r="N275" s="325"/>
      <c r="O275" s="325"/>
      <c r="P275" s="325"/>
      <c r="Q275" s="325"/>
      <c r="R275" s="17" t="str">
        <f t="shared" si="30"/>
        <v>C</v>
      </c>
      <c r="S275" s="328"/>
      <c r="T275" s="328"/>
      <c r="U275" s="328"/>
      <c r="V275" s="328"/>
    </row>
    <row r="276" spans="1:22" ht="36" x14ac:dyDescent="0.25">
      <c r="A276" s="343"/>
      <c r="B276" s="343"/>
      <c r="C276" s="334"/>
      <c r="D276" s="331"/>
      <c r="E276" s="73" t="str">
        <f>Apreciación!A156</f>
        <v>Docentes</v>
      </c>
      <c r="F276" s="133" t="str">
        <f>Apreciación!E156</f>
        <v>Cuenta de 51.3. Considero que el material bibliográfico a disposición del programa académico al cual pertenezco es: ACTUALIZADO</v>
      </c>
      <c r="G276" s="204">
        <f>Apreciación!F156</f>
        <v>3.7037037037037035E-2</v>
      </c>
      <c r="H276" s="204">
        <f>Apreciación!G156</f>
        <v>0.1111111111111111</v>
      </c>
      <c r="I276" s="204">
        <f>Apreciación!H156</f>
        <v>0.29629629629629628</v>
      </c>
      <c r="J276" s="204">
        <f>Apreciación!I156</f>
        <v>0.37037037037037035</v>
      </c>
      <c r="K276" s="204">
        <f>Apreciación!J156</f>
        <v>0.1111111111111111</v>
      </c>
      <c r="L276" s="204">
        <f>Apreciación!K156</f>
        <v>7.407407407407407E-2</v>
      </c>
      <c r="M276" s="125">
        <f t="shared" si="31"/>
        <v>3.5703703703703704</v>
      </c>
      <c r="N276" s="325"/>
      <c r="O276" s="325"/>
      <c r="P276" s="325"/>
      <c r="Q276" s="325"/>
      <c r="R276" s="17" t="str">
        <f t="shared" si="30"/>
        <v>C</v>
      </c>
      <c r="S276" s="328"/>
      <c r="T276" s="328"/>
      <c r="U276" s="328"/>
      <c r="V276" s="328"/>
    </row>
    <row r="277" spans="1:22" ht="36" x14ac:dyDescent="0.25">
      <c r="A277" s="343"/>
      <c r="B277" s="343"/>
      <c r="C277" s="334"/>
      <c r="D277" s="331"/>
      <c r="E277" s="73" t="str">
        <f>Apreciación!A157</f>
        <v>Docentes</v>
      </c>
      <c r="F277" s="133" t="str">
        <f>Apreciación!E157</f>
        <v>Cuenta de 52.1. Considero que los computadores y software disponibles en el programa académico al cual pertenezco son: SUFICIENTE</v>
      </c>
      <c r="G277" s="204">
        <f>Apreciación!F157</f>
        <v>0.1111111111111111</v>
      </c>
      <c r="H277" s="204">
        <f>Apreciación!G157</f>
        <v>3.7037037037037035E-2</v>
      </c>
      <c r="I277" s="204">
        <f>Apreciación!H157</f>
        <v>0.29629629629629628</v>
      </c>
      <c r="J277" s="204">
        <f>Apreciación!I157</f>
        <v>0.25925925925925924</v>
      </c>
      <c r="K277" s="204">
        <f>Apreciación!J157</f>
        <v>0.22222222222222221</v>
      </c>
      <c r="L277" s="204">
        <f>Apreciación!K157</f>
        <v>7.407407407407407E-2</v>
      </c>
      <c r="M277" s="125">
        <f t="shared" si="31"/>
        <v>3.5388888888888888</v>
      </c>
      <c r="N277" s="325"/>
      <c r="O277" s="325"/>
      <c r="P277" s="325"/>
      <c r="Q277" s="325"/>
      <c r="R277" s="17" t="str">
        <f t="shared" si="30"/>
        <v>C</v>
      </c>
      <c r="S277" s="328"/>
      <c r="T277" s="328"/>
      <c r="U277" s="328"/>
      <c r="V277" s="328"/>
    </row>
    <row r="278" spans="1:22" ht="36" x14ac:dyDescent="0.25">
      <c r="A278" s="343"/>
      <c r="B278" s="343"/>
      <c r="C278" s="334"/>
      <c r="D278" s="331"/>
      <c r="E278" s="73" t="str">
        <f>Apreciación!A158</f>
        <v>Docentes</v>
      </c>
      <c r="F278" s="133" t="str">
        <f>Apreciación!E158</f>
        <v>Cuenta de 52.2. Considero que los computadores y software disponibles en el programa académico al cual pertenezco son: ADECUADO</v>
      </c>
      <c r="G278" s="204">
        <f>Apreciación!F158</f>
        <v>3.7037037037037035E-2</v>
      </c>
      <c r="H278" s="204">
        <f>Apreciación!G158</f>
        <v>0.1111111111111111</v>
      </c>
      <c r="I278" s="204">
        <f>Apreciación!H158</f>
        <v>0.14814814814814814</v>
      </c>
      <c r="J278" s="204">
        <f>Apreciación!I158</f>
        <v>0.44444444444444442</v>
      </c>
      <c r="K278" s="204">
        <f>Apreciación!J158</f>
        <v>0.22222222222222221</v>
      </c>
      <c r="L278" s="204">
        <f>Apreciación!K158</f>
        <v>3.7037037037037035E-2</v>
      </c>
      <c r="M278" s="125">
        <f t="shared" si="31"/>
        <v>3.8611111111111107</v>
      </c>
      <c r="N278" s="325"/>
      <c r="O278" s="325"/>
      <c r="P278" s="325"/>
      <c r="Q278" s="325"/>
      <c r="R278" s="17" t="str">
        <f t="shared" si="30"/>
        <v>C</v>
      </c>
      <c r="S278" s="328"/>
      <c r="T278" s="328"/>
      <c r="U278" s="328"/>
      <c r="V278" s="328"/>
    </row>
    <row r="279" spans="1:22" ht="36" x14ac:dyDescent="0.25">
      <c r="A279" s="343"/>
      <c r="B279" s="343"/>
      <c r="C279" s="334"/>
      <c r="D279" s="331"/>
      <c r="E279" s="73" t="str">
        <f>Apreciación!A159</f>
        <v>Docentes</v>
      </c>
      <c r="F279" s="133" t="str">
        <f>Apreciación!E159</f>
        <v>Cuenta de 52.3. Considero que los computadores y software disponibles en el programa académico al cual pertenezco son: ACTUALIZADO</v>
      </c>
      <c r="G279" s="204">
        <f>Apreciación!F159</f>
        <v>3.7037037037037035E-2</v>
      </c>
      <c r="H279" s="204">
        <f>Apreciación!G159</f>
        <v>0.14814814814814814</v>
      </c>
      <c r="I279" s="204">
        <f>Apreciación!H159</f>
        <v>0.40740740740740738</v>
      </c>
      <c r="J279" s="204">
        <f>Apreciación!I159</f>
        <v>0.29629629629629628</v>
      </c>
      <c r="K279" s="204">
        <f>Apreciación!J159</f>
        <v>0.1111111111111111</v>
      </c>
      <c r="L279" s="204">
        <f>Apreciación!K159</f>
        <v>0</v>
      </c>
      <c r="M279" s="125">
        <f t="shared" si="31"/>
        <v>3.7796296296296292</v>
      </c>
      <c r="N279" s="325"/>
      <c r="O279" s="325"/>
      <c r="P279" s="325"/>
      <c r="Q279" s="325"/>
      <c r="R279" s="17" t="str">
        <f t="shared" si="30"/>
        <v>C</v>
      </c>
      <c r="S279" s="328"/>
      <c r="T279" s="328"/>
      <c r="U279" s="328"/>
      <c r="V279" s="328"/>
    </row>
    <row r="280" spans="1:22" ht="36" x14ac:dyDescent="0.25">
      <c r="A280" s="343"/>
      <c r="B280" s="343"/>
      <c r="C280" s="334"/>
      <c r="D280" s="331"/>
      <c r="E280" s="73" t="str">
        <f>Apreciación!A160</f>
        <v>Docentes</v>
      </c>
      <c r="F280" s="133" t="str">
        <f>Apreciación!E160</f>
        <v>Cuenta de 53.1. Considero que los laboratorios y talleres disponibles en el programa académico al cual pertenezco son: SUFICIENTES</v>
      </c>
      <c r="G280" s="204">
        <f>Apreciación!F160</f>
        <v>0.1111111111111111</v>
      </c>
      <c r="H280" s="204">
        <f>Apreciación!G160</f>
        <v>3.7037037037037035E-2</v>
      </c>
      <c r="I280" s="204">
        <f>Apreciación!H160</f>
        <v>0.14814814814814814</v>
      </c>
      <c r="J280" s="204">
        <f>Apreciación!I160</f>
        <v>0.51851851851851849</v>
      </c>
      <c r="K280" s="204">
        <f>Apreciación!J160</f>
        <v>0.1111111111111111</v>
      </c>
      <c r="L280" s="204">
        <f>Apreciación!K160</f>
        <v>7.407407407407407E-2</v>
      </c>
      <c r="M280" s="125">
        <f t="shared" si="31"/>
        <v>3.5518518518518514</v>
      </c>
      <c r="N280" s="325"/>
      <c r="O280" s="325"/>
      <c r="P280" s="325"/>
      <c r="Q280" s="325"/>
      <c r="R280" s="17" t="str">
        <f t="shared" si="30"/>
        <v>C</v>
      </c>
      <c r="S280" s="328"/>
      <c r="T280" s="328"/>
      <c r="U280" s="328"/>
      <c r="V280" s="328"/>
    </row>
    <row r="281" spans="1:22" ht="36" x14ac:dyDescent="0.25">
      <c r="A281" s="343"/>
      <c r="B281" s="343"/>
      <c r="C281" s="334"/>
      <c r="D281" s="331"/>
      <c r="E281" s="73" t="str">
        <f>Apreciación!A161</f>
        <v>Docentes</v>
      </c>
      <c r="F281" s="133" t="str">
        <f>Apreciación!E161</f>
        <v>Cuenta de 53.2. Considero que los laboratorios y talleres disponibles en el programa académico al cual pertenezco son: ADECUADOS</v>
      </c>
      <c r="G281" s="204">
        <f>Apreciación!F161</f>
        <v>3.7037037037037035E-2</v>
      </c>
      <c r="H281" s="204">
        <f>Apreciación!G161</f>
        <v>0.22222222222222221</v>
      </c>
      <c r="I281" s="204">
        <f>Apreciación!H161</f>
        <v>0.37037037037037035</v>
      </c>
      <c r="J281" s="204">
        <f>Apreciación!I161</f>
        <v>0.29629629629629628</v>
      </c>
      <c r="K281" s="204">
        <f>Apreciación!J161</f>
        <v>7.407407407407407E-2</v>
      </c>
      <c r="L281" s="204">
        <f>Apreciación!K161</f>
        <v>0</v>
      </c>
      <c r="M281" s="125">
        <f t="shared" si="31"/>
        <v>3.6851851851851851</v>
      </c>
      <c r="N281" s="325"/>
      <c r="O281" s="325"/>
      <c r="P281" s="325"/>
      <c r="Q281" s="325"/>
      <c r="R281" s="17" t="str">
        <f t="shared" si="30"/>
        <v>C</v>
      </c>
      <c r="S281" s="328"/>
      <c r="T281" s="328"/>
      <c r="U281" s="328"/>
      <c r="V281" s="328"/>
    </row>
    <row r="282" spans="1:22" ht="36" x14ac:dyDescent="0.25">
      <c r="A282" s="343"/>
      <c r="B282" s="343"/>
      <c r="C282" s="334"/>
      <c r="D282" s="331"/>
      <c r="E282" s="73" t="str">
        <f>Apreciación!A162</f>
        <v>Docentes</v>
      </c>
      <c r="F282" s="133" t="str">
        <f>Apreciación!E162</f>
        <v>Cuenta de 53.3. Considero que los laboratorios y talleres disponibles en el programa académico al cual pertenezco son: ACTUALIZADOS</v>
      </c>
      <c r="G282" s="204">
        <f>Apreciación!F162</f>
        <v>3.7037037037037035E-2</v>
      </c>
      <c r="H282" s="204">
        <f>Apreciación!G162</f>
        <v>3.7037037037037035E-2</v>
      </c>
      <c r="I282" s="204">
        <f>Apreciación!H162</f>
        <v>0.22222222222222221</v>
      </c>
      <c r="J282" s="204">
        <f>Apreciación!I162</f>
        <v>0.33333333333333331</v>
      </c>
      <c r="K282" s="204">
        <f>Apreciación!J162</f>
        <v>0.25925925925925924</v>
      </c>
      <c r="L282" s="204">
        <f>Apreciación!K162</f>
        <v>0.1111111111111111</v>
      </c>
      <c r="M282" s="125">
        <f t="shared" si="31"/>
        <v>3.6259259259259258</v>
      </c>
      <c r="N282" s="325"/>
      <c r="O282" s="325"/>
      <c r="P282" s="325"/>
      <c r="Q282" s="325"/>
      <c r="R282" s="17" t="str">
        <f t="shared" si="30"/>
        <v>C</v>
      </c>
      <c r="S282" s="328"/>
      <c r="T282" s="328"/>
      <c r="U282" s="328"/>
      <c r="V282" s="328"/>
    </row>
    <row r="283" spans="1:22" ht="48" x14ac:dyDescent="0.25">
      <c r="A283" s="343"/>
      <c r="B283" s="343"/>
      <c r="C283" s="334"/>
      <c r="D283" s="331"/>
      <c r="E283" s="73" t="str">
        <f>Apreciación!A163</f>
        <v>Docentes</v>
      </c>
      <c r="F283" s="133" t="str">
        <f>Apreciación!E163</f>
        <v>Cuenta de 53.4. Considero que los laboratorios y talleres disponibles en el programa académico al cual pertenezco son: APOYADOS POR PERSONAL DEBIDAMENTE CAPACITADO</v>
      </c>
      <c r="G283" s="204">
        <f>Apreciación!F163</f>
        <v>3.7037037037037035E-2</v>
      </c>
      <c r="H283" s="204">
        <f>Apreciación!G163</f>
        <v>0</v>
      </c>
      <c r="I283" s="204">
        <f>Apreciación!H163</f>
        <v>0</v>
      </c>
      <c r="J283" s="204">
        <f>Apreciación!I163</f>
        <v>0.18518518518518517</v>
      </c>
      <c r="K283" s="204">
        <f>Apreciación!J163</f>
        <v>0.70370370370370372</v>
      </c>
      <c r="L283" s="204">
        <f>Apreciación!K163</f>
        <v>7.407407407407407E-2</v>
      </c>
      <c r="M283" s="125">
        <f t="shared" si="31"/>
        <v>4.1833333333333336</v>
      </c>
      <c r="N283" s="325"/>
      <c r="O283" s="325"/>
      <c r="P283" s="325"/>
      <c r="Q283" s="325"/>
      <c r="R283" s="17" t="str">
        <f t="shared" si="30"/>
        <v>B</v>
      </c>
      <c r="S283" s="328"/>
      <c r="T283" s="328"/>
      <c r="U283" s="328"/>
      <c r="V283" s="328"/>
    </row>
    <row r="284" spans="1:22" ht="36" x14ac:dyDescent="0.25">
      <c r="A284" s="343"/>
      <c r="B284" s="343"/>
      <c r="C284" s="334"/>
      <c r="D284" s="331"/>
      <c r="E284" s="73" t="str">
        <f>Apreciación!A167</f>
        <v>Docentes</v>
      </c>
      <c r="F284" s="133" t="str">
        <f>Apreciación!E167</f>
        <v>Cuenta de 54.1. Considero que los equipos de apoyo audiovisual a disposición del programa académico al cual pertenezco son: SUFICIENTES</v>
      </c>
      <c r="G284" s="204">
        <f>Apreciación!F167</f>
        <v>0.18518518518518517</v>
      </c>
      <c r="H284" s="204">
        <f>Apreciación!G167</f>
        <v>0.1111111111111111</v>
      </c>
      <c r="I284" s="204">
        <f>Apreciación!H167</f>
        <v>0.25925925925925924</v>
      </c>
      <c r="J284" s="204">
        <f>Apreciación!I167</f>
        <v>0.29629629629629628</v>
      </c>
      <c r="K284" s="204">
        <f>Apreciación!J167</f>
        <v>0.14814814814814814</v>
      </c>
      <c r="L284" s="204">
        <f>Apreciación!K167</f>
        <v>0</v>
      </c>
      <c r="M284" s="125">
        <f t="shared" si="31"/>
        <v>3.5500000000000003</v>
      </c>
      <c r="N284" s="325"/>
      <c r="O284" s="325"/>
      <c r="P284" s="325"/>
      <c r="Q284" s="325"/>
      <c r="R284" s="17" t="str">
        <f t="shared" si="30"/>
        <v>C</v>
      </c>
      <c r="S284" s="328"/>
      <c r="T284" s="328"/>
      <c r="U284" s="328"/>
      <c r="V284" s="328"/>
    </row>
    <row r="285" spans="1:22" ht="36" x14ac:dyDescent="0.25">
      <c r="A285" s="343"/>
      <c r="B285" s="343"/>
      <c r="C285" s="334"/>
      <c r="D285" s="331"/>
      <c r="E285" s="73" t="str">
        <f>Apreciación!A168</f>
        <v>Docentes</v>
      </c>
      <c r="F285" s="133" t="str">
        <f>Apreciación!E168</f>
        <v>Cuenta de 54.2. Considero que los equipos de apoyo audiovisual a disposición del programa académico al cual pertenezco son: ADECUADOS</v>
      </c>
      <c r="G285" s="204">
        <f>Apreciación!F168</f>
        <v>0.18518518518518517</v>
      </c>
      <c r="H285" s="204">
        <f>Apreciación!G168</f>
        <v>0.1111111111111111</v>
      </c>
      <c r="I285" s="204">
        <f>Apreciación!H168</f>
        <v>0.22222222222222221</v>
      </c>
      <c r="J285" s="204">
        <f>Apreciación!I168</f>
        <v>0.33333333333333331</v>
      </c>
      <c r="K285" s="204">
        <f>Apreciación!J168</f>
        <v>0.14814814814814814</v>
      </c>
      <c r="L285" s="204">
        <f>Apreciación!K168</f>
        <v>0</v>
      </c>
      <c r="M285" s="125">
        <f t="shared" si="31"/>
        <v>3.5685185185185184</v>
      </c>
      <c r="N285" s="325"/>
      <c r="O285" s="325"/>
      <c r="P285" s="325"/>
      <c r="Q285" s="325"/>
      <c r="R285" s="17" t="str">
        <f t="shared" si="30"/>
        <v>C</v>
      </c>
      <c r="S285" s="328"/>
      <c r="T285" s="328"/>
      <c r="U285" s="328"/>
      <c r="V285" s="328"/>
    </row>
    <row r="286" spans="1:22" ht="36" x14ac:dyDescent="0.25">
      <c r="A286" s="343"/>
      <c r="B286" s="343"/>
      <c r="C286" s="334"/>
      <c r="D286" s="331"/>
      <c r="E286" s="73" t="str">
        <f>Apreciación!A169</f>
        <v>Docentes</v>
      </c>
      <c r="F286" s="133" t="str">
        <f>Apreciación!E169</f>
        <v>Cuenta de 54.3. Considero que los equipos de apoyo audiovisual a disposición del programa académico al cual pertenezco son: ACTUALIZADOS</v>
      </c>
      <c r="G286" s="204">
        <f>Apreciación!F169</f>
        <v>0.14814814814814814</v>
      </c>
      <c r="H286" s="204">
        <f>Apreciación!G169</f>
        <v>0.1111111111111111</v>
      </c>
      <c r="I286" s="204">
        <f>Apreciación!H169</f>
        <v>0.14814814814814814</v>
      </c>
      <c r="J286" s="204">
        <f>Apreciación!I169</f>
        <v>0.40740740740740738</v>
      </c>
      <c r="K286" s="204">
        <f>Apreciación!J169</f>
        <v>0.18518518518518517</v>
      </c>
      <c r="L286" s="204">
        <f>Apreciación!K169</f>
        <v>0</v>
      </c>
      <c r="M286" s="125">
        <f t="shared" si="31"/>
        <v>3.7185185185185183</v>
      </c>
      <c r="N286" s="325"/>
      <c r="O286" s="325"/>
      <c r="P286" s="325"/>
      <c r="Q286" s="325"/>
      <c r="R286" s="17" t="str">
        <f t="shared" si="30"/>
        <v>C</v>
      </c>
      <c r="S286" s="328"/>
      <c r="T286" s="328"/>
      <c r="U286" s="328"/>
      <c r="V286" s="328"/>
    </row>
    <row r="287" spans="1:22" ht="48" x14ac:dyDescent="0.25">
      <c r="A287" s="343"/>
      <c r="B287" s="343"/>
      <c r="C287" s="334"/>
      <c r="D287" s="331"/>
      <c r="E287" s="73" t="str">
        <f>Apreciación!A170</f>
        <v>Docentes</v>
      </c>
      <c r="F287" s="133" t="str">
        <f>Apreciación!E170</f>
        <v>Cuenta de 54.4. Considero que los equipos de apoyo audiovisual a disposición del programa académico al cual pertenezco son: SOPORTADOS POR PERSONAL DEBIDAMENTE CAPACITADO</v>
      </c>
      <c r="G287" s="204">
        <f>Apreciación!F170</f>
        <v>3.7037037037037035E-2</v>
      </c>
      <c r="H287" s="204">
        <f>Apreciación!G170</f>
        <v>7.407407407407407E-2</v>
      </c>
      <c r="I287" s="204">
        <f>Apreciación!H170</f>
        <v>0.37037037037037035</v>
      </c>
      <c r="J287" s="204">
        <f>Apreciación!I170</f>
        <v>0.48148148148148145</v>
      </c>
      <c r="K287" s="204">
        <f>Apreciación!J170</f>
        <v>3.7037037037037035E-2</v>
      </c>
      <c r="L287" s="204">
        <f>Apreciación!K170</f>
        <v>0</v>
      </c>
      <c r="M287" s="125">
        <f t="shared" si="31"/>
        <v>3.85</v>
      </c>
      <c r="N287" s="326"/>
      <c r="O287" s="325"/>
      <c r="P287" s="325"/>
      <c r="Q287" s="325"/>
      <c r="R287" s="17" t="str">
        <f t="shared" si="30"/>
        <v>C</v>
      </c>
      <c r="S287" s="329"/>
      <c r="T287" s="328"/>
      <c r="U287" s="328"/>
      <c r="V287" s="328"/>
    </row>
    <row r="288" spans="1:22" ht="48" x14ac:dyDescent="0.25">
      <c r="A288" s="343"/>
      <c r="B288" s="343"/>
      <c r="C288" s="334"/>
      <c r="D288" s="331"/>
      <c r="E288" s="73" t="str">
        <f>Apreciación!A229</f>
        <v>Administrativos</v>
      </c>
      <c r="F288" s="133" t="str">
        <f>Apreciación!E229</f>
        <v>Cuenta de 10.1. Considero que los laboratorios y talleres disponibles de los programas académicos con los cuales me he relacionado son: SUFICIENTES.</v>
      </c>
      <c r="G288" s="204">
        <f>Apreciación!F229</f>
        <v>0.14035087719298245</v>
      </c>
      <c r="H288" s="204">
        <f>Apreciación!G229</f>
        <v>0.12280701754385964</v>
      </c>
      <c r="I288" s="204">
        <f>Apreciación!H229</f>
        <v>0.35087719298245612</v>
      </c>
      <c r="J288" s="204">
        <f>Apreciación!I229</f>
        <v>0.21052631578947367</v>
      </c>
      <c r="K288" s="204">
        <f>Apreciación!J229</f>
        <v>5.2631578947368418E-2</v>
      </c>
      <c r="L288" s="204">
        <f>Apreciación!K229</f>
        <v>0.12280701754385964</v>
      </c>
      <c r="M288" s="125">
        <f t="shared" si="31"/>
        <v>3.0333333333333332</v>
      </c>
      <c r="N288" s="324">
        <f>AVERAGE(M288:M295)</f>
        <v>3.3578399122807019</v>
      </c>
      <c r="O288" s="325"/>
      <c r="P288" s="325"/>
      <c r="Q288" s="325"/>
      <c r="R288" s="17" t="str">
        <f t="shared" si="30"/>
        <v>D</v>
      </c>
      <c r="S288" s="327" t="str">
        <f>IF(((N288&gt;=$Z$4)*AND(N288&lt;=$AA$4)),$Y$4,IF(((N288&gt;$AA$4)*AND(N288&lt;=$AA$5)),$Y$5,IF(((N288&gt;$AA$5)*AND(N288&lt;=$AA$6)),$Y$6,IF(((N288&gt;$AA$6)*AND(N288&lt;=$AA$7)),$Y$7,IF(((N288&gt;$AA$7)*AND(N288&lt;=$AA$8)),$Y$8,IF(EXACT(N288,$Y$9),$Z$9))))))</f>
        <v>D</v>
      </c>
      <c r="T288" s="328"/>
      <c r="U288" s="328"/>
      <c r="V288" s="328"/>
    </row>
    <row r="289" spans="1:22" ht="48" x14ac:dyDescent="0.25">
      <c r="A289" s="343"/>
      <c r="B289" s="343"/>
      <c r="C289" s="334"/>
      <c r="D289" s="331"/>
      <c r="E289" s="73" t="str">
        <f>Apreciación!A230</f>
        <v>Administrativos</v>
      </c>
      <c r="F289" s="133" t="str">
        <f>Apreciación!E230</f>
        <v>Cuenta de 10.2. Considero que los laboratorios y talleres disponibles de los programas académicos con los cuales me he relacionado son: ADECUADOS.</v>
      </c>
      <c r="G289" s="204">
        <f>Apreciación!F230</f>
        <v>3.5087719298245612E-2</v>
      </c>
      <c r="H289" s="204">
        <f>Apreciación!G230</f>
        <v>5.2631578947368418E-2</v>
      </c>
      <c r="I289" s="204">
        <f>Apreciación!H230</f>
        <v>0.34210526315789475</v>
      </c>
      <c r="J289" s="204">
        <f>Apreciación!I230</f>
        <v>0.28947368421052633</v>
      </c>
      <c r="K289" s="204">
        <f>Apreciación!J230</f>
        <v>0.14035087719298245</v>
      </c>
      <c r="L289" s="204">
        <f>Apreciación!K230</f>
        <v>0.14035087719298245</v>
      </c>
      <c r="M289" s="125">
        <f t="shared" si="31"/>
        <v>3.3631578947368421</v>
      </c>
      <c r="N289" s="325"/>
      <c r="O289" s="325"/>
      <c r="P289" s="325"/>
      <c r="Q289" s="325"/>
      <c r="R289" s="17" t="str">
        <f t="shared" si="30"/>
        <v>D</v>
      </c>
      <c r="S289" s="328"/>
      <c r="T289" s="328"/>
      <c r="U289" s="328"/>
      <c r="V289" s="328"/>
    </row>
    <row r="290" spans="1:22" ht="48" x14ac:dyDescent="0.25">
      <c r="A290" s="343"/>
      <c r="B290" s="343"/>
      <c r="C290" s="334"/>
      <c r="D290" s="331"/>
      <c r="E290" s="73" t="str">
        <f>Apreciación!A231</f>
        <v>Administrativos</v>
      </c>
      <c r="F290" s="133" t="str">
        <f>Apreciación!E231</f>
        <v>Cuenta de 10.3. Considero que los laboratorios y talleres disponibles de los programas académicos con los cuales me he relacionado son: ACTUALIZADOS.</v>
      </c>
      <c r="G290" s="204">
        <f>Apreciación!F231</f>
        <v>2.6315789473684209E-2</v>
      </c>
      <c r="H290" s="204">
        <f>Apreciación!G231</f>
        <v>8.771929824561403E-2</v>
      </c>
      <c r="I290" s="204">
        <f>Apreciación!H231</f>
        <v>0.35087719298245612</v>
      </c>
      <c r="J290" s="204">
        <f>Apreciación!I231</f>
        <v>0.2807017543859649</v>
      </c>
      <c r="K290" s="204">
        <f>Apreciación!J231</f>
        <v>9.6491228070175433E-2</v>
      </c>
      <c r="L290" s="204">
        <f>Apreciación!K231</f>
        <v>0.15789473684210525</v>
      </c>
      <c r="M290" s="125">
        <f t="shared" si="31"/>
        <v>3.2390350877192984</v>
      </c>
      <c r="N290" s="325"/>
      <c r="O290" s="325"/>
      <c r="P290" s="325"/>
      <c r="Q290" s="325"/>
      <c r="R290" s="17" t="str">
        <f t="shared" si="30"/>
        <v>D</v>
      </c>
      <c r="S290" s="328"/>
      <c r="T290" s="328"/>
      <c r="U290" s="328"/>
      <c r="V290" s="328"/>
    </row>
    <row r="291" spans="1:22" ht="60" x14ac:dyDescent="0.25">
      <c r="A291" s="343"/>
      <c r="B291" s="343"/>
      <c r="C291" s="334"/>
      <c r="D291" s="331"/>
      <c r="E291" s="73" t="str">
        <f>Apreciación!A232</f>
        <v>Administrativos</v>
      </c>
      <c r="F291" s="133" t="str">
        <f>Apreciación!E232</f>
        <v>Cuenta de 10.4. Considero que los laboratorios y talleres disponibles de los programas académicos con los cuales me he relacionado son: APOYADOS POR PERSONAL DEBIDAMENTE CAPACITADO.</v>
      </c>
      <c r="G291" s="204">
        <f>Apreciación!F232</f>
        <v>3.5087719298245612E-2</v>
      </c>
      <c r="H291" s="204">
        <f>Apreciación!G232</f>
        <v>8.771929824561403E-3</v>
      </c>
      <c r="I291" s="204">
        <f>Apreciación!H232</f>
        <v>0.14035087719298245</v>
      </c>
      <c r="J291" s="204">
        <f>Apreciación!I232</f>
        <v>0.35087719298245612</v>
      </c>
      <c r="K291" s="204">
        <f>Apreciación!J232</f>
        <v>0.33333333333333331</v>
      </c>
      <c r="L291" s="204">
        <f>Apreciación!K232</f>
        <v>0.13157894736842105</v>
      </c>
      <c r="M291" s="125">
        <f t="shared" si="31"/>
        <v>3.6618421052631573</v>
      </c>
      <c r="N291" s="325"/>
      <c r="O291" s="325"/>
      <c r="P291" s="325"/>
      <c r="Q291" s="325"/>
      <c r="R291" s="17" t="str">
        <f t="shared" si="30"/>
        <v>C</v>
      </c>
      <c r="S291" s="328"/>
      <c r="T291" s="328"/>
      <c r="U291" s="328"/>
      <c r="V291" s="328"/>
    </row>
    <row r="292" spans="1:22" ht="48" x14ac:dyDescent="0.25">
      <c r="A292" s="343"/>
      <c r="B292" s="343"/>
      <c r="C292" s="334"/>
      <c r="D292" s="331"/>
      <c r="E292" s="73" t="str">
        <f>Apreciación!A236</f>
        <v>Administrativos</v>
      </c>
      <c r="F292" s="133" t="str">
        <f>Apreciación!E236</f>
        <v>Cuenta de 11.1. Considero que los equipos de apoyo audiovisual a disposición de los programas académicos con los cuales me he relacionado son: SUFICIENTES.</v>
      </c>
      <c r="G292" s="204">
        <f>Apreciación!F236</f>
        <v>0.10526315789473684</v>
      </c>
      <c r="H292" s="204">
        <f>Apreciación!G236</f>
        <v>0.15789473684210525</v>
      </c>
      <c r="I292" s="204">
        <f>Apreciación!H236</f>
        <v>0.37719298245614036</v>
      </c>
      <c r="J292" s="204">
        <f>Apreciación!I236</f>
        <v>0.20175438596491227</v>
      </c>
      <c r="K292" s="204">
        <f>Apreciación!J236</f>
        <v>5.2631578947368418E-2</v>
      </c>
      <c r="L292" s="204">
        <f>Apreciación!K236</f>
        <v>0.10526315789473684</v>
      </c>
      <c r="M292" s="125">
        <f t="shared" si="31"/>
        <v>3.1377192982456137</v>
      </c>
      <c r="N292" s="325"/>
      <c r="O292" s="325"/>
      <c r="P292" s="325"/>
      <c r="Q292" s="325"/>
      <c r="R292" s="17" t="str">
        <f t="shared" si="30"/>
        <v>D</v>
      </c>
      <c r="S292" s="328"/>
      <c r="T292" s="328"/>
      <c r="U292" s="328"/>
      <c r="V292" s="328"/>
    </row>
    <row r="293" spans="1:22" ht="48" x14ac:dyDescent="0.25">
      <c r="A293" s="343"/>
      <c r="B293" s="343"/>
      <c r="C293" s="334"/>
      <c r="D293" s="331"/>
      <c r="E293" s="73" t="str">
        <f>Apreciación!A237</f>
        <v>Administrativos</v>
      </c>
      <c r="F293" s="133" t="str">
        <f>Apreciación!E237</f>
        <v>Cuenta de 11.2. Considero que los equipos de apoyo audiovisual a disposición de los programas académicos con los cuales me he relacionado son: ADECUADOS.</v>
      </c>
      <c r="G293" s="204">
        <f>Apreciación!F237</f>
        <v>2.6315789473684209E-2</v>
      </c>
      <c r="H293" s="204">
        <f>Apreciación!G237</f>
        <v>0.12280701754385964</v>
      </c>
      <c r="I293" s="204">
        <f>Apreciación!H237</f>
        <v>0.34210526315789475</v>
      </c>
      <c r="J293" s="204">
        <f>Apreciación!I237</f>
        <v>0.31578947368421051</v>
      </c>
      <c r="K293" s="204">
        <f>Apreciación!J237</f>
        <v>9.6491228070175433E-2</v>
      </c>
      <c r="L293" s="204">
        <f>Apreciación!K237</f>
        <v>9.6491228070175433E-2</v>
      </c>
      <c r="M293" s="125">
        <f t="shared" si="31"/>
        <v>3.4574561403508772</v>
      </c>
      <c r="N293" s="325"/>
      <c r="O293" s="325"/>
      <c r="P293" s="325"/>
      <c r="Q293" s="325"/>
      <c r="R293" s="17" t="str">
        <f t="shared" si="30"/>
        <v>D</v>
      </c>
      <c r="S293" s="328"/>
      <c r="T293" s="328"/>
      <c r="U293" s="328"/>
      <c r="V293" s="328"/>
    </row>
    <row r="294" spans="1:22" ht="48" x14ac:dyDescent="0.25">
      <c r="A294" s="343"/>
      <c r="B294" s="343"/>
      <c r="C294" s="334"/>
      <c r="D294" s="331"/>
      <c r="E294" s="73" t="str">
        <f>Apreciación!A238</f>
        <v>Administrativos</v>
      </c>
      <c r="F294" s="133" t="str">
        <f>Apreciación!E238</f>
        <v>Cuenta de 11.3. Considero que los equipos de apoyo audiovisual a disposición de los programas académicos con los cuales me he relacionado son: ACTUALIZADOS.</v>
      </c>
      <c r="G294" s="204">
        <f>Apreciación!F238</f>
        <v>3.5087719298245612E-2</v>
      </c>
      <c r="H294" s="204">
        <f>Apreciación!G238</f>
        <v>0.11403508771929824</v>
      </c>
      <c r="I294" s="204">
        <f>Apreciación!H238</f>
        <v>0.35087719298245612</v>
      </c>
      <c r="J294" s="204">
        <f>Apreciación!I238</f>
        <v>0.32456140350877194</v>
      </c>
      <c r="K294" s="204">
        <f>Apreciación!J238</f>
        <v>4.3859649122807015E-2</v>
      </c>
      <c r="L294" s="204">
        <f>Apreciación!K238</f>
        <v>0.13157894736842105</v>
      </c>
      <c r="M294" s="125">
        <f t="shared" si="31"/>
        <v>3.2657894736842108</v>
      </c>
      <c r="N294" s="325"/>
      <c r="O294" s="325"/>
      <c r="P294" s="325"/>
      <c r="Q294" s="325"/>
      <c r="R294" s="17" t="str">
        <f t="shared" si="30"/>
        <v>D</v>
      </c>
      <c r="S294" s="328"/>
      <c r="T294" s="328"/>
      <c r="U294" s="328"/>
      <c r="V294" s="328"/>
    </row>
    <row r="295" spans="1:22" ht="60" x14ac:dyDescent="0.25">
      <c r="A295" s="343"/>
      <c r="B295" s="343"/>
      <c r="C295" s="335"/>
      <c r="D295" s="332"/>
      <c r="E295" s="73" t="str">
        <f>Apreciación!A239</f>
        <v>Administrativos</v>
      </c>
      <c r="F295" s="133" t="str">
        <f>Apreciación!E239</f>
        <v>Cuenta de 11.4. Considero que los equipos de apoyo audiovisual a disposición de los programas académicos con los cuales me he relacionado son: SOPORTADOS POR PERSONAL DEBIDAMENTE CAPACITADO.</v>
      </c>
      <c r="G295" s="204">
        <f>Apreciación!F239</f>
        <v>2.6315789473684209E-2</v>
      </c>
      <c r="H295" s="204">
        <f>Apreciación!G239</f>
        <v>1.7543859649122806E-2</v>
      </c>
      <c r="I295" s="204">
        <f>Apreciación!H239</f>
        <v>0.16666666666666666</v>
      </c>
      <c r="J295" s="204">
        <f>Apreciación!I239</f>
        <v>0.39473684210526316</v>
      </c>
      <c r="K295" s="204">
        <f>Apreciación!J239</f>
        <v>0.2807017543859649</v>
      </c>
      <c r="L295" s="204">
        <f>Apreciación!K239</f>
        <v>0.11403508771929824</v>
      </c>
      <c r="M295" s="125">
        <f t="shared" si="31"/>
        <v>3.704385964912281</v>
      </c>
      <c r="N295" s="326"/>
      <c r="O295" s="326"/>
      <c r="P295" s="325"/>
      <c r="Q295" s="325"/>
      <c r="R295" s="17" t="str">
        <f t="shared" si="30"/>
        <v>C</v>
      </c>
      <c r="S295" s="329"/>
      <c r="T295" s="329"/>
      <c r="U295" s="328"/>
      <c r="V295" s="328"/>
    </row>
    <row r="296" spans="1:22" ht="48" x14ac:dyDescent="0.25">
      <c r="A296" s="343"/>
      <c r="B296" s="343"/>
      <c r="C296" s="333" t="str">
        <f>Final!E103</f>
        <v>b</v>
      </c>
      <c r="D296" s="330" t="str">
        <f>Final!F103</f>
        <v>Correspondencia de los métodos de enseñanza y aprendizaje empleados para el desarrollo de los contenidos o los problemas del plan de estudios del proyecto curricular, con las competencias tales como las actitudes, los conocimientos, las capacidades y las habilidades que se espera desarrollar, la naturaleza de los saberes y las necesidades, objetivos y modalidad del proyecto curricular.</v>
      </c>
      <c r="E296" s="11" t="str">
        <f>Apreciación!A37</f>
        <v>Estudiantes</v>
      </c>
      <c r="F296" s="11" t="str">
        <f>Apreciación!E37</f>
        <v>Cuenta de 27. Las estrategias didácticas empleadas en mi programa académico me permiten adquirir los conocimientos característicos de la profesión que escogí.</v>
      </c>
      <c r="G296" s="205">
        <f>Apreciación!F37</f>
        <v>4.1916167664670656E-2</v>
      </c>
      <c r="H296" s="205">
        <f>Apreciación!G37</f>
        <v>9.580838323353294E-2</v>
      </c>
      <c r="I296" s="205">
        <f>Apreciación!H37</f>
        <v>0.23952095808383234</v>
      </c>
      <c r="J296" s="205">
        <f>Apreciación!I37</f>
        <v>0.3652694610778443</v>
      </c>
      <c r="K296" s="205">
        <f>Apreciación!J37</f>
        <v>0.25149700598802394</v>
      </c>
      <c r="L296" s="205">
        <f>Apreciación!K37</f>
        <v>5.9880239520958087E-3</v>
      </c>
      <c r="M296" s="18">
        <f t="shared" ref="M296:M302" si="32">(G296*$G$2)+(H296*$H$2)+(I296*$I$2)+(J296*$J$2)+(K296*$K$2)+(L296*$L$2)</f>
        <v>3.9688622754491014</v>
      </c>
      <c r="N296" s="63">
        <f>AVERAGE(M296)</f>
        <v>3.9688622754491014</v>
      </c>
      <c r="O296" s="324">
        <f>(N296*$AE$5)+(AVERAGE(N296:N301)*$AE$4)+(N297*$AE$6)+(AVERAGE(N296:N301)*$AE$8)+(AVERAGE(N296:N301)*$AE$7)</f>
        <v>4.0749964494088733</v>
      </c>
      <c r="P296" s="325"/>
      <c r="Q296" s="325"/>
      <c r="R296" s="17" t="str">
        <f>IF(((M296&gt;=$Z$4)*AND(M296&lt;=$AA$4)),$Y$4,IF(((M296&gt;$AA$4)*AND(M296&lt;=$AA$5)),$Y$5,IF(((M296&gt;$AA$5)*AND(M296&lt;=$AA$6)),$Y$6,IF(((M296&gt;$AA$6)*AND(M296&lt;=$AA$7)),$Y$7,IF(((M296&gt;$AA$7)*AND(M296&lt;=$AA$8)),$Y$8,IF(EXACT(M296,$Y$9),$Z$9))))))</f>
        <v>C</v>
      </c>
      <c r="S296" s="17" t="str">
        <f>IF(((N296&gt;=$Z$4)*AND(N296&lt;=$AA$4)),$Y$4,IF(((N296&gt;$AA$4)*AND(N296&lt;=$AA$5)),$Y$5,IF(((N296&gt;$AA$5)*AND(N296&lt;=$AA$6)),$Y$6,IF(((N296&gt;$AA$6)*AND(N296&lt;=$AA$7)),$Y$7,IF(((N296&gt;$AA$7)*AND(N296&lt;=$AA$8)),$Y$8,IF(EXACT(N296,$Y$9),$Z$9))))))</f>
        <v>C</v>
      </c>
      <c r="T296" s="327" t="str">
        <f>IF(((O296&gt;=$Z$4)*AND(O296&lt;=$AA$4)),$Y$4,IF(((O296&gt;$AA$4)*AND(O296&lt;=$AA$5)),$Y$5,IF(((O296&gt;$AA$5)*AND(O296&lt;=$AA$6)),$Y$6,IF(((O296&gt;$AA$6)*AND(O296&lt;=$AA$7)),$Y$7,IF(((O296&gt;$AA$7)*AND(O296&lt;=$AA$8)),$Y$8,IF(EXACT(O296,$Y$9),$Z$9))))))</f>
        <v>B</v>
      </c>
      <c r="U296" s="328"/>
      <c r="V296" s="328"/>
    </row>
    <row r="297" spans="1:22" ht="60" x14ac:dyDescent="0.25">
      <c r="A297" s="343"/>
      <c r="B297" s="343"/>
      <c r="C297" s="334"/>
      <c r="D297" s="331"/>
      <c r="E297" s="167" t="str">
        <f>Apreciación!A199</f>
        <v>Egresados</v>
      </c>
      <c r="F297" s="181" t="str">
        <f>Apreciación!E199</f>
        <v>Cuenta de 12. Considero que estudiar un programa de ingeniería por ciclos, nivel tecnológico y nivel de Ingeniería, me brindó mejores oportunidades que estudiar una carrera de Ingeniería tradicional.</v>
      </c>
      <c r="G297" s="205">
        <f>Apreciación!F199</f>
        <v>3.8461538461538464E-2</v>
      </c>
      <c r="H297" s="205">
        <f>Apreciación!G199</f>
        <v>1.282051282051282E-2</v>
      </c>
      <c r="I297" s="205">
        <f>Apreciación!H199</f>
        <v>0.11538461538461539</v>
      </c>
      <c r="J297" s="205">
        <f>Apreciación!I199</f>
        <v>0.24358974358974358</v>
      </c>
      <c r="K297" s="205">
        <f>Apreciación!J199</f>
        <v>0.57692307692307687</v>
      </c>
      <c r="L297" s="205">
        <f>Apreciación!K199</f>
        <v>1.282051282051282E-2</v>
      </c>
      <c r="M297" s="89">
        <f t="shared" si="32"/>
        <v>4.2935897435897434</v>
      </c>
      <c r="N297" s="324">
        <f>AVERAGE(M297:M301)</f>
        <v>4.2185897435897441</v>
      </c>
      <c r="O297" s="325"/>
      <c r="P297" s="325"/>
      <c r="Q297" s="325"/>
      <c r="R297" s="17" t="str">
        <f>IF(((M297&gt;=$Z$4)*AND(M297&lt;=$AA$4)),$Y$4,IF(((M297&gt;$AA$4)*AND(M297&lt;=$AA$5)),$Y$5,IF(((M297&gt;$AA$5)*AND(M297&lt;=$AA$6)),$Y$6,IF(((M297&gt;$AA$6)*AND(M297&lt;=$AA$7)),$Y$7,IF(((M297&gt;$AA$7)*AND(M297&lt;=$AA$8)),$Y$8,IF(EXACT(M297,$Y$9),$Z$9))))))</f>
        <v>B</v>
      </c>
      <c r="S297" s="327" t="str">
        <f>IF(((N297&gt;=$Z$4)*AND(N297&lt;=$AA$4)),$Y$4,IF(((N297&gt;$AA$4)*AND(N297&lt;=$AA$5)),$Y$5,IF(((N297&gt;$AA$5)*AND(N297&lt;=$AA$6)),$Y$6,IF(((N297&gt;$AA$6)*AND(N297&lt;=$AA$7)),$Y$7,IF(((N297&gt;$AA$7)*AND(N297&lt;=$AA$8)),$Y$8,IF(EXACT(N297,$Y$9),$Z$9))))))</f>
        <v>B</v>
      </c>
      <c r="T297" s="328"/>
      <c r="U297" s="328"/>
      <c r="V297" s="328"/>
    </row>
    <row r="298" spans="1:22" ht="36" x14ac:dyDescent="0.25">
      <c r="A298" s="343"/>
      <c r="B298" s="343"/>
      <c r="C298" s="334"/>
      <c r="D298" s="331"/>
      <c r="E298" s="167" t="str">
        <f>Apreciación!A200</f>
        <v>Egresados</v>
      </c>
      <c r="F298" s="181" t="str">
        <f>Apreciación!E200</f>
        <v>Cuenta de 13. Considero que la denominación de mi titulo de tecnólogo me ha abierto posibilidades en el mercado laboral.</v>
      </c>
      <c r="G298" s="205">
        <f>Apreciación!F200</f>
        <v>3.8461538461538464E-2</v>
      </c>
      <c r="H298" s="205">
        <f>Apreciación!G200</f>
        <v>5.128205128205128E-2</v>
      </c>
      <c r="I298" s="205">
        <f>Apreciación!H200</f>
        <v>0.10256410256410256</v>
      </c>
      <c r="J298" s="205">
        <f>Apreciación!I200</f>
        <v>0.41025641025641024</v>
      </c>
      <c r="K298" s="205">
        <f>Apreciación!J200</f>
        <v>0.37179487179487181</v>
      </c>
      <c r="L298" s="205">
        <f>Apreciación!K200</f>
        <v>2.564102564102564E-2</v>
      </c>
      <c r="M298" s="89">
        <f t="shared" si="32"/>
        <v>4.0852564102564104</v>
      </c>
      <c r="N298" s="325"/>
      <c r="O298" s="325"/>
      <c r="P298" s="325"/>
      <c r="Q298" s="325"/>
      <c r="R298" s="17" t="str">
        <f t="shared" ref="R298:R314" si="33">IF(((M298&gt;=$Z$4)*AND(M298&lt;=$AA$4)),$Y$4,IF(((M298&gt;$AA$4)*AND(M298&lt;=$AA$5)),$Y$5,IF(((M298&gt;$AA$5)*AND(M298&lt;=$AA$6)),$Y$6,IF(((M298&gt;$AA$6)*AND(M298&lt;=$AA$7)),$Y$7,IF(((M298&gt;$AA$7)*AND(M298&lt;=$AA$8)),$Y$8,IF(EXACT(M298,$Y$9),$Z$9))))))</f>
        <v>B</v>
      </c>
      <c r="S298" s="328"/>
      <c r="T298" s="328"/>
      <c r="U298" s="328"/>
      <c r="V298" s="328"/>
    </row>
    <row r="299" spans="1:22" ht="36" x14ac:dyDescent="0.25">
      <c r="A299" s="343"/>
      <c r="B299" s="343"/>
      <c r="C299" s="334"/>
      <c r="D299" s="331"/>
      <c r="E299" s="167" t="str">
        <f>Apreciación!A201</f>
        <v>Egresados</v>
      </c>
      <c r="F299" s="181" t="str">
        <f>Apreciación!E201</f>
        <v>Cuenta de 14. Considero que la denominación de mi título de ingeniero me abre o me abrirá mayores posibilidades en el mercado laboral.</v>
      </c>
      <c r="G299" s="205">
        <f>Apreciación!F201</f>
        <v>7.6923076923076927E-2</v>
      </c>
      <c r="H299" s="205">
        <f>Apreciación!G201</f>
        <v>5.128205128205128E-2</v>
      </c>
      <c r="I299" s="205">
        <f>Apreciación!H201</f>
        <v>0.12820512820512819</v>
      </c>
      <c r="J299" s="205">
        <f>Apreciación!I201</f>
        <v>0.33333333333333331</v>
      </c>
      <c r="K299" s="205">
        <f>Apreciación!J201</f>
        <v>0.41025641025641024</v>
      </c>
      <c r="L299" s="205">
        <f>Apreciación!K201</f>
        <v>0</v>
      </c>
      <c r="M299" s="89">
        <f t="shared" si="32"/>
        <v>4.1051282051282048</v>
      </c>
      <c r="N299" s="325"/>
      <c r="O299" s="325"/>
      <c r="P299" s="325"/>
      <c r="Q299" s="325"/>
      <c r="R299" s="17" t="str">
        <f t="shared" si="33"/>
        <v>B</v>
      </c>
      <c r="S299" s="328"/>
      <c r="T299" s="328"/>
      <c r="U299" s="328"/>
      <c r="V299" s="328"/>
    </row>
    <row r="300" spans="1:22" ht="36" x14ac:dyDescent="0.25">
      <c r="A300" s="343"/>
      <c r="B300" s="343"/>
      <c r="C300" s="334"/>
      <c r="D300" s="331"/>
      <c r="E300" s="167" t="str">
        <f>Apreciación!A202</f>
        <v>Egresados</v>
      </c>
      <c r="F300" s="181" t="str">
        <f>Apreciación!E202</f>
        <v>Cuenta de 15. Considero que ser ingeniero mejora o mejorará las condiciones laborales del tecnólogo.</v>
      </c>
      <c r="G300" s="205">
        <f>Apreciación!F202</f>
        <v>2.564102564102564E-2</v>
      </c>
      <c r="H300" s="205">
        <f>Apreciación!G202</f>
        <v>0</v>
      </c>
      <c r="I300" s="205">
        <f>Apreciación!H202</f>
        <v>7.6923076923076927E-2</v>
      </c>
      <c r="J300" s="205">
        <f>Apreciación!I202</f>
        <v>0.28205128205128205</v>
      </c>
      <c r="K300" s="205">
        <f>Apreciación!J202</f>
        <v>0.58974358974358976</v>
      </c>
      <c r="L300" s="205">
        <f>Apreciación!K202</f>
        <v>2.564102564102564E-2</v>
      </c>
      <c r="M300" s="89">
        <f t="shared" si="32"/>
        <v>4.3141025641025639</v>
      </c>
      <c r="N300" s="325"/>
      <c r="O300" s="325"/>
      <c r="P300" s="325"/>
      <c r="Q300" s="325"/>
      <c r="R300" s="17" t="str">
        <f t="shared" si="33"/>
        <v>B</v>
      </c>
      <c r="S300" s="328"/>
      <c r="T300" s="328"/>
      <c r="U300" s="328"/>
      <c r="V300" s="328"/>
    </row>
    <row r="301" spans="1:22" ht="36" x14ac:dyDescent="0.25">
      <c r="A301" s="343"/>
      <c r="B301" s="343"/>
      <c r="C301" s="335"/>
      <c r="D301" s="332"/>
      <c r="E301" s="167" t="str">
        <f>Apreciación!A203</f>
        <v>Egresados</v>
      </c>
      <c r="F301" s="181" t="str">
        <f>Apreciación!E203</f>
        <v>Cuenta de 16. Considero que mi paso por el nivel de ingeniería mejoró o mejorará las competencias que he desarrollado en el nivel tecnológico.</v>
      </c>
      <c r="G301" s="205">
        <f>Apreciación!F203</f>
        <v>2.564102564102564E-2</v>
      </c>
      <c r="H301" s="205">
        <f>Apreciación!G203</f>
        <v>1.282051282051282E-2</v>
      </c>
      <c r="I301" s="205">
        <f>Apreciación!H203</f>
        <v>6.4102564102564097E-2</v>
      </c>
      <c r="J301" s="205">
        <f>Apreciación!I203</f>
        <v>0.41025641025641024</v>
      </c>
      <c r="K301" s="205">
        <f>Apreciación!J203</f>
        <v>0.47435897435897434</v>
      </c>
      <c r="L301" s="205">
        <f>Apreciación!K203</f>
        <v>1.282051282051282E-2</v>
      </c>
      <c r="M301" s="89">
        <f t="shared" si="32"/>
        <v>4.2948717948717956</v>
      </c>
      <c r="N301" s="326"/>
      <c r="O301" s="326"/>
      <c r="P301" s="325"/>
      <c r="Q301" s="325"/>
      <c r="R301" s="17" t="str">
        <f t="shared" si="33"/>
        <v>B</v>
      </c>
      <c r="S301" s="329"/>
      <c r="T301" s="329"/>
      <c r="U301" s="328"/>
      <c r="V301" s="328"/>
    </row>
    <row r="302" spans="1:22" ht="48" x14ac:dyDescent="0.25">
      <c r="A302" s="343"/>
      <c r="B302" s="343"/>
      <c r="C302" s="333" t="str">
        <f>Final!E104</f>
        <v>c</v>
      </c>
      <c r="D302" s="330" t="str">
        <f>Final!F104</f>
        <v>Apreciación de los estudiantes, profesores y directivos del proyecto curricular sobre la correspondencia entre los métodos de enseñanza y aprendizaje que se emplean en el proyecto curricular y el desarrollo de los contenidos, problemas o proyectos que se desarrollan en el plan de estudios.</v>
      </c>
      <c r="E302" s="11" t="str">
        <f>Apreciación!A37</f>
        <v>Estudiantes</v>
      </c>
      <c r="F302" s="11" t="str">
        <f>Apreciación!E37</f>
        <v>Cuenta de 27. Las estrategias didácticas empleadas en mi programa académico me permiten adquirir los conocimientos característicos de la profesión que escogí.</v>
      </c>
      <c r="G302" s="205">
        <f>Apreciación!F37</f>
        <v>4.1916167664670656E-2</v>
      </c>
      <c r="H302" s="205">
        <f>Apreciación!G37</f>
        <v>9.580838323353294E-2</v>
      </c>
      <c r="I302" s="205">
        <f>Apreciación!H37</f>
        <v>0.23952095808383234</v>
      </c>
      <c r="J302" s="205">
        <f>Apreciación!I37</f>
        <v>0.3652694610778443</v>
      </c>
      <c r="K302" s="205">
        <f>Apreciación!J37</f>
        <v>0.25149700598802394</v>
      </c>
      <c r="L302" s="205">
        <f>Apreciación!K37</f>
        <v>5.9880239520958087E-3</v>
      </c>
      <c r="M302" s="18">
        <f t="shared" si="32"/>
        <v>3.9688622754491014</v>
      </c>
      <c r="N302" s="350">
        <f>AVERAGE(M302:M303)</f>
        <v>3.8745508982035926</v>
      </c>
      <c r="O302" s="324">
        <f>(N302*$AE$5)+(N304*$AE$4)+(N305*$AE$6)+(AVERAGE(N302:N309)*$AE$8)+(AVERAGE(N302:N309)*$AE$7)</f>
        <v>3.7739774297558726</v>
      </c>
      <c r="P302" s="325"/>
      <c r="Q302" s="325"/>
      <c r="R302" s="17" t="str">
        <f t="shared" si="33"/>
        <v>C</v>
      </c>
      <c r="S302" s="327" t="str">
        <f>IF(((N302&gt;=$Z$4)*AND(N302&lt;=$AA$4)),$Y$4,IF(((N302&gt;$AA$4)*AND(N302&lt;=$AA$5)),$Y$5,IF(((N302&gt;$AA$5)*AND(N302&lt;=$AA$6)),$Y$6,IF(((N302&gt;$AA$6)*AND(N302&lt;=$AA$7)),$Y$7,IF(((N302&gt;$AA$7)*AND(N302&lt;=$AA$8)),$Y$8,IF(EXACT(N302,$Y$9),$Z$9))))))</f>
        <v>C</v>
      </c>
      <c r="T302" s="327" t="str">
        <f>IF(((O302&gt;=$Z$4)*AND(O302&lt;=$AA$4)),$Y$4,IF(((O302&gt;$AA$4)*AND(O302&lt;=$AA$5)),$Y$5,IF(((O302&gt;$AA$5)*AND(O302&lt;=$AA$6)),$Y$6,IF(((O302&gt;$AA$6)*AND(O302&lt;=$AA$7)),$Y$7,IF(((O302&gt;$AA$7)*AND(O302&lt;=$AA$8)),$Y$8,IF(EXACT(O302,$Y$9),$Z$9))))))</f>
        <v>C</v>
      </c>
      <c r="U302" s="328"/>
      <c r="V302" s="328"/>
    </row>
    <row r="303" spans="1:22" ht="36" x14ac:dyDescent="0.25">
      <c r="A303" s="343"/>
      <c r="B303" s="343"/>
      <c r="C303" s="334"/>
      <c r="D303" s="331"/>
      <c r="E303" s="11" t="str">
        <f>Apreciación!A39</f>
        <v>Estudiantes</v>
      </c>
      <c r="F303" s="11" t="str">
        <f>Apreciación!E39</f>
        <v>Cuenta de 29. Me siento a gusto con las estrategias de enseñanza utilizadas en mi programa académico.</v>
      </c>
      <c r="G303" s="205">
        <f>Apreciación!F39</f>
        <v>5.9880239520958084E-2</v>
      </c>
      <c r="H303" s="205">
        <f>Apreciación!G39</f>
        <v>0.11377245508982035</v>
      </c>
      <c r="I303" s="205">
        <f>Apreciación!H39</f>
        <v>0.29341317365269459</v>
      </c>
      <c r="J303" s="205">
        <f>Apreciación!I39</f>
        <v>0.39520958083832336</v>
      </c>
      <c r="K303" s="205">
        <f>Apreciación!J39</f>
        <v>0.12574850299401197</v>
      </c>
      <c r="L303" s="205">
        <f>Apreciación!K39</f>
        <v>1.1976047904191617E-2</v>
      </c>
      <c r="M303" s="89">
        <f t="shared" ref="M303:M309" si="34">(G303*$G$2)+(H303*$H$2)+(I303*$I$2)+(J303*$J$2)+(K303*$K$2)+(L303*$L$2)</f>
        <v>3.7802395209580837</v>
      </c>
      <c r="N303" s="350"/>
      <c r="O303" s="325"/>
      <c r="P303" s="325"/>
      <c r="Q303" s="325"/>
      <c r="R303" s="17" t="str">
        <f t="shared" si="33"/>
        <v>C</v>
      </c>
      <c r="S303" s="328"/>
      <c r="T303" s="328"/>
      <c r="U303" s="328"/>
      <c r="V303" s="328"/>
    </row>
    <row r="304" spans="1:22" ht="48" x14ac:dyDescent="0.25">
      <c r="A304" s="343"/>
      <c r="B304" s="343"/>
      <c r="C304" s="334"/>
      <c r="D304" s="331"/>
      <c r="E304" s="11" t="str">
        <f>Apreciación!A140</f>
        <v>Docentes</v>
      </c>
      <c r="F304" s="11" t="str">
        <f>Apreciación!E140</f>
        <v xml:space="preserve">Cuenta de 37. Considero que el programa académico al cual pertenezco reflexiona permanentemente sobre los métodos de enseñanza- aprendizaje empleados. </v>
      </c>
      <c r="G304" s="205">
        <f>Apreciación!F140</f>
        <v>7.407407407407407E-2</v>
      </c>
      <c r="H304" s="205">
        <f>Apreciación!G140</f>
        <v>0.1111111111111111</v>
      </c>
      <c r="I304" s="205">
        <f>Apreciación!H140</f>
        <v>0.29629629629629628</v>
      </c>
      <c r="J304" s="205">
        <f>Apreciación!I140</f>
        <v>0.29629629629629628</v>
      </c>
      <c r="K304" s="205">
        <f>Apreciación!J140</f>
        <v>0.14814814814814814</v>
      </c>
      <c r="L304" s="205">
        <f>Apreciación!K140</f>
        <v>7.407407407407407E-2</v>
      </c>
      <c r="M304" s="89">
        <f t="shared" si="34"/>
        <v>3.498148148148148</v>
      </c>
      <c r="N304" s="159">
        <f>AVERAGE(M304)</f>
        <v>3.498148148148148</v>
      </c>
      <c r="O304" s="325"/>
      <c r="P304" s="325"/>
      <c r="Q304" s="325"/>
      <c r="R304" s="17" t="str">
        <f t="shared" si="33"/>
        <v>D</v>
      </c>
      <c r="S304" s="17" t="str">
        <f>IF(((N304&gt;=$Z$4)*AND(N304&lt;=$AA$4)),$Y$4,IF(((N304&gt;$AA$4)*AND(N304&lt;=$AA$5)),$Y$5,IF(((N304&gt;$AA$5)*AND(N304&lt;=$AA$6)),$Y$6,IF(((N304&gt;$AA$6)*AND(N304&lt;=$AA$7)),$Y$7,IF(((N304&gt;$AA$7)*AND(N304&lt;=$AA$8)),$Y$8,IF(EXACT(N304,$Y$9),$Z$9))))))</f>
        <v>D</v>
      </c>
      <c r="T304" s="328"/>
      <c r="U304" s="328"/>
      <c r="V304" s="328"/>
    </row>
    <row r="305" spans="1:22" ht="60" x14ac:dyDescent="0.25">
      <c r="A305" s="343"/>
      <c r="B305" s="343"/>
      <c r="C305" s="334"/>
      <c r="D305" s="331"/>
      <c r="E305" s="167" t="str">
        <f>Apreciación!A199</f>
        <v>Egresados</v>
      </c>
      <c r="F305" s="181" t="str">
        <f>Apreciación!E199</f>
        <v>Cuenta de 12. Considero que estudiar un programa de ingeniería por ciclos, nivel tecnológico y nivel de Ingeniería, me brindó mejores oportunidades que estudiar una carrera de Ingeniería tradicional.</v>
      </c>
      <c r="G305" s="205">
        <f>Apreciación!F199</f>
        <v>3.8461538461538464E-2</v>
      </c>
      <c r="H305" s="205">
        <f>Apreciación!G199</f>
        <v>1.282051282051282E-2</v>
      </c>
      <c r="I305" s="205">
        <f>Apreciación!H199</f>
        <v>0.11538461538461539</v>
      </c>
      <c r="J305" s="205">
        <f>Apreciación!I199</f>
        <v>0.24358974358974358</v>
      </c>
      <c r="K305" s="205">
        <f>Apreciación!J199</f>
        <v>0.57692307692307687</v>
      </c>
      <c r="L305" s="205">
        <f>Apreciación!K199</f>
        <v>1.282051282051282E-2</v>
      </c>
      <c r="M305" s="89">
        <f t="shared" si="34"/>
        <v>4.2935897435897434</v>
      </c>
      <c r="N305" s="324">
        <f>AVERAGE(M305:M309)</f>
        <v>4.2185897435897441</v>
      </c>
      <c r="O305" s="325"/>
      <c r="P305" s="325"/>
      <c r="Q305" s="325"/>
      <c r="R305" s="17" t="str">
        <f t="shared" si="33"/>
        <v>B</v>
      </c>
      <c r="S305" s="327" t="str">
        <f>IF(((N305&gt;=$Z$4)*AND(N305&lt;=$AA$4)),$Y$4,IF(((N305&gt;$AA$4)*AND(N305&lt;=$AA$5)),$Y$5,IF(((N305&gt;$AA$5)*AND(N305&lt;=$AA$6)),$Y$6,IF(((N305&gt;$AA$6)*AND(N305&lt;=$AA$7)),$Y$7,IF(((N305&gt;$AA$7)*AND(N305&lt;=$AA$8)),$Y$8,IF(EXACT(N305,$Y$9),$Z$9))))))</f>
        <v>B</v>
      </c>
      <c r="T305" s="328"/>
      <c r="U305" s="328"/>
      <c r="V305" s="328"/>
    </row>
    <row r="306" spans="1:22" ht="36" x14ac:dyDescent="0.25">
      <c r="A306" s="343"/>
      <c r="B306" s="343"/>
      <c r="C306" s="334"/>
      <c r="D306" s="331"/>
      <c r="E306" s="167" t="str">
        <f>Apreciación!A200</f>
        <v>Egresados</v>
      </c>
      <c r="F306" s="181" t="str">
        <f>Apreciación!E200</f>
        <v>Cuenta de 13. Considero que la denominación de mi titulo de tecnólogo me ha abierto posibilidades en el mercado laboral.</v>
      </c>
      <c r="G306" s="205">
        <f>Apreciación!F200</f>
        <v>3.8461538461538464E-2</v>
      </c>
      <c r="H306" s="205">
        <f>Apreciación!G200</f>
        <v>5.128205128205128E-2</v>
      </c>
      <c r="I306" s="205">
        <f>Apreciación!H200</f>
        <v>0.10256410256410256</v>
      </c>
      <c r="J306" s="205">
        <f>Apreciación!I200</f>
        <v>0.41025641025641024</v>
      </c>
      <c r="K306" s="205">
        <f>Apreciación!J200</f>
        <v>0.37179487179487181</v>
      </c>
      <c r="L306" s="205">
        <f>Apreciación!K200</f>
        <v>2.564102564102564E-2</v>
      </c>
      <c r="M306" s="89">
        <f t="shared" si="34"/>
        <v>4.0852564102564104</v>
      </c>
      <c r="N306" s="325"/>
      <c r="O306" s="325"/>
      <c r="P306" s="325"/>
      <c r="Q306" s="325"/>
      <c r="R306" s="17" t="str">
        <f t="shared" si="33"/>
        <v>B</v>
      </c>
      <c r="S306" s="328"/>
      <c r="T306" s="328"/>
      <c r="U306" s="328"/>
      <c r="V306" s="328"/>
    </row>
    <row r="307" spans="1:22" ht="36" x14ac:dyDescent="0.25">
      <c r="A307" s="343"/>
      <c r="B307" s="343"/>
      <c r="C307" s="334"/>
      <c r="D307" s="331"/>
      <c r="E307" s="167" t="str">
        <f>Apreciación!A201</f>
        <v>Egresados</v>
      </c>
      <c r="F307" s="181" t="str">
        <f>Apreciación!E201</f>
        <v>Cuenta de 14. Considero que la denominación de mi título de ingeniero me abre o me abrirá mayores posibilidades en el mercado laboral.</v>
      </c>
      <c r="G307" s="205">
        <f>Apreciación!F201</f>
        <v>7.6923076923076927E-2</v>
      </c>
      <c r="H307" s="205">
        <f>Apreciación!G201</f>
        <v>5.128205128205128E-2</v>
      </c>
      <c r="I307" s="205">
        <f>Apreciación!H201</f>
        <v>0.12820512820512819</v>
      </c>
      <c r="J307" s="205">
        <f>Apreciación!I201</f>
        <v>0.33333333333333331</v>
      </c>
      <c r="K307" s="205">
        <f>Apreciación!J201</f>
        <v>0.41025641025641024</v>
      </c>
      <c r="L307" s="205">
        <f>Apreciación!K201</f>
        <v>0</v>
      </c>
      <c r="M307" s="89">
        <f t="shared" si="34"/>
        <v>4.1051282051282048</v>
      </c>
      <c r="N307" s="325"/>
      <c r="O307" s="325"/>
      <c r="P307" s="325"/>
      <c r="Q307" s="325"/>
      <c r="R307" s="17" t="str">
        <f t="shared" si="33"/>
        <v>B</v>
      </c>
      <c r="S307" s="328"/>
      <c r="T307" s="328"/>
      <c r="U307" s="328"/>
      <c r="V307" s="328"/>
    </row>
    <row r="308" spans="1:22" ht="36" x14ac:dyDescent="0.25">
      <c r="A308" s="343"/>
      <c r="B308" s="343"/>
      <c r="C308" s="334"/>
      <c r="D308" s="331"/>
      <c r="E308" s="167" t="str">
        <f>Apreciación!A202</f>
        <v>Egresados</v>
      </c>
      <c r="F308" s="181" t="str">
        <f>Apreciación!E202</f>
        <v>Cuenta de 15. Considero que ser ingeniero mejora o mejorará las condiciones laborales del tecnólogo.</v>
      </c>
      <c r="G308" s="205">
        <f>Apreciación!F202</f>
        <v>2.564102564102564E-2</v>
      </c>
      <c r="H308" s="205">
        <f>Apreciación!G202</f>
        <v>0</v>
      </c>
      <c r="I308" s="205">
        <f>Apreciación!H202</f>
        <v>7.6923076923076927E-2</v>
      </c>
      <c r="J308" s="205">
        <f>Apreciación!I202</f>
        <v>0.28205128205128205</v>
      </c>
      <c r="K308" s="205">
        <f>Apreciación!J202</f>
        <v>0.58974358974358976</v>
      </c>
      <c r="L308" s="205">
        <f>Apreciación!K202</f>
        <v>2.564102564102564E-2</v>
      </c>
      <c r="M308" s="89">
        <f t="shared" si="34"/>
        <v>4.3141025641025639</v>
      </c>
      <c r="N308" s="325"/>
      <c r="O308" s="325"/>
      <c r="P308" s="325"/>
      <c r="Q308" s="325"/>
      <c r="R308" s="17" t="str">
        <f t="shared" si="33"/>
        <v>B</v>
      </c>
      <c r="S308" s="328"/>
      <c r="T308" s="328"/>
      <c r="U308" s="328"/>
      <c r="V308" s="328"/>
    </row>
    <row r="309" spans="1:22" ht="36" x14ac:dyDescent="0.25">
      <c r="A309" s="343"/>
      <c r="B309" s="343"/>
      <c r="C309" s="335"/>
      <c r="D309" s="332"/>
      <c r="E309" s="167" t="str">
        <f>Apreciación!A203</f>
        <v>Egresados</v>
      </c>
      <c r="F309" s="181" t="str">
        <f>Apreciación!E203</f>
        <v>Cuenta de 16. Considero que mi paso por el nivel de ingeniería mejoró o mejorará las competencias que he desarrollado en el nivel tecnológico.</v>
      </c>
      <c r="G309" s="205">
        <f>Apreciación!F203</f>
        <v>2.564102564102564E-2</v>
      </c>
      <c r="H309" s="205">
        <f>Apreciación!G203</f>
        <v>1.282051282051282E-2</v>
      </c>
      <c r="I309" s="205">
        <f>Apreciación!H203</f>
        <v>6.4102564102564097E-2</v>
      </c>
      <c r="J309" s="205">
        <f>Apreciación!I203</f>
        <v>0.41025641025641024</v>
      </c>
      <c r="K309" s="205">
        <f>Apreciación!J203</f>
        <v>0.47435897435897434</v>
      </c>
      <c r="L309" s="205">
        <f>Apreciación!K203</f>
        <v>1.282051282051282E-2</v>
      </c>
      <c r="M309" s="89">
        <f t="shared" si="34"/>
        <v>4.2948717948717956</v>
      </c>
      <c r="N309" s="326"/>
      <c r="O309" s="326"/>
      <c r="P309" s="325"/>
      <c r="Q309" s="325"/>
      <c r="R309" s="17" t="str">
        <f t="shared" si="33"/>
        <v>B</v>
      </c>
      <c r="S309" s="329"/>
      <c r="T309" s="329"/>
      <c r="U309" s="328"/>
      <c r="V309" s="328"/>
    </row>
    <row r="310" spans="1:22" ht="72" x14ac:dyDescent="0.25">
      <c r="A310" s="343"/>
      <c r="B310" s="343"/>
      <c r="C310" s="58" t="str">
        <f>Final!E105</f>
        <v>d</v>
      </c>
      <c r="D310" s="59" t="str">
        <f>Final!F105</f>
        <v>Identificación de las estrategias y mecanismos de seguimiento y acompañamiento por parte del docente al trabajo que realizan los estudiantes en las distintas actividades académicas, de acuerdo con sus capacidades y potencialidades y con el tipo y metodología del proyecto curricular</v>
      </c>
      <c r="E310" s="61" t="s">
        <v>64</v>
      </c>
      <c r="F310" s="61" t="s">
        <v>64</v>
      </c>
      <c r="G310" s="204" t="s">
        <v>64</v>
      </c>
      <c r="H310" s="204" t="s">
        <v>64</v>
      </c>
      <c r="I310" s="204" t="s">
        <v>64</v>
      </c>
      <c r="J310" s="204" t="s">
        <v>64</v>
      </c>
      <c r="K310" s="204" t="s">
        <v>64</v>
      </c>
      <c r="L310" s="204" t="s">
        <v>64</v>
      </c>
      <c r="M310" s="130" t="s">
        <v>64</v>
      </c>
      <c r="N310" s="130" t="s">
        <v>64</v>
      </c>
      <c r="O310" s="130" t="s">
        <v>64</v>
      </c>
      <c r="P310" s="325"/>
      <c r="Q310" s="325"/>
      <c r="R310" s="17" t="str">
        <f t="shared" si="33"/>
        <v>NA</v>
      </c>
      <c r="S310" s="17" t="str">
        <f t="shared" ref="S310:T314" si="35">IF(((N310&gt;=$Z$4)*AND(N310&lt;=$AA$4)),$Y$4,IF(((N310&gt;$AA$4)*AND(N310&lt;=$AA$5)),$Y$5,IF(((N310&gt;$AA$5)*AND(N310&lt;=$AA$6)),$Y$6,IF(((N310&gt;$AA$6)*AND(N310&lt;=$AA$7)),$Y$7,IF(((N310&gt;$AA$7)*AND(N310&lt;=$AA$8)),$Y$8,IF(EXACT(N310,$Y$9),$Z$9))))))</f>
        <v>NA</v>
      </c>
      <c r="T310" s="17" t="str">
        <f t="shared" si="35"/>
        <v>NA</v>
      </c>
      <c r="U310" s="328"/>
      <c r="V310" s="328"/>
    </row>
    <row r="311" spans="1:22" ht="72" x14ac:dyDescent="0.25">
      <c r="A311" s="343"/>
      <c r="B311" s="343"/>
      <c r="C311" s="58" t="str">
        <f>Final!E106</f>
        <v>e</v>
      </c>
      <c r="D311" s="59" t="str">
        <f>Final!F106</f>
        <v>Incorporación de los avances, tendencias y transformaciones que se han dado en el campo de conocimiento del proyecto curricular (ciencias, tecnologías, técnicas o artes) que se correspondan con el tipo y modalidad del proyecto curricular.</v>
      </c>
      <c r="E311" s="61" t="s">
        <v>64</v>
      </c>
      <c r="F311" s="61" t="s">
        <v>64</v>
      </c>
      <c r="G311" s="204" t="s">
        <v>64</v>
      </c>
      <c r="H311" s="204" t="s">
        <v>64</v>
      </c>
      <c r="I311" s="204" t="s">
        <v>64</v>
      </c>
      <c r="J311" s="204" t="s">
        <v>64</v>
      </c>
      <c r="K311" s="204" t="s">
        <v>64</v>
      </c>
      <c r="L311" s="204" t="s">
        <v>64</v>
      </c>
      <c r="M311" s="89" t="s">
        <v>64</v>
      </c>
      <c r="N311" s="89" t="s">
        <v>64</v>
      </c>
      <c r="O311" s="89" t="s">
        <v>64</v>
      </c>
      <c r="P311" s="325"/>
      <c r="Q311" s="325"/>
      <c r="R311" s="17" t="str">
        <f t="shared" si="33"/>
        <v>NA</v>
      </c>
      <c r="S311" s="17" t="str">
        <f t="shared" si="35"/>
        <v>NA</v>
      </c>
      <c r="T311" s="17" t="str">
        <f t="shared" si="35"/>
        <v>NA</v>
      </c>
      <c r="U311" s="328"/>
      <c r="V311" s="328"/>
    </row>
    <row r="312" spans="1:22" ht="84" x14ac:dyDescent="0.25">
      <c r="A312" s="343"/>
      <c r="B312" s="343"/>
      <c r="C312" s="58" t="str">
        <f>Final!E107</f>
        <v>f</v>
      </c>
      <c r="D312" s="59" t="str">
        <f>Final!F107</f>
        <v>Evidencias de que en el proyecto curricular existe una perspectiva de atención a la diversidad a través de la caracterización de las necesidades de los estudiantes y la implementación de las estrategias pedagógicas, didácticas y comunicativas acordes con las metodologías de enseñanza y las posibilidades tecnológicas.</v>
      </c>
      <c r="E312" s="11" t="str">
        <f>Apreciación!A38</f>
        <v>Estudiantes</v>
      </c>
      <c r="F312" s="11" t="str">
        <f>Apreciación!E38</f>
        <v>Cuenta de 28. El plan de estudios de mi programa académico se desarrolla empleando estrategias didácticas diversas.</v>
      </c>
      <c r="G312" s="205">
        <f>Apreciación!F38</f>
        <v>5.3892215568862277E-2</v>
      </c>
      <c r="H312" s="205">
        <f>Apreciación!G38</f>
        <v>0.11976047904191617</v>
      </c>
      <c r="I312" s="205">
        <f>Apreciación!H38</f>
        <v>0.3712574850299401</v>
      </c>
      <c r="J312" s="205">
        <f>Apreciación!I38</f>
        <v>0.26946107784431139</v>
      </c>
      <c r="K312" s="205">
        <f>Apreciación!J38</f>
        <v>0.16766467065868262</v>
      </c>
      <c r="L312" s="205">
        <f>Apreciación!K38</f>
        <v>1.7964071856287425E-2</v>
      </c>
      <c r="M312" s="18">
        <f>(G312*$G$2)+(H312*$H$2)+(I312*$I$2)+(J312*$J$2)+(K312*$K$2)+(L312*$L$2)</f>
        <v>3.7467065868263476</v>
      </c>
      <c r="N312" s="63">
        <f>AVERAGE(M312)</f>
        <v>3.7467065868263476</v>
      </c>
      <c r="O312" s="18">
        <f>AVERAGE(N312)</f>
        <v>3.7467065868263476</v>
      </c>
      <c r="P312" s="325"/>
      <c r="Q312" s="325"/>
      <c r="R312" s="17" t="str">
        <f t="shared" si="33"/>
        <v>C</v>
      </c>
      <c r="S312" s="17" t="str">
        <f t="shared" si="35"/>
        <v>C</v>
      </c>
      <c r="T312" s="17" t="str">
        <f t="shared" si="35"/>
        <v>C</v>
      </c>
      <c r="U312" s="328"/>
      <c r="V312" s="328"/>
    </row>
    <row r="313" spans="1:22" ht="36" x14ac:dyDescent="0.25">
      <c r="A313" s="343"/>
      <c r="B313" s="343"/>
      <c r="C313" s="58" t="str">
        <f>Final!E108</f>
        <v>g</v>
      </c>
      <c r="D313" s="59" t="str">
        <f>Final!F108</f>
        <v>Articulación entre las estrategias pedagógicas propias de la metodología de enseñanza y los recursos tecnológicos utilizados.</v>
      </c>
      <c r="E313" s="61" t="s">
        <v>64</v>
      </c>
      <c r="F313" s="61" t="s">
        <v>64</v>
      </c>
      <c r="G313" s="204" t="s">
        <v>64</v>
      </c>
      <c r="H313" s="204" t="s">
        <v>64</v>
      </c>
      <c r="I313" s="204" t="s">
        <v>64</v>
      </c>
      <c r="J313" s="204" t="s">
        <v>64</v>
      </c>
      <c r="K313" s="204" t="s">
        <v>64</v>
      </c>
      <c r="L313" s="204" t="s">
        <v>64</v>
      </c>
      <c r="M313" s="89" t="s">
        <v>64</v>
      </c>
      <c r="N313" s="89" t="s">
        <v>64</v>
      </c>
      <c r="O313" s="89" t="s">
        <v>64</v>
      </c>
      <c r="P313" s="325"/>
      <c r="Q313" s="325"/>
      <c r="R313" s="17" t="str">
        <f t="shared" si="33"/>
        <v>NA</v>
      </c>
      <c r="S313" s="17" t="str">
        <f t="shared" si="35"/>
        <v>NA</v>
      </c>
      <c r="T313" s="17" t="str">
        <f t="shared" si="35"/>
        <v>NA</v>
      </c>
      <c r="U313" s="328"/>
      <c r="V313" s="328"/>
    </row>
    <row r="314" spans="1:22" ht="60" customHeight="1" x14ac:dyDescent="0.25">
      <c r="A314" s="343"/>
      <c r="B314" s="343"/>
      <c r="C314" s="333" t="str">
        <f>Final!E109</f>
        <v>h</v>
      </c>
      <c r="D314" s="330" t="str">
        <f>Final!F109</f>
        <v>Existencia y aplicación de estrategias pedagógicas definidas por el proyecto curricular, que están orientados hacia la integración de las tres funciones sustantivas de investigación, docencia y proyección social.</v>
      </c>
      <c r="E314" s="73" t="str">
        <f>Apreciación!A19</f>
        <v>Estudiantes</v>
      </c>
      <c r="F314" s="133" t="str">
        <f>Apreciación!E19</f>
        <v>Cuenta de 15.1. Considero que el tiempo dedicado por los docentes de mi programa académico es adecuado para: LA ENSEÑANZA.</v>
      </c>
      <c r="G314" s="204">
        <f>Apreciación!F19</f>
        <v>5.9880239520958084E-2</v>
      </c>
      <c r="H314" s="204">
        <f>Apreciación!G19</f>
        <v>7.1856287425149698E-2</v>
      </c>
      <c r="I314" s="204">
        <f>Apreciación!H19</f>
        <v>0.38323353293413176</v>
      </c>
      <c r="J314" s="204">
        <f>Apreciación!I19</f>
        <v>0.31736526946107785</v>
      </c>
      <c r="K314" s="204">
        <f>Apreciación!J19</f>
        <v>0.16167664670658682</v>
      </c>
      <c r="L314" s="204">
        <f>Apreciación!K19</f>
        <v>5.9880239520958087E-3</v>
      </c>
      <c r="M314" s="18">
        <f t="shared" ref="M314:M319" si="36">(G314*$G$2)+(H314*$H$2)+(I314*$I$2)+(J314*$J$2)+(K314*$K$2)+(L314*$L$2)</f>
        <v>3.8326347305389223</v>
      </c>
      <c r="N314" s="324">
        <f>AVERAGE(M314:M319)</f>
        <v>3.6892215568862277</v>
      </c>
      <c r="O314" s="324">
        <f>(N314*$AE$5)+(N331*$AE$4)+(N320*$AE$6)+(AVERAGE(N314:N331)*$AE$8)+(N322*$AE$7)</f>
        <v>3.8687185420825019</v>
      </c>
      <c r="P314" s="325"/>
      <c r="Q314" s="325"/>
      <c r="R314" s="17" t="str">
        <f t="shared" si="33"/>
        <v>C</v>
      </c>
      <c r="S314" s="327" t="str">
        <f t="shared" si="35"/>
        <v>C</v>
      </c>
      <c r="T314" s="327" t="str">
        <f t="shared" si="35"/>
        <v>C</v>
      </c>
      <c r="U314" s="328"/>
      <c r="V314" s="328"/>
    </row>
    <row r="315" spans="1:22" ht="36" x14ac:dyDescent="0.25">
      <c r="A315" s="343"/>
      <c r="B315" s="343"/>
      <c r="C315" s="334"/>
      <c r="D315" s="331"/>
      <c r="E315" s="73" t="str">
        <f>Apreciación!A20</f>
        <v>Estudiantes</v>
      </c>
      <c r="F315" s="133" t="str">
        <f>Apreciación!E20</f>
        <v>Cuenta de 15.2. Considero que el tiempo dedicado por los docentes de mi programa académico es adecuado para: LA INVESTIGACIÓN.</v>
      </c>
      <c r="G315" s="204">
        <f>Apreciación!F20</f>
        <v>0.12574850299401197</v>
      </c>
      <c r="H315" s="204">
        <f>Apreciación!G20</f>
        <v>0.1497005988023952</v>
      </c>
      <c r="I315" s="204">
        <f>Apreciación!H20</f>
        <v>0.3532934131736527</v>
      </c>
      <c r="J315" s="204">
        <f>Apreciación!I20</f>
        <v>0.25149700598802394</v>
      </c>
      <c r="K315" s="204">
        <f>Apreciación!J20</f>
        <v>8.9820359281437126E-2</v>
      </c>
      <c r="L315" s="204">
        <f>Apreciación!K20</f>
        <v>2.9940119760479042E-2</v>
      </c>
      <c r="M315" s="130">
        <f t="shared" si="36"/>
        <v>3.4455089820359279</v>
      </c>
      <c r="N315" s="325"/>
      <c r="O315" s="325"/>
      <c r="P315" s="325"/>
      <c r="Q315" s="325"/>
      <c r="R315" s="17" t="str">
        <f t="shared" ref="R315:R331" si="37">IF(((M315&gt;=$Z$4)*AND(M315&lt;=$AA$4)),$Y$4,IF(((M315&gt;$AA$4)*AND(M315&lt;=$AA$5)),$Y$5,IF(((M315&gt;$AA$5)*AND(M315&lt;=$AA$6)),$Y$6,IF(((M315&gt;$AA$6)*AND(M315&lt;=$AA$7)),$Y$7,IF(((M315&gt;$AA$7)*AND(M315&lt;=$AA$8)),$Y$8,IF(EXACT(M315,$Y$9),$Z$9))))))</f>
        <v>D</v>
      </c>
      <c r="S315" s="328"/>
      <c r="T315" s="328"/>
      <c r="U315" s="328"/>
      <c r="V315" s="328"/>
    </row>
    <row r="316" spans="1:22" ht="48" x14ac:dyDescent="0.25">
      <c r="A316" s="343"/>
      <c r="B316" s="343"/>
      <c r="C316" s="334"/>
      <c r="D316" s="331"/>
      <c r="E316" s="73" t="str">
        <f>Apreciación!A21</f>
        <v>Estudiantes</v>
      </c>
      <c r="F316" s="133" t="str">
        <f>Apreciación!E21</f>
        <v>Cuenta de 15.3. Considero que el tiempo dedicado por los docentes de mi programa académico es adecuado para: LA PARTICIPACIÓN EN PROYECTOS DIRIGIDOS A LA COMUNIDAD.</v>
      </c>
      <c r="G316" s="204">
        <f>Apreciación!F21</f>
        <v>0.16766467065868262</v>
      </c>
      <c r="H316" s="204">
        <f>Apreciación!G21</f>
        <v>0.16766467065868262</v>
      </c>
      <c r="I316" s="204">
        <f>Apreciación!H21</f>
        <v>0.29940119760479039</v>
      </c>
      <c r="J316" s="204">
        <f>Apreciación!I21</f>
        <v>0.22155688622754491</v>
      </c>
      <c r="K316" s="204">
        <f>Apreciación!J21</f>
        <v>5.9880239520958084E-2</v>
      </c>
      <c r="L316" s="204">
        <f>Apreciación!K21</f>
        <v>8.3832335329341312E-2</v>
      </c>
      <c r="M316" s="130">
        <f t="shared" si="36"/>
        <v>3.1023952095808385</v>
      </c>
      <c r="N316" s="325"/>
      <c r="O316" s="325"/>
      <c r="P316" s="325"/>
      <c r="Q316" s="325"/>
      <c r="R316" s="17" t="str">
        <f t="shared" si="37"/>
        <v>D</v>
      </c>
      <c r="S316" s="328"/>
      <c r="T316" s="328"/>
      <c r="U316" s="328"/>
      <c r="V316" s="328"/>
    </row>
    <row r="317" spans="1:22" ht="48" x14ac:dyDescent="0.25">
      <c r="A317" s="343"/>
      <c r="B317" s="343"/>
      <c r="C317" s="334"/>
      <c r="D317" s="331"/>
      <c r="E317" s="73" t="str">
        <f>Apreciación!A23</f>
        <v>Estudiantes</v>
      </c>
      <c r="F317" s="133" t="str">
        <f>Apreciación!E23</f>
        <v>Cuenta de 17.1. El programa académico al que pertenezco me brinda las posibilidades necesarias para: DESARROLLAR PROCESOS DE INVESTIGACIÓN.</v>
      </c>
      <c r="G317" s="204">
        <f>Apreciación!F23</f>
        <v>0.17365269461077845</v>
      </c>
      <c r="H317" s="204">
        <f>Apreciación!G23</f>
        <v>0.11976047904191617</v>
      </c>
      <c r="I317" s="204">
        <f>Apreciación!H23</f>
        <v>0.20359281437125748</v>
      </c>
      <c r="J317" s="204">
        <f>Apreciación!I23</f>
        <v>0.42514970059880242</v>
      </c>
      <c r="K317" s="204">
        <f>Apreciación!J23</f>
        <v>5.3892215568862277E-2</v>
      </c>
      <c r="L317" s="204">
        <f>Apreciación!K23</f>
        <v>2.3952095808383235E-2</v>
      </c>
      <c r="M317" s="130">
        <f t="shared" si="36"/>
        <v>3.4434131736526945</v>
      </c>
      <c r="N317" s="325"/>
      <c r="O317" s="325"/>
      <c r="P317" s="325"/>
      <c r="Q317" s="325"/>
      <c r="R317" s="17" t="str">
        <f t="shared" si="37"/>
        <v>D</v>
      </c>
      <c r="S317" s="328"/>
      <c r="T317" s="328"/>
      <c r="U317" s="328"/>
      <c r="V317" s="328"/>
    </row>
    <row r="318" spans="1:22" ht="48" x14ac:dyDescent="0.25">
      <c r="A318" s="343"/>
      <c r="B318" s="343"/>
      <c r="C318" s="334"/>
      <c r="D318" s="331"/>
      <c r="E318" s="73" t="str">
        <f>Apreciación!A24</f>
        <v>Estudiantes</v>
      </c>
      <c r="F318" s="133" t="str">
        <f>Apreciación!E24</f>
        <v>Cuenta de 17.2. El programa académico al que pertenezco me brinda las posibilidades necesarias para: FORMAR UN PENSAMIENTO CRÍTICO Y ÉTICO.</v>
      </c>
      <c r="G318" s="204">
        <f>Apreciación!F24</f>
        <v>4.1916167664670656E-2</v>
      </c>
      <c r="H318" s="204">
        <f>Apreciación!G24</f>
        <v>2.3952095808383235E-2</v>
      </c>
      <c r="I318" s="204">
        <f>Apreciación!H24</f>
        <v>0.1497005988023952</v>
      </c>
      <c r="J318" s="204">
        <f>Apreciación!I24</f>
        <v>0.40718562874251496</v>
      </c>
      <c r="K318" s="204">
        <f>Apreciación!J24</f>
        <v>0.3712574850299401</v>
      </c>
      <c r="L318" s="204">
        <f>Apreciación!K24</f>
        <v>5.9880239520958087E-3</v>
      </c>
      <c r="M318" s="130">
        <f t="shared" si="36"/>
        <v>4.1694610778443115</v>
      </c>
      <c r="N318" s="325"/>
      <c r="O318" s="325"/>
      <c r="P318" s="325"/>
      <c r="Q318" s="325"/>
      <c r="R318" s="17" t="str">
        <f t="shared" si="37"/>
        <v>B</v>
      </c>
      <c r="S318" s="328"/>
      <c r="T318" s="328"/>
      <c r="U318" s="328"/>
      <c r="V318" s="328"/>
    </row>
    <row r="319" spans="1:22" ht="48" x14ac:dyDescent="0.25">
      <c r="A319" s="343"/>
      <c r="B319" s="343"/>
      <c r="C319" s="334"/>
      <c r="D319" s="331"/>
      <c r="E319" s="73" t="str">
        <f>Apreciación!A25</f>
        <v>Estudiantes</v>
      </c>
      <c r="F319" s="133" t="str">
        <f>Apreciación!E25</f>
        <v>Cuenta de 17.3. El programa académico al que pertenezco me brinda las posibilidades necesarias para: GENERAR CONOCIMIENTO AL SERVICIO DE LA SOCIEDAD.</v>
      </c>
      <c r="G319" s="204">
        <f>Apreciación!F25</f>
        <v>2.9940119760479042E-2</v>
      </c>
      <c r="H319" s="204">
        <f>Apreciación!G25</f>
        <v>2.3952095808383235E-2</v>
      </c>
      <c r="I319" s="204">
        <f>Apreciación!H25</f>
        <v>0.16167664670658682</v>
      </c>
      <c r="J319" s="204">
        <f>Apreciación!I25</f>
        <v>0.44910179640718562</v>
      </c>
      <c r="K319" s="204">
        <f>Apreciación!J25</f>
        <v>0.32335329341317365</v>
      </c>
      <c r="L319" s="204">
        <f>Apreciación!K25</f>
        <v>1.1976047904191617E-2</v>
      </c>
      <c r="M319" s="130">
        <f t="shared" si="36"/>
        <v>4.1419161676646707</v>
      </c>
      <c r="N319" s="326"/>
      <c r="O319" s="325"/>
      <c r="P319" s="325"/>
      <c r="Q319" s="325"/>
      <c r="R319" s="17" t="str">
        <f t="shared" si="37"/>
        <v>B</v>
      </c>
      <c r="S319" s="329"/>
      <c r="T319" s="328"/>
      <c r="U319" s="328"/>
      <c r="V319" s="328"/>
    </row>
    <row r="320" spans="1:22" ht="60" x14ac:dyDescent="0.25">
      <c r="A320" s="343"/>
      <c r="B320" s="343"/>
      <c r="C320" s="334"/>
      <c r="D320" s="331"/>
      <c r="E320" s="6" t="str">
        <f>Apreciación!A198</f>
        <v>Egresados</v>
      </c>
      <c r="F320" s="180" t="str">
        <f>Apreciación!E198</f>
        <v>Cuenta de 10. Las estrategias didácticas empleadas en mi programa académico me permitieron adquirir los conocimientos suficientes y requeridos en la profesión que escogí.</v>
      </c>
      <c r="G320" s="204">
        <f>Apreciación!F198</f>
        <v>2.564102564102564E-2</v>
      </c>
      <c r="H320" s="204">
        <f>Apreciación!G198</f>
        <v>1.282051282051282E-2</v>
      </c>
      <c r="I320" s="204">
        <f>Apreciación!H198</f>
        <v>0.28205128205128205</v>
      </c>
      <c r="J320" s="204">
        <f>Apreciación!I198</f>
        <v>0.42307692307692307</v>
      </c>
      <c r="K320" s="204">
        <f>Apreciación!J198</f>
        <v>0.25641025641025639</v>
      </c>
      <c r="L320" s="204">
        <f>Apreciación!K198</f>
        <v>0</v>
      </c>
      <c r="M320" s="130">
        <f t="shared" ref="M320:M331" si="38">(G320*$G$2)+(H320*$H$2)+(I320*$I$2)+(J320*$J$2)+(K320*$K$2)+(L320*$L$2)</f>
        <v>4.1198717948717949</v>
      </c>
      <c r="N320" s="324">
        <f>AVERAGE(M320:M321)</f>
        <v>4.2278846153846157</v>
      </c>
      <c r="O320" s="325"/>
      <c r="P320" s="325"/>
      <c r="Q320" s="325"/>
      <c r="R320" s="17" t="str">
        <f t="shared" si="37"/>
        <v>B</v>
      </c>
      <c r="S320" s="327" t="str">
        <f>IF(((N320&gt;=$Z$4)*AND(N320&lt;=$AA$4)),$Y$4,IF(((N320&gt;$AA$4)*AND(N320&lt;=$AA$5)),$Y$5,IF(((N320&gt;$AA$5)*AND(N320&lt;=$AA$6)),$Y$6,IF(((N320&gt;$AA$6)*AND(N320&lt;=$AA$7)),$Y$7,IF(((N320&gt;$AA$7)*AND(N320&lt;=$AA$8)),$Y$8,IF(EXACT(N320,$Y$9),$Z$9))))))</f>
        <v>B</v>
      </c>
      <c r="T320" s="328"/>
      <c r="U320" s="328"/>
      <c r="V320" s="328"/>
    </row>
    <row r="321" spans="1:22" ht="36" x14ac:dyDescent="0.25">
      <c r="A321" s="343"/>
      <c r="B321" s="343"/>
      <c r="C321" s="334"/>
      <c r="D321" s="331"/>
      <c r="E321" s="6" t="str">
        <f>Apreciación!A216</f>
        <v>Egresados</v>
      </c>
      <c r="F321" s="180" t="str">
        <f>Apreciación!E216</f>
        <v>Cuenta de 8.2. El programa académico al cual pertenecí me brindó las herramientas necesarias para FORTALECER MI ESPÍRITU CRÍTICO Y ÉTICO.</v>
      </c>
      <c r="G321" s="204">
        <f>Apreciación!F216</f>
        <v>2.564102564102564E-2</v>
      </c>
      <c r="H321" s="204">
        <f>Apreciación!G216</f>
        <v>1.282051282051282E-2</v>
      </c>
      <c r="I321" s="204">
        <f>Apreciación!H216</f>
        <v>8.9743589743589744E-2</v>
      </c>
      <c r="J321" s="204">
        <f>Apreciación!I216</f>
        <v>0.39743589743589741</v>
      </c>
      <c r="K321" s="204">
        <f>Apreciación!J216</f>
        <v>0.47435897435897434</v>
      </c>
      <c r="L321" s="204">
        <f>Apreciación!K216</f>
        <v>0</v>
      </c>
      <c r="M321" s="130">
        <f t="shared" si="38"/>
        <v>4.3358974358974365</v>
      </c>
      <c r="N321" s="326"/>
      <c r="O321" s="325"/>
      <c r="P321" s="325"/>
      <c r="Q321" s="325"/>
      <c r="R321" s="17" t="str">
        <f t="shared" si="37"/>
        <v>B</v>
      </c>
      <c r="S321" s="329"/>
      <c r="T321" s="328"/>
      <c r="U321" s="328"/>
      <c r="V321" s="328"/>
    </row>
    <row r="322" spans="1:22" ht="24" x14ac:dyDescent="0.25">
      <c r="A322" s="343"/>
      <c r="B322" s="343"/>
      <c r="C322" s="334"/>
      <c r="D322" s="331"/>
      <c r="E322" s="73" t="str">
        <f>Apreciación!A282</f>
        <v>Directivos</v>
      </c>
      <c r="F322" s="133" t="str">
        <f>Apreciación!E282</f>
        <v>Conoce las fuentes de financiación con las que se cuenta para el desarrollo de:  Investigación</v>
      </c>
      <c r="G322" s="204">
        <f>Apreciación!F282</f>
        <v>6.6666666666666666E-2</v>
      </c>
      <c r="H322" s="204">
        <f>Apreciación!G282</f>
        <v>6.6666666666666666E-2</v>
      </c>
      <c r="I322" s="204">
        <f>Apreciación!H282</f>
        <v>6.6666666666666666E-2</v>
      </c>
      <c r="J322" s="204">
        <f>Apreciación!I282</f>
        <v>0.26666666666666666</v>
      </c>
      <c r="K322" s="204">
        <f>Apreciación!J282</f>
        <v>0.53333333333333333</v>
      </c>
      <c r="L322" s="204">
        <f>Apreciación!K282</f>
        <v>0</v>
      </c>
      <c r="M322" s="130">
        <f t="shared" si="38"/>
        <v>4.21</v>
      </c>
      <c r="N322" s="324">
        <f>AVERAGE(M322:M330)</f>
        <v>3.543703703703704</v>
      </c>
      <c r="O322" s="325"/>
      <c r="P322" s="325"/>
      <c r="Q322" s="325"/>
      <c r="R322" s="17" t="str">
        <f t="shared" si="37"/>
        <v>B</v>
      </c>
      <c r="S322" s="327" t="str">
        <f>IF(((N322&gt;=$Z$4)*AND(N322&lt;=$AA$4)),$Y$4,IF(((N322&gt;$AA$4)*AND(N322&lt;=$AA$5)),$Y$5,IF(((N322&gt;$AA$5)*AND(N322&lt;=$AA$6)),$Y$6,IF(((N322&gt;$AA$6)*AND(N322&lt;=$AA$7)),$Y$7,IF(((N322&gt;$AA$7)*AND(N322&lt;=$AA$8)),$Y$8,IF(EXACT(N322,$Y$9),$Z$9))))))</f>
        <v>C</v>
      </c>
      <c r="T322" s="328"/>
      <c r="U322" s="328"/>
      <c r="V322" s="328"/>
    </row>
    <row r="323" spans="1:22" ht="24" x14ac:dyDescent="0.25">
      <c r="A323" s="343"/>
      <c r="B323" s="343"/>
      <c r="C323" s="334"/>
      <c r="D323" s="331"/>
      <c r="E323" s="73" t="str">
        <f>Apreciación!A283</f>
        <v>Directivos</v>
      </c>
      <c r="F323" s="133" t="str">
        <f>Apreciación!E283</f>
        <v xml:space="preserve">Conoce las fuentes de financiación con las que se cuenta para el desarrollo de:  Docencia </v>
      </c>
      <c r="G323" s="204">
        <f>Apreciación!F283</f>
        <v>6.6666666666666666E-2</v>
      </c>
      <c r="H323" s="204">
        <f>Apreciación!G283</f>
        <v>6.6666666666666666E-2</v>
      </c>
      <c r="I323" s="204">
        <f>Apreciación!H283</f>
        <v>0.13333333333333333</v>
      </c>
      <c r="J323" s="204">
        <f>Apreciación!I283</f>
        <v>0.33333333333333331</v>
      </c>
      <c r="K323" s="204">
        <f>Apreciación!J283</f>
        <v>0.4</v>
      </c>
      <c r="L323" s="204">
        <f>Apreciación!K283</f>
        <v>0</v>
      </c>
      <c r="M323" s="130">
        <f t="shared" si="38"/>
        <v>4.1033333333333335</v>
      </c>
      <c r="N323" s="325"/>
      <c r="O323" s="325"/>
      <c r="P323" s="325"/>
      <c r="Q323" s="325"/>
      <c r="R323" s="17" t="str">
        <f t="shared" si="37"/>
        <v>B</v>
      </c>
      <c r="S323" s="328"/>
      <c r="T323" s="328"/>
      <c r="U323" s="328"/>
      <c r="V323" s="328"/>
    </row>
    <row r="324" spans="1:22" ht="36" x14ac:dyDescent="0.25">
      <c r="A324" s="343"/>
      <c r="B324" s="343"/>
      <c r="C324" s="334"/>
      <c r="D324" s="331"/>
      <c r="E324" s="73" t="str">
        <f>Apreciación!A284</f>
        <v>Directivos</v>
      </c>
      <c r="F324" s="133" t="str">
        <f>Apreciación!E284</f>
        <v>Conoce las fuentes de financiación con las que se cuenta para el desarrollo de:  Extensión y proyección social</v>
      </c>
      <c r="G324" s="204">
        <f>Apreciación!F284</f>
        <v>6.6666666666666666E-2</v>
      </c>
      <c r="H324" s="204">
        <f>Apreciación!G284</f>
        <v>6.6666666666666666E-2</v>
      </c>
      <c r="I324" s="204">
        <f>Apreciación!H284</f>
        <v>0.2</v>
      </c>
      <c r="J324" s="204">
        <f>Apreciación!I284</f>
        <v>0.26666666666666666</v>
      </c>
      <c r="K324" s="204">
        <f>Apreciación!J284</f>
        <v>0.4</v>
      </c>
      <c r="L324" s="204">
        <f>Apreciación!K284</f>
        <v>0</v>
      </c>
      <c r="M324" s="130">
        <f t="shared" si="38"/>
        <v>4.07</v>
      </c>
      <c r="N324" s="325"/>
      <c r="O324" s="325"/>
      <c r="P324" s="325"/>
      <c r="Q324" s="325"/>
      <c r="R324" s="17" t="str">
        <f t="shared" si="37"/>
        <v>B</v>
      </c>
      <c r="S324" s="328"/>
      <c r="T324" s="328"/>
      <c r="U324" s="328"/>
      <c r="V324" s="328"/>
    </row>
    <row r="325" spans="1:22" ht="24" x14ac:dyDescent="0.25">
      <c r="A325" s="343"/>
      <c r="B325" s="343"/>
      <c r="C325" s="334"/>
      <c r="D325" s="331"/>
      <c r="E325" s="73" t="str">
        <f>Apreciación!A285</f>
        <v>Directivos</v>
      </c>
      <c r="F325" s="133" t="str">
        <f>Apreciación!E285</f>
        <v>Considera que los recursos económicos son suficientes para el desarrollo de:  Investigación</v>
      </c>
      <c r="G325" s="204">
        <f>Apreciación!F285</f>
        <v>0.13333333333333333</v>
      </c>
      <c r="H325" s="204">
        <f>Apreciación!G285</f>
        <v>0.13333333333333333</v>
      </c>
      <c r="I325" s="204">
        <f>Apreciación!H285</f>
        <v>0.53333333333333333</v>
      </c>
      <c r="J325" s="204">
        <f>Apreciación!I285</f>
        <v>0.13333333333333333</v>
      </c>
      <c r="K325" s="204">
        <f>Apreciación!J285</f>
        <v>0</v>
      </c>
      <c r="L325" s="204">
        <f>Apreciación!K285</f>
        <v>6.6666666666666666E-2</v>
      </c>
      <c r="M325" s="130">
        <f t="shared" si="38"/>
        <v>3.1533333333333333</v>
      </c>
      <c r="N325" s="325"/>
      <c r="O325" s="325"/>
      <c r="P325" s="325"/>
      <c r="Q325" s="325"/>
      <c r="R325" s="17" t="str">
        <f t="shared" si="37"/>
        <v>D</v>
      </c>
      <c r="S325" s="328"/>
      <c r="T325" s="328"/>
      <c r="U325" s="328"/>
      <c r="V325" s="328"/>
    </row>
    <row r="326" spans="1:22" ht="24" x14ac:dyDescent="0.25">
      <c r="A326" s="343"/>
      <c r="B326" s="343"/>
      <c r="C326" s="334"/>
      <c r="D326" s="331"/>
      <c r="E326" s="73" t="str">
        <f>Apreciación!A286</f>
        <v>Directivos</v>
      </c>
      <c r="F326" s="133" t="str">
        <f>Apreciación!E286</f>
        <v xml:space="preserve">Considera que los recursos económicos son suficientes para el desarrollo de: Docencia </v>
      </c>
      <c r="G326" s="204">
        <f>Apreciación!F286</f>
        <v>0.2</v>
      </c>
      <c r="H326" s="204">
        <f>Apreciación!G286</f>
        <v>0.2</v>
      </c>
      <c r="I326" s="204">
        <f>Apreciación!H286</f>
        <v>0.26666666666666666</v>
      </c>
      <c r="J326" s="204">
        <f>Apreciación!I286</f>
        <v>0.2</v>
      </c>
      <c r="K326" s="204">
        <f>Apreciación!J286</f>
        <v>0</v>
      </c>
      <c r="L326" s="204">
        <f>Apreciación!K286</f>
        <v>0.13333333333333333</v>
      </c>
      <c r="M326" s="130">
        <f t="shared" si="38"/>
        <v>2.7566666666666668</v>
      </c>
      <c r="N326" s="325"/>
      <c r="O326" s="325"/>
      <c r="P326" s="325"/>
      <c r="Q326" s="325"/>
      <c r="R326" s="17" t="str">
        <f t="shared" si="37"/>
        <v>D</v>
      </c>
      <c r="S326" s="328"/>
      <c r="T326" s="328"/>
      <c r="U326" s="328"/>
      <c r="V326" s="328"/>
    </row>
    <row r="327" spans="1:22" ht="36" x14ac:dyDescent="0.25">
      <c r="A327" s="343"/>
      <c r="B327" s="343"/>
      <c r="C327" s="334"/>
      <c r="D327" s="331"/>
      <c r="E327" s="73" t="str">
        <f>Apreciación!A287</f>
        <v>Directivos</v>
      </c>
      <c r="F327" s="133" t="str">
        <f>Apreciación!E287</f>
        <v>Considera que los recursos económicos son suficientes para el desarrollo de: Extensión y proyección social</v>
      </c>
      <c r="G327" s="204">
        <f>Apreciación!F287</f>
        <v>6.6666666666666666E-2</v>
      </c>
      <c r="H327" s="204">
        <f>Apreciación!G287</f>
        <v>0.33333333333333331</v>
      </c>
      <c r="I327" s="204">
        <f>Apreciación!H287</f>
        <v>0.26666666666666666</v>
      </c>
      <c r="J327" s="204">
        <f>Apreciación!I287</f>
        <v>0.13333333333333333</v>
      </c>
      <c r="K327" s="204">
        <f>Apreciación!J287</f>
        <v>6.6666666666666666E-2</v>
      </c>
      <c r="L327" s="204">
        <f>Apreciación!K287</f>
        <v>0.13333333333333333</v>
      </c>
      <c r="M327" s="130">
        <f t="shared" si="38"/>
        <v>2.96</v>
      </c>
      <c r="N327" s="325"/>
      <c r="O327" s="325"/>
      <c r="P327" s="325"/>
      <c r="Q327" s="325"/>
      <c r="R327" s="17" t="str">
        <f t="shared" si="37"/>
        <v>D</v>
      </c>
      <c r="S327" s="328"/>
      <c r="T327" s="328"/>
      <c r="U327" s="328"/>
      <c r="V327" s="328"/>
    </row>
    <row r="328" spans="1:22" ht="36" x14ac:dyDescent="0.25">
      <c r="A328" s="343"/>
      <c r="B328" s="343"/>
      <c r="C328" s="334"/>
      <c r="D328" s="331"/>
      <c r="E328" s="73" t="str">
        <f>Apreciación!A288</f>
        <v>Directivos</v>
      </c>
      <c r="F328" s="133" t="str">
        <f>Apreciación!E288</f>
        <v>Menciona convenios y fuentes de financiación externa (local o extrajera), para el desarrollo de: Investigación</v>
      </c>
      <c r="G328" s="204">
        <f>Apreciación!F288</f>
        <v>0</v>
      </c>
      <c r="H328" s="204">
        <f>Apreciación!G288</f>
        <v>0.13333333333333333</v>
      </c>
      <c r="I328" s="204">
        <f>Apreciación!H288</f>
        <v>6.6666666666666666E-2</v>
      </c>
      <c r="J328" s="204">
        <f>Apreciación!I288</f>
        <v>0.26666666666666666</v>
      </c>
      <c r="K328" s="204">
        <f>Apreciación!J288</f>
        <v>0.4</v>
      </c>
      <c r="L328" s="204">
        <f>Apreciación!K288</f>
        <v>0.13333333333333333</v>
      </c>
      <c r="M328" s="130">
        <f t="shared" si="38"/>
        <v>3.66</v>
      </c>
      <c r="N328" s="325"/>
      <c r="O328" s="325"/>
      <c r="P328" s="325"/>
      <c r="Q328" s="325"/>
      <c r="R328" s="17" t="str">
        <f t="shared" si="37"/>
        <v>C</v>
      </c>
      <c r="S328" s="328"/>
      <c r="T328" s="328"/>
      <c r="U328" s="328"/>
      <c r="V328" s="328"/>
    </row>
    <row r="329" spans="1:22" ht="36" x14ac:dyDescent="0.25">
      <c r="A329" s="343"/>
      <c r="B329" s="343"/>
      <c r="C329" s="334"/>
      <c r="D329" s="331"/>
      <c r="E329" s="73" t="str">
        <f>Apreciación!A289</f>
        <v>Directivos</v>
      </c>
      <c r="F329" s="133" t="str">
        <f>Apreciación!E289</f>
        <v xml:space="preserve">Menciona convenios y fuentes de financiación externa (local o extrajera), para el desarrollo de: Formación docente </v>
      </c>
      <c r="G329" s="204">
        <f>Apreciación!F289</f>
        <v>0</v>
      </c>
      <c r="H329" s="204">
        <f>Apreciación!G289</f>
        <v>0.26666666666666666</v>
      </c>
      <c r="I329" s="204">
        <f>Apreciación!H289</f>
        <v>0.2</v>
      </c>
      <c r="J329" s="204">
        <f>Apreciación!I289</f>
        <v>0.2</v>
      </c>
      <c r="K329" s="204">
        <f>Apreciación!J289</f>
        <v>0.26666666666666666</v>
      </c>
      <c r="L329" s="204">
        <f>Apreciación!K289</f>
        <v>6.6666666666666666E-2</v>
      </c>
      <c r="M329" s="130">
        <f t="shared" si="38"/>
        <v>3.6333333333333337</v>
      </c>
      <c r="N329" s="325"/>
      <c r="O329" s="325"/>
      <c r="P329" s="325"/>
      <c r="Q329" s="325"/>
      <c r="R329" s="17" t="str">
        <f t="shared" si="37"/>
        <v>C</v>
      </c>
      <c r="S329" s="328"/>
      <c r="T329" s="328"/>
      <c r="U329" s="328"/>
      <c r="V329" s="328"/>
    </row>
    <row r="330" spans="1:22" ht="36" x14ac:dyDescent="0.25">
      <c r="A330" s="343"/>
      <c r="B330" s="343"/>
      <c r="C330" s="334"/>
      <c r="D330" s="331"/>
      <c r="E330" s="73" t="str">
        <f>Apreciación!A290</f>
        <v>Directivos</v>
      </c>
      <c r="F330" s="133" t="str">
        <f>Apreciación!E290</f>
        <v>Menciona convenios y fuentes de financiación externa (local o extrajera), para el desarrollo de: Extensión y proyección social</v>
      </c>
      <c r="G330" s="204">
        <f>Apreciación!F290</f>
        <v>0</v>
      </c>
      <c r="H330" s="204">
        <f>Apreciación!G290</f>
        <v>0.13333333333333333</v>
      </c>
      <c r="I330" s="204">
        <f>Apreciación!H290</f>
        <v>0.13333333333333333</v>
      </c>
      <c r="J330" s="204">
        <f>Apreciación!I290</f>
        <v>0.13333333333333333</v>
      </c>
      <c r="K330" s="204">
        <f>Apreciación!J290</f>
        <v>0.4</v>
      </c>
      <c r="L330" s="204">
        <f>Apreciación!K290</f>
        <v>0.2</v>
      </c>
      <c r="M330" s="130">
        <f t="shared" si="38"/>
        <v>3.3466666666666667</v>
      </c>
      <c r="N330" s="326"/>
      <c r="O330" s="325"/>
      <c r="P330" s="325"/>
      <c r="Q330" s="325"/>
      <c r="R330" s="17" t="str">
        <f t="shared" si="37"/>
        <v>D</v>
      </c>
      <c r="S330" s="329"/>
      <c r="T330" s="328"/>
      <c r="U330" s="328"/>
      <c r="V330" s="328"/>
    </row>
    <row r="331" spans="1:22" ht="36" x14ac:dyDescent="0.25">
      <c r="A331" s="343"/>
      <c r="B331" s="343"/>
      <c r="C331" s="335"/>
      <c r="D331" s="332"/>
      <c r="E331" s="73" t="str">
        <f>Apreciación!A148</f>
        <v>Docentes</v>
      </c>
      <c r="F331" s="133" t="str">
        <f>Apreciación!E148</f>
        <v>Cuenta de 45. El programa académico al cual pertenezco incentiva el desarrollo de trabajos de aula con contenido investigativo.</v>
      </c>
      <c r="G331" s="204">
        <f>Apreciación!F148</f>
        <v>3.7037037037037035E-2</v>
      </c>
      <c r="H331" s="204">
        <f>Apreciación!G148</f>
        <v>3.7037037037037035E-2</v>
      </c>
      <c r="I331" s="204">
        <f>Apreciación!H148</f>
        <v>0.1111111111111111</v>
      </c>
      <c r="J331" s="204">
        <f>Apreciación!I148</f>
        <v>0.59259259259259256</v>
      </c>
      <c r="K331" s="204">
        <f>Apreciación!J148</f>
        <v>0.18518518518518517</v>
      </c>
      <c r="L331" s="204">
        <f>Apreciación!K148</f>
        <v>3.7037037037037035E-2</v>
      </c>
      <c r="M331" s="130">
        <f t="shared" si="38"/>
        <v>3.9518518518518517</v>
      </c>
      <c r="N331" s="127">
        <f>AVERAGE(M331)</f>
        <v>3.9518518518518517</v>
      </c>
      <c r="O331" s="326"/>
      <c r="P331" s="325"/>
      <c r="Q331" s="325"/>
      <c r="R331" s="17" t="str">
        <f t="shared" si="37"/>
        <v>C</v>
      </c>
      <c r="S331" s="17" t="str">
        <f t="shared" ref="S331:S336" si="39">IF(((N331&gt;=$Z$4)*AND(N331&lt;=$AA$4)),$Y$4,IF(((N331&gt;$AA$4)*AND(N331&lt;=$AA$5)),$Y$5,IF(((N331&gt;$AA$5)*AND(N331&lt;=$AA$6)),$Y$6,IF(((N331&gt;$AA$6)*AND(N331&lt;=$AA$7)),$Y$7,IF(((N331&gt;$AA$7)*AND(N331&lt;=$AA$8)),$Y$8,IF(EXACT(N331,$Y$9),$Z$9))))))</f>
        <v>C</v>
      </c>
      <c r="T331" s="329"/>
      <c r="U331" s="328"/>
      <c r="V331" s="328"/>
    </row>
    <row r="332" spans="1:22" ht="60" x14ac:dyDescent="0.25">
      <c r="A332" s="343"/>
      <c r="B332" s="343"/>
      <c r="C332" s="58" t="str">
        <f>Final!E110</f>
        <v>i</v>
      </c>
      <c r="D332" s="59" t="str">
        <f>Final!F110</f>
        <v>Estudios o investigaciones realizadas por la institución y el proyecto curricular para identificar y evaluar la permanencia y retención de los estudiantes, de acuerdo con las metodologías de enseñanza</v>
      </c>
      <c r="E332" s="61" t="s">
        <v>64</v>
      </c>
      <c r="F332" s="61" t="s">
        <v>64</v>
      </c>
      <c r="G332" s="204" t="s">
        <v>64</v>
      </c>
      <c r="H332" s="204" t="s">
        <v>64</v>
      </c>
      <c r="I332" s="204" t="s">
        <v>64</v>
      </c>
      <c r="J332" s="204" t="s">
        <v>64</v>
      </c>
      <c r="K332" s="204" t="s">
        <v>64</v>
      </c>
      <c r="L332" s="204" t="s">
        <v>64</v>
      </c>
      <c r="M332" s="89" t="s">
        <v>64</v>
      </c>
      <c r="N332" s="89" t="s">
        <v>64</v>
      </c>
      <c r="O332" s="89" t="s">
        <v>64</v>
      </c>
      <c r="P332" s="325"/>
      <c r="Q332" s="325"/>
      <c r="R332" s="17" t="str">
        <f t="shared" ref="R332:R367" si="40">IF(((M332&gt;=$Z$4)*AND(M332&lt;=$AA$4)),$Y$4,IF(((M332&gt;$AA$4)*AND(M332&lt;=$AA$5)),$Y$5,IF(((M332&gt;$AA$5)*AND(M332&lt;=$AA$6)),$Y$6,IF(((M332&gt;$AA$6)*AND(M332&lt;=$AA$7)),$Y$7,IF(((M332&gt;$AA$7)*AND(M332&lt;=$AA$8)),$Y$8,IF(EXACT(M332,$Y$9),$Z$9))))))</f>
        <v>NA</v>
      </c>
      <c r="S332" s="17" t="str">
        <f t="shared" si="39"/>
        <v>NA</v>
      </c>
      <c r="T332" s="17" t="str">
        <f>IF(((O332&gt;=$Z$4)*AND(O332&lt;=$AA$4)),$Y$4,IF(((O332&gt;$AA$4)*AND(O332&lt;=$AA$5)),$Y$5,IF(((O332&gt;$AA$5)*AND(O332&lt;=$AA$6)),$Y$6,IF(((O332&gt;$AA$6)*AND(O332&lt;=$AA$7)),$Y$7,IF(((O332&gt;$AA$7)*AND(O332&lt;=$AA$8)),$Y$8,IF(EXACT(O332,$Y$9),$Z$9))))))</f>
        <v>NA</v>
      </c>
      <c r="U332" s="328"/>
      <c r="V332" s="328"/>
    </row>
    <row r="333" spans="1:22" ht="84" x14ac:dyDescent="0.25">
      <c r="A333" s="343"/>
      <c r="B333" s="343"/>
      <c r="C333" s="58" t="str">
        <f>Final!E111</f>
        <v>j</v>
      </c>
      <c r="D333" s="59" t="str">
        <f>Final!F111</f>
        <v>Correlación entre la duración prevista para culminar el plan de estudios propuesto por el proyecto curricular y la que realmente tiene lugar , a la luz de un análisis de rendimiento académico por cohortes, acorde con la metodología y el plan de estudios del proyecto curricular.</v>
      </c>
      <c r="E333" s="61" t="s">
        <v>64</v>
      </c>
      <c r="F333" s="61" t="s">
        <v>64</v>
      </c>
      <c r="G333" s="204" t="s">
        <v>64</v>
      </c>
      <c r="H333" s="204" t="s">
        <v>64</v>
      </c>
      <c r="I333" s="204" t="s">
        <v>64</v>
      </c>
      <c r="J333" s="204" t="s">
        <v>64</v>
      </c>
      <c r="K333" s="204" t="s">
        <v>64</v>
      </c>
      <c r="L333" s="204" t="s">
        <v>64</v>
      </c>
      <c r="M333" s="89" t="s">
        <v>64</v>
      </c>
      <c r="N333" s="89" t="s">
        <v>64</v>
      </c>
      <c r="O333" s="89" t="s">
        <v>64</v>
      </c>
      <c r="P333" s="325"/>
      <c r="Q333" s="325"/>
      <c r="R333" s="17" t="str">
        <f t="shared" si="40"/>
        <v>NA</v>
      </c>
      <c r="S333" s="17" t="str">
        <f t="shared" si="39"/>
        <v>NA</v>
      </c>
      <c r="T333" s="17" t="str">
        <f>IF(((O333&gt;=$Z$4)*AND(O333&lt;=$AA$4)),$Y$4,IF(((O333&gt;$AA$4)*AND(O333&lt;=$AA$5)),$Y$5,IF(((O333&gt;$AA$5)*AND(O333&lt;=$AA$6)),$Y$6,IF(((O333&gt;$AA$6)*AND(O333&lt;=$AA$7)),$Y$7,IF(((O333&gt;$AA$7)*AND(O333&lt;=$AA$8)),$Y$8,IF(EXACT(O333,$Y$9),$Z$9))))))</f>
        <v>NA</v>
      </c>
      <c r="U333" s="328"/>
      <c r="V333" s="328"/>
    </row>
    <row r="334" spans="1:22" ht="60" x14ac:dyDescent="0.25">
      <c r="A334" s="343"/>
      <c r="B334" s="343"/>
      <c r="C334" s="58" t="str">
        <f>Final!E112</f>
        <v>k</v>
      </c>
      <c r="D334" s="59" t="str">
        <f>Final!F112</f>
        <v>Evidencias de las estrategias y procedimientos que permiten garantizar el éxito académico de los estudiantes en el tiempo previsto para culminar el plan de estudios, atendiendo los estándares de calidad.</v>
      </c>
      <c r="E334" s="61" t="s">
        <v>64</v>
      </c>
      <c r="F334" s="61" t="s">
        <v>64</v>
      </c>
      <c r="G334" s="204" t="s">
        <v>64</v>
      </c>
      <c r="H334" s="204" t="s">
        <v>64</v>
      </c>
      <c r="I334" s="204" t="s">
        <v>64</v>
      </c>
      <c r="J334" s="204" t="s">
        <v>64</v>
      </c>
      <c r="K334" s="204" t="s">
        <v>64</v>
      </c>
      <c r="L334" s="204" t="s">
        <v>64</v>
      </c>
      <c r="M334" s="89" t="s">
        <v>64</v>
      </c>
      <c r="N334" s="89" t="s">
        <v>64</v>
      </c>
      <c r="O334" s="89" t="s">
        <v>64</v>
      </c>
      <c r="P334" s="325"/>
      <c r="Q334" s="325"/>
      <c r="R334" s="17" t="str">
        <f t="shared" si="40"/>
        <v>NA</v>
      </c>
      <c r="S334" s="17" t="str">
        <f t="shared" si="39"/>
        <v>NA</v>
      </c>
      <c r="T334" s="17" t="str">
        <f>IF(((O334&gt;=$Z$4)*AND(O334&lt;=$AA$4)),$Y$4,IF(((O334&gt;$AA$4)*AND(O334&lt;=$AA$5)),$Y$5,IF(((O334&gt;$AA$5)*AND(O334&lt;=$AA$6)),$Y$6,IF(((O334&gt;$AA$6)*AND(O334&lt;=$AA$7)),$Y$7,IF(((O334&gt;$AA$7)*AND(O334&lt;=$AA$8)),$Y$8,IF(EXACT(O334,$Y$9),$Z$9))))))</f>
        <v>NA</v>
      </c>
      <c r="U334" s="328"/>
      <c r="V334" s="328"/>
    </row>
    <row r="335" spans="1:22" ht="48" x14ac:dyDescent="0.25">
      <c r="A335" s="343"/>
      <c r="B335" s="343"/>
      <c r="C335" s="58" t="str">
        <f>Final!E113</f>
        <v>l</v>
      </c>
      <c r="D335" s="59" t="str">
        <f>Final!F113</f>
        <v>Información estadística sobre los rendimientos académicos de la población de estudiantes del proyecto curricular desde el primero hasta el último semestre, en las últimas cinco cohortes</v>
      </c>
      <c r="E335" s="61" t="s">
        <v>64</v>
      </c>
      <c r="F335" s="61" t="s">
        <v>64</v>
      </c>
      <c r="G335" s="204" t="s">
        <v>64</v>
      </c>
      <c r="H335" s="204" t="s">
        <v>64</v>
      </c>
      <c r="I335" s="204" t="s">
        <v>64</v>
      </c>
      <c r="J335" s="204" t="s">
        <v>64</v>
      </c>
      <c r="K335" s="204" t="s">
        <v>64</v>
      </c>
      <c r="L335" s="204" t="s">
        <v>64</v>
      </c>
      <c r="M335" s="89" t="s">
        <v>64</v>
      </c>
      <c r="N335" s="89" t="s">
        <v>64</v>
      </c>
      <c r="O335" s="89" t="s">
        <v>64</v>
      </c>
      <c r="P335" s="325"/>
      <c r="Q335" s="325"/>
      <c r="R335" s="17" t="str">
        <f t="shared" si="40"/>
        <v>NA</v>
      </c>
      <c r="S335" s="17" t="str">
        <f t="shared" si="39"/>
        <v>NA</v>
      </c>
      <c r="T335" s="17" t="str">
        <f>IF(((O335&gt;=$Z$4)*AND(O335&lt;=$AA$4)),$Y$4,IF(((O335&gt;$AA$4)*AND(O335&lt;=$AA$5)),$Y$5,IF(((O335&gt;$AA$5)*AND(O335&lt;=$AA$6)),$Y$6,IF(((O335&gt;$AA$6)*AND(O335&lt;=$AA$7)),$Y$7,IF(((O335&gt;$AA$7)*AND(O335&lt;=$AA$8)),$Y$8,IF(EXACT(O335,$Y$9),$Z$9))))))</f>
        <v>NA</v>
      </c>
      <c r="U335" s="328"/>
      <c r="V335" s="328"/>
    </row>
    <row r="336" spans="1:22" ht="36" x14ac:dyDescent="0.25">
      <c r="A336" s="343"/>
      <c r="B336" s="343"/>
      <c r="C336" s="339" t="str">
        <f>Final!E114</f>
        <v>m</v>
      </c>
      <c r="D336" s="347" t="str">
        <f>Final!F114</f>
        <v>Apreciación de profesores y estudiantes sobre la correspondencia entre las condiciones y exigencias académicas de permanencia y graduación en el proyecto curricular, y la naturaleza del mismo.</v>
      </c>
      <c r="E336" s="11" t="str">
        <f>Apreciación!A83</f>
        <v>Estudiantes</v>
      </c>
      <c r="F336" s="12" t="str">
        <f>Apreciación!E83</f>
        <v xml:space="preserve">Cuenta de 58. Mi experiencia en éste programa académico me motiva a continuar en mi programa académico.  </v>
      </c>
      <c r="G336" s="203">
        <f>Apreciación!F83</f>
        <v>3.5928143712574849E-2</v>
      </c>
      <c r="H336" s="203">
        <f>Apreciación!G83</f>
        <v>3.5928143712574849E-2</v>
      </c>
      <c r="I336" s="203">
        <f>Apreciación!H83</f>
        <v>0.17964071856287425</v>
      </c>
      <c r="J336" s="203">
        <f>Apreciación!I83</f>
        <v>0.27544910179640719</v>
      </c>
      <c r="K336" s="203">
        <f>Apreciación!J83</f>
        <v>0.45508982035928142</v>
      </c>
      <c r="L336" s="203">
        <f>Apreciación!K83</f>
        <v>1.7964071856287425E-2</v>
      </c>
      <c r="M336" s="18">
        <f>(G336*$G$2)+(H336*$H$2)+(I336*$I$2)+(J336*$J$2)+(K336*$K$2)+(L336*$L$2)</f>
        <v>4.1502994011976053</v>
      </c>
      <c r="N336" s="324">
        <f>AVERAGE(M336:M338)</f>
        <v>3.4964071856287426</v>
      </c>
      <c r="O336" s="324">
        <f>AVERAGE(N336)</f>
        <v>3.4964071856287426</v>
      </c>
      <c r="P336" s="325"/>
      <c r="Q336" s="325"/>
      <c r="R336" s="17" t="str">
        <f t="shared" si="40"/>
        <v>B</v>
      </c>
      <c r="S336" s="327" t="str">
        <f t="shared" si="39"/>
        <v>D</v>
      </c>
      <c r="T336" s="327" t="str">
        <f>IF(((O336&gt;=$Z$4)*AND(O336&lt;=$AA$4)),$Y$4,IF(((O336&gt;$AA$4)*AND(O336&lt;=$AA$5)),$Y$5,IF(((O336&gt;$AA$5)*AND(O336&lt;=$AA$6)),$Y$6,IF(((O336&gt;$AA$6)*AND(O336&lt;=$AA$7)),$Y$7,IF(((O336&gt;$AA$7)*AND(O336&lt;=$AA$8)),$Y$8,IF(EXACT(O336,$Y$9),$Z$9))))))</f>
        <v>D</v>
      </c>
      <c r="U336" s="328"/>
      <c r="V336" s="328"/>
    </row>
    <row r="337" spans="1:22" ht="24" x14ac:dyDescent="0.25">
      <c r="A337" s="343"/>
      <c r="B337" s="343"/>
      <c r="C337" s="340"/>
      <c r="D337" s="348"/>
      <c r="E337" s="11" t="str">
        <f>Apreciación!A84</f>
        <v>Estudiantes</v>
      </c>
      <c r="F337" s="12" t="str">
        <f>Apreciación!E84</f>
        <v xml:space="preserve">Cuenta de 59. Puedo terminar mi pregrado en el tiempo establecido por mi programa académico. </v>
      </c>
      <c r="G337" s="203">
        <f>Apreciación!F84</f>
        <v>0.30538922155688625</v>
      </c>
      <c r="H337" s="203">
        <f>Apreciación!G84</f>
        <v>0.12574850299401197</v>
      </c>
      <c r="I337" s="203">
        <f>Apreciación!H84</f>
        <v>0.20359281437125748</v>
      </c>
      <c r="J337" s="203">
        <f>Apreciación!I84</f>
        <v>0.17964071856287425</v>
      </c>
      <c r="K337" s="203">
        <f>Apreciación!J84</f>
        <v>0.1497005988023952</v>
      </c>
      <c r="L337" s="203">
        <f>Apreciación!K84</f>
        <v>3.5928143712574849E-2</v>
      </c>
      <c r="M337" s="94">
        <f>(G337*$G$2)+(H337*$H$2)+(I337*$I$2)+(J337*$J$2)+(K337*$K$2)+(L337*$L$2)</f>
        <v>3.1089820359281437</v>
      </c>
      <c r="N337" s="325"/>
      <c r="O337" s="325"/>
      <c r="P337" s="325"/>
      <c r="Q337" s="325"/>
      <c r="R337" s="17" t="str">
        <f t="shared" si="40"/>
        <v>D</v>
      </c>
      <c r="S337" s="328"/>
      <c r="T337" s="328"/>
      <c r="U337" s="328"/>
      <c r="V337" s="328"/>
    </row>
    <row r="338" spans="1:22" ht="36" x14ac:dyDescent="0.25">
      <c r="A338" s="343"/>
      <c r="B338" s="343"/>
      <c r="C338" s="341"/>
      <c r="D338" s="349"/>
      <c r="E338" s="11" t="str">
        <f>Apreciación!A85</f>
        <v>Estudiantes</v>
      </c>
      <c r="F338" s="12" t="str">
        <f>Apreciación!E85</f>
        <v xml:space="preserve">Cuenta de 60. Las alternativas de grado actuales me permitirán terminar mis estudios en el tiempo previsto. </v>
      </c>
      <c r="G338" s="203">
        <f>Apreciación!F85</f>
        <v>0.22155688622754491</v>
      </c>
      <c r="H338" s="203">
        <f>Apreciación!G85</f>
        <v>0.12574850299401197</v>
      </c>
      <c r="I338" s="203">
        <f>Apreciación!H85</f>
        <v>0.22754491017964071</v>
      </c>
      <c r="J338" s="203">
        <f>Apreciación!I85</f>
        <v>0.27544910179640719</v>
      </c>
      <c r="K338" s="203">
        <f>Apreciación!J85</f>
        <v>0.10179640718562874</v>
      </c>
      <c r="L338" s="203">
        <f>Apreciación!K85</f>
        <v>4.790419161676647E-2</v>
      </c>
      <c r="M338" s="94">
        <f>(G338*$G$2)+(H338*$H$2)+(I338*$I$2)+(J338*$J$2)+(K338*$K$2)+(L338*$L$2)</f>
        <v>3.2299401197604793</v>
      </c>
      <c r="N338" s="326"/>
      <c r="O338" s="326"/>
      <c r="P338" s="325"/>
      <c r="Q338" s="325"/>
      <c r="R338" s="17" t="str">
        <f t="shared" si="40"/>
        <v>D</v>
      </c>
      <c r="S338" s="329"/>
      <c r="T338" s="329"/>
      <c r="U338" s="328"/>
      <c r="V338" s="328"/>
    </row>
    <row r="339" spans="1:22" ht="48" x14ac:dyDescent="0.25">
      <c r="A339" s="343"/>
      <c r="B339" s="343"/>
      <c r="C339" s="58" t="str">
        <f>Final!E115</f>
        <v>n</v>
      </c>
      <c r="D339" s="59" t="str">
        <f>Final!F115</f>
        <v>Existencia de mecanismos de seguimiento, acompañamiento especial a estudiantes admitidos en condición de vulnerabilidad y discapacidad.</v>
      </c>
      <c r="E339" s="61" t="s">
        <v>64</v>
      </c>
      <c r="F339" s="61" t="s">
        <v>64</v>
      </c>
      <c r="G339" s="204" t="s">
        <v>64</v>
      </c>
      <c r="H339" s="204" t="s">
        <v>64</v>
      </c>
      <c r="I339" s="204" t="s">
        <v>64</v>
      </c>
      <c r="J339" s="204" t="s">
        <v>64</v>
      </c>
      <c r="K339" s="204" t="s">
        <v>64</v>
      </c>
      <c r="L339" s="204" t="s">
        <v>64</v>
      </c>
      <c r="M339" s="89" t="s">
        <v>64</v>
      </c>
      <c r="N339" s="89" t="s">
        <v>64</v>
      </c>
      <c r="O339" s="89" t="s">
        <v>64</v>
      </c>
      <c r="P339" s="325"/>
      <c r="Q339" s="325"/>
      <c r="R339" s="17" t="str">
        <f t="shared" si="40"/>
        <v>NA</v>
      </c>
      <c r="S339" s="17" t="str">
        <f t="shared" ref="S339:T341" si="41">IF(((N339&gt;=$Z$4)*AND(N339&lt;=$AA$4)),$Y$4,IF(((N339&gt;$AA$4)*AND(N339&lt;=$AA$5)),$Y$5,IF(((N339&gt;$AA$5)*AND(N339&lt;=$AA$6)),$Y$6,IF(((N339&gt;$AA$6)*AND(N339&lt;=$AA$7)),$Y$7,IF(((N339&gt;$AA$7)*AND(N339&lt;=$AA$8)),$Y$8,IF(EXACT(N339,$Y$9),$Z$9))))))</f>
        <v>NA</v>
      </c>
      <c r="T339" s="17" t="str">
        <f t="shared" si="41"/>
        <v>NA</v>
      </c>
      <c r="U339" s="328"/>
      <c r="V339" s="328"/>
    </row>
    <row r="340" spans="1:22" ht="48" x14ac:dyDescent="0.25">
      <c r="A340" s="343"/>
      <c r="B340" s="344"/>
      <c r="C340" s="58" t="str">
        <f>Final!E116</f>
        <v>o</v>
      </c>
      <c r="D340" s="59" t="str">
        <f>Final!F116</f>
        <v>Existencia de adecuaciones locativas para facilitar el óptimo desempeño de estudiantes admitidos en condición de vulnerabilidad y discapacidad</v>
      </c>
      <c r="E340" s="61" t="s">
        <v>64</v>
      </c>
      <c r="F340" s="61" t="s">
        <v>64</v>
      </c>
      <c r="G340" s="204" t="s">
        <v>64</v>
      </c>
      <c r="H340" s="204" t="s">
        <v>64</v>
      </c>
      <c r="I340" s="204" t="s">
        <v>64</v>
      </c>
      <c r="J340" s="204" t="s">
        <v>64</v>
      </c>
      <c r="K340" s="204" t="s">
        <v>64</v>
      </c>
      <c r="L340" s="204" t="s">
        <v>64</v>
      </c>
      <c r="M340" s="89" t="s">
        <v>64</v>
      </c>
      <c r="N340" s="89" t="s">
        <v>64</v>
      </c>
      <c r="O340" s="89" t="s">
        <v>64</v>
      </c>
      <c r="P340" s="326"/>
      <c r="Q340" s="325"/>
      <c r="R340" s="17" t="str">
        <f t="shared" si="40"/>
        <v>NA</v>
      </c>
      <c r="S340" s="17" t="str">
        <f t="shared" si="41"/>
        <v>NA</v>
      </c>
      <c r="T340" s="17" t="str">
        <f t="shared" si="41"/>
        <v>NA</v>
      </c>
      <c r="U340" s="329"/>
      <c r="V340" s="328"/>
    </row>
    <row r="341" spans="1:22" ht="48" x14ac:dyDescent="0.25">
      <c r="A341" s="343"/>
      <c r="B341" s="342">
        <v>20</v>
      </c>
      <c r="C341" s="126" t="str">
        <f>Final!E117</f>
        <v>a</v>
      </c>
      <c r="D341" s="129" t="str">
        <f>Final!F117</f>
        <v>Aplicación y divulgación de los criterios, políticas y reglamentaciones institucionales y del proyecto curricular en materia de evaluación académica de los estudiantes.</v>
      </c>
      <c r="E341" s="61" t="s">
        <v>64</v>
      </c>
      <c r="F341" s="61" t="s">
        <v>64</v>
      </c>
      <c r="G341" s="204" t="s">
        <v>64</v>
      </c>
      <c r="H341" s="204" t="s">
        <v>64</v>
      </c>
      <c r="I341" s="204" t="s">
        <v>64</v>
      </c>
      <c r="J341" s="204" t="s">
        <v>64</v>
      </c>
      <c r="K341" s="204" t="s">
        <v>64</v>
      </c>
      <c r="L341" s="204" t="s">
        <v>64</v>
      </c>
      <c r="M341" s="130" t="s">
        <v>64</v>
      </c>
      <c r="N341" s="130" t="s">
        <v>64</v>
      </c>
      <c r="O341" s="130" t="s">
        <v>64</v>
      </c>
      <c r="P341" s="324">
        <f>AVERAGE(O341:O349)</f>
        <v>3.9004052081023146</v>
      </c>
      <c r="Q341" s="325"/>
      <c r="R341" s="17" t="str">
        <f t="shared" si="40"/>
        <v>NA</v>
      </c>
      <c r="S341" s="128" t="str">
        <f t="shared" si="41"/>
        <v>NA</v>
      </c>
      <c r="T341" s="128" t="str">
        <f t="shared" si="41"/>
        <v>NA</v>
      </c>
      <c r="U341" s="327" t="str">
        <f>IF(((P341&gt;=$Z$4)*AND(P341&lt;=$AA$4)),$Y$4,IF(((P341&gt;$AA$4)*AND(P341&lt;=$AA$5)),$Y$5,IF(((P341&gt;$AA$5)*AND(P341&lt;=$AA$6)),$Y$6,IF(((P341&gt;$AA$6)*AND(P341&lt;=$AA$7)),$Y$7,IF(((P341&gt;$AA$7)*AND(P341&lt;=$AA$8)),$Y$8,IF(EXACT(P341,$Y$9),$Z$9))))))</f>
        <v>C</v>
      </c>
      <c r="V341" s="328"/>
    </row>
    <row r="342" spans="1:22" ht="48" x14ac:dyDescent="0.25">
      <c r="A342" s="343"/>
      <c r="B342" s="343"/>
      <c r="C342" s="58" t="str">
        <f>Final!E118</f>
        <v>b</v>
      </c>
      <c r="D342" s="59" t="str">
        <f>Final!F118</f>
        <v>Correspondencia entre las formas de evaluación de los aprendizajes, los propósitos de formación y los perfiles de egreso definidos por el proyecto curricular</v>
      </c>
      <c r="E342" s="61" t="s">
        <v>64</v>
      </c>
      <c r="F342" s="61" t="s">
        <v>64</v>
      </c>
      <c r="G342" s="204" t="s">
        <v>64</v>
      </c>
      <c r="H342" s="204" t="s">
        <v>64</v>
      </c>
      <c r="I342" s="204" t="s">
        <v>64</v>
      </c>
      <c r="J342" s="204" t="s">
        <v>64</v>
      </c>
      <c r="K342" s="204" t="s">
        <v>64</v>
      </c>
      <c r="L342" s="204" t="s">
        <v>64</v>
      </c>
      <c r="M342" s="130" t="s">
        <v>64</v>
      </c>
      <c r="N342" s="130" t="s">
        <v>64</v>
      </c>
      <c r="O342" s="130" t="s">
        <v>64</v>
      </c>
      <c r="P342" s="325"/>
      <c r="Q342" s="325"/>
      <c r="R342" s="17" t="str">
        <f t="shared" si="40"/>
        <v>NA</v>
      </c>
      <c r="S342" s="17" t="str">
        <f t="shared" ref="S342:S347" si="42">IF(((N342&gt;=$Z$4)*AND(N342&lt;=$AA$4)),$Y$4,IF(((N342&gt;$AA$4)*AND(N342&lt;=$AA$5)),$Y$5,IF(((N342&gt;$AA$5)*AND(N342&lt;=$AA$6)),$Y$6,IF(((N342&gt;$AA$6)*AND(N342&lt;=$AA$7)),$Y$7,IF(((N342&gt;$AA$7)*AND(N342&lt;=$AA$8)),$Y$8,IF(EXACT(N342,$Y$9),$Z$9))))))</f>
        <v>NA</v>
      </c>
      <c r="T342" s="17" t="str">
        <f>IF(((O342&gt;=$Z$4)*AND(O342&lt;=$AA$4)),$Y$4,IF(((O342&gt;$AA$4)*AND(O342&lt;=$AA$5)),$Y$5,IF(((O342&gt;$AA$5)*AND(O342&lt;=$AA$6)),$Y$6,IF(((O342&gt;$AA$6)*AND(O342&lt;=$AA$7)),$Y$7,IF(((O342&gt;$AA$7)*AND(O342&lt;=$AA$8)),$Y$8,IF(EXACT(O342,$Y$9),$Z$9))))))</f>
        <v>NA</v>
      </c>
      <c r="U342" s="328"/>
      <c r="V342" s="328"/>
    </row>
    <row r="343" spans="1:22" ht="36" x14ac:dyDescent="0.25">
      <c r="A343" s="343"/>
      <c r="B343" s="343"/>
      <c r="C343" s="345" t="str">
        <f>Final!E119</f>
        <v>c</v>
      </c>
      <c r="D343" s="330" t="str">
        <f>Final!F119</f>
        <v>Apreciación de directivos, profesores y estudiantes del proyecto curricular sobre la correspondencia entre las formas de evaluación académica de los estudiantes, la naturaleza del mismo y los métodos pedagógicos empleados para su desarrollo.</v>
      </c>
      <c r="E343" s="11" t="str">
        <f>Apreciación!A48</f>
        <v>Estudiantes</v>
      </c>
      <c r="F343" s="73" t="str">
        <f>Apreciación!E48</f>
        <v>Cuenta de 38. Las evaluaciones practicadas en los diferentes espacios académicos son adecuadas e imparciales.</v>
      </c>
      <c r="G343" s="205">
        <f>Apreciación!F48</f>
        <v>6.5868263473053898E-2</v>
      </c>
      <c r="H343" s="205">
        <f>Apreciación!G48</f>
        <v>7.7844311377245512E-2</v>
      </c>
      <c r="I343" s="205">
        <f>Apreciación!H48</f>
        <v>0.29341317365269459</v>
      </c>
      <c r="J343" s="205">
        <f>Apreciación!I48</f>
        <v>0.40718562874251496</v>
      </c>
      <c r="K343" s="205">
        <f>Apreciación!J48</f>
        <v>0.1377245508982036</v>
      </c>
      <c r="L343" s="205">
        <f>Apreciación!K48</f>
        <v>1.7964071856287425E-2</v>
      </c>
      <c r="M343" s="18">
        <f t="shared" ref="M343:M348" si="43">(G343*$G$2)+(H343*$H$2)+(I343*$I$2)+(J343*$J$2)+(K343*$K$2)+(L343*$L$2)</f>
        <v>3.7916167664670661</v>
      </c>
      <c r="N343" s="63">
        <f>AVERAGE(M343)</f>
        <v>3.7916167664670661</v>
      </c>
      <c r="O343" s="324">
        <f>(N343*$AE$5)+(N344*$AE$4)+(AVERAGE(N343:N344)*$AE$6)+(AVERAGE(N343:N344)*$AE$8)+(AVERAGE(N343:N344)*$AE$7)</f>
        <v>3.9826164337990688</v>
      </c>
      <c r="P343" s="325"/>
      <c r="Q343" s="325"/>
      <c r="R343" s="17" t="str">
        <f t="shared" si="40"/>
        <v>C</v>
      </c>
      <c r="S343" s="17" t="str">
        <f t="shared" si="42"/>
        <v>C</v>
      </c>
      <c r="T343" s="327" t="str">
        <f>IF(((O343&gt;=$Z$4)*AND(O343&lt;=$AA$4)),$Y$4,IF(((O343&gt;$AA$4)*AND(O343&lt;=$AA$5)),$Y$5,IF(((O343&gt;$AA$5)*AND(O343&lt;=$AA$6)),$Y$6,IF(((O343&gt;$AA$6)*AND(O343&lt;=$AA$7)),$Y$7,IF(((O343&gt;$AA$7)*AND(O343&lt;=$AA$8)),$Y$8,IF(EXACT(O343,$Y$9),$Z$9))))))</f>
        <v>C</v>
      </c>
      <c r="U343" s="328"/>
      <c r="V343" s="328"/>
    </row>
    <row r="344" spans="1:22" ht="60" x14ac:dyDescent="0.25">
      <c r="A344" s="343"/>
      <c r="B344" s="343"/>
      <c r="C344" s="346"/>
      <c r="D344" s="332"/>
      <c r="E344" s="11" t="str">
        <f>Apreciación!A147</f>
        <v>Docentes</v>
      </c>
      <c r="F344" s="11" t="str">
        <f>Apreciación!E147</f>
        <v xml:space="preserve">Cuenta de 44. Considero que los métodos de evaluación empleados en el programa académico al cual pertenezco permiten evaluar la adquisición de competencias profesionales por  los estudiantes. </v>
      </c>
      <c r="G344" s="205">
        <f>Apreciación!F147</f>
        <v>0</v>
      </c>
      <c r="H344" s="205">
        <f>Apreciación!G147</f>
        <v>7.407407407407407E-2</v>
      </c>
      <c r="I344" s="205">
        <f>Apreciación!H147</f>
        <v>0.22222222222222221</v>
      </c>
      <c r="J344" s="205">
        <f>Apreciación!I147</f>
        <v>0.44444444444444442</v>
      </c>
      <c r="K344" s="205">
        <f>Apreciación!J147</f>
        <v>0.25925925925925924</v>
      </c>
      <c r="L344" s="205">
        <f>Apreciación!K147</f>
        <v>0</v>
      </c>
      <c r="M344" s="89">
        <f t="shared" si="43"/>
        <v>4.1388888888888893</v>
      </c>
      <c r="N344" s="88">
        <f>AVERAGE(M344)</f>
        <v>4.1388888888888893</v>
      </c>
      <c r="O344" s="326"/>
      <c r="P344" s="325"/>
      <c r="Q344" s="325"/>
      <c r="R344" s="17" t="str">
        <f t="shared" si="40"/>
        <v>B</v>
      </c>
      <c r="S344" s="17" t="str">
        <f t="shared" si="42"/>
        <v>B</v>
      </c>
      <c r="T344" s="329"/>
      <c r="U344" s="328"/>
      <c r="V344" s="328"/>
    </row>
    <row r="345" spans="1:22" ht="60" x14ac:dyDescent="0.25">
      <c r="A345" s="343"/>
      <c r="B345" s="343"/>
      <c r="C345" s="58" t="str">
        <f>Final!E120</f>
        <v>d</v>
      </c>
      <c r="D345" s="6" t="str">
        <f>Final!F120</f>
        <v>Apreciación de los estudiantes acerca de la utilidad del sistema de evaluación académica en la adquisición de competencias, tales como las actitudes, los conocimientos, las capacidades y las habilidades propias del proyecto curricular.</v>
      </c>
      <c r="E345" s="73" t="str">
        <f>Apreciación!A48</f>
        <v>Estudiantes</v>
      </c>
      <c r="F345" s="73" t="str">
        <f>Apreciación!E48</f>
        <v>Cuenta de 38. Las evaluaciones practicadas en los diferentes espacios académicos son adecuadas e imparciales.</v>
      </c>
      <c r="G345" s="204">
        <f>Apreciación!F48</f>
        <v>6.5868263473053898E-2</v>
      </c>
      <c r="H345" s="204">
        <f>Apreciación!G48</f>
        <v>7.7844311377245512E-2</v>
      </c>
      <c r="I345" s="204">
        <f>Apreciación!H48</f>
        <v>0.29341317365269459</v>
      </c>
      <c r="J345" s="204">
        <f>Apreciación!I48</f>
        <v>0.40718562874251496</v>
      </c>
      <c r="K345" s="204">
        <f>Apreciación!J48</f>
        <v>0.1377245508982036</v>
      </c>
      <c r="L345" s="204">
        <f>Apreciación!K48</f>
        <v>1.7964071856287425E-2</v>
      </c>
      <c r="M345" s="18">
        <f t="shared" si="43"/>
        <v>3.7916167664670661</v>
      </c>
      <c r="N345" s="63">
        <f>AVERAGE(M345)</f>
        <v>3.7916167664670661</v>
      </c>
      <c r="O345" s="18">
        <f>AVERAGE(N345)</f>
        <v>3.7916167664670661</v>
      </c>
      <c r="P345" s="325"/>
      <c r="Q345" s="325"/>
      <c r="R345" s="17" t="str">
        <f t="shared" si="40"/>
        <v>C</v>
      </c>
      <c r="S345" s="17" t="str">
        <f t="shared" si="42"/>
        <v>C</v>
      </c>
      <c r="T345" s="17" t="str">
        <f>IF(((O345&gt;=$Z$4)*AND(O345&lt;=$AA$4)),$Y$4,IF(((O345&gt;$AA$4)*AND(O345&lt;=$AA$5)),$Y$5,IF(((O345&gt;$AA$5)*AND(O345&lt;=$AA$6)),$Y$6,IF(((O345&gt;$AA$6)*AND(O345&lt;=$AA$7)),$Y$7,IF(((O345&gt;$AA$7)*AND(O345&lt;=$AA$8)),$Y$8,IF(EXACT(O345,$Y$9),$Z$9))))))</f>
        <v>C</v>
      </c>
      <c r="U345" s="328"/>
      <c r="V345" s="328"/>
    </row>
    <row r="346" spans="1:22" ht="45" customHeight="1" x14ac:dyDescent="0.25">
      <c r="A346" s="343"/>
      <c r="B346" s="343"/>
      <c r="C346" s="333" t="str">
        <f>Final!E121</f>
        <v>e</v>
      </c>
      <c r="D346" s="330" t="str">
        <f>Final!F121</f>
        <v>Existencia y aplicación de criterios y procedimientos orientados a la evaluación de competencias especialmente actitudes, conocimientos, capacidades y habilidades, y de las estrategias de retroalimentación de la actividad académica de los estudiantes.</v>
      </c>
      <c r="E346" s="73" t="str">
        <f>Apreciación!A49</f>
        <v>Estudiantes</v>
      </c>
      <c r="F346" s="133" t="str">
        <f>Apreciación!E49</f>
        <v>Cuenta de 39. Las reglas de evaluación están claramente definidas en el estatuto estudiantil.</v>
      </c>
      <c r="G346" s="204">
        <f>Apreciación!F49</f>
        <v>2.9940119760479042E-2</v>
      </c>
      <c r="H346" s="204">
        <f>Apreciación!G49</f>
        <v>5.3892215568862277E-2</v>
      </c>
      <c r="I346" s="204">
        <f>Apreciación!H49</f>
        <v>0.19760479041916168</v>
      </c>
      <c r="J346" s="204">
        <f>Apreciación!I49</f>
        <v>0.42514970059880242</v>
      </c>
      <c r="K346" s="204">
        <f>Apreciación!J49</f>
        <v>0.21556886227544911</v>
      </c>
      <c r="L346" s="204">
        <f>Apreciación!K49</f>
        <v>7.7844311377245512E-2</v>
      </c>
      <c r="M346" s="18">
        <f t="shared" si="43"/>
        <v>3.7505988023952099</v>
      </c>
      <c r="N346" s="130">
        <f>AVERAGE(M346)</f>
        <v>3.7505988023952099</v>
      </c>
      <c r="O346" s="324">
        <f>(N346*$AE$5)+(N347*$AE$4)+(AVERAGE(N346:N348)*$AE$6)+(AVERAGE(N346:N348)*$AE$8)+(AVERAGE(N346:N348)*$AE$7)</f>
        <v>3.9269824240408076</v>
      </c>
      <c r="P346" s="325"/>
      <c r="Q346" s="325"/>
      <c r="R346" s="17" t="str">
        <f t="shared" si="40"/>
        <v>C</v>
      </c>
      <c r="S346" s="17" t="str">
        <f t="shared" si="42"/>
        <v>C</v>
      </c>
      <c r="T346" s="327" t="str">
        <f>IF(((O346&gt;=$Z$4)*AND(O346&lt;=$AA$4)),$Y$4,IF(((O346&gt;$AA$4)*AND(O346&lt;=$AA$5)),$Y$5,IF(((O346&gt;$AA$5)*AND(O346&lt;=$AA$6)),$Y$6,IF(((O346&gt;$AA$6)*AND(O346&lt;=$AA$7)),$Y$7,IF(((O346&gt;$AA$7)*AND(O346&lt;=$AA$8)),$Y$8,IF(EXACT(O346,$Y$9),$Z$9))))))</f>
        <v>C</v>
      </c>
      <c r="U346" s="328"/>
      <c r="V346" s="328"/>
    </row>
    <row r="347" spans="1:22" ht="36" x14ac:dyDescent="0.25">
      <c r="A347" s="343"/>
      <c r="B347" s="343"/>
      <c r="C347" s="334"/>
      <c r="D347" s="331"/>
      <c r="E347" s="73" t="str">
        <f>Apreciación!A146</f>
        <v>Docentes</v>
      </c>
      <c r="F347" s="133" t="str">
        <f>Apreciación!E146</f>
        <v xml:space="preserve">Cuenta de 43. Conozco cuales son los criterios, políticas y reglamentación de la evaluación académica de los estudiantes.  </v>
      </c>
      <c r="G347" s="204">
        <f>Apreciación!F146</f>
        <v>3.7037037037037035E-2</v>
      </c>
      <c r="H347" s="204">
        <f>Apreciación!G146</f>
        <v>0</v>
      </c>
      <c r="I347" s="204">
        <f>Apreciación!H146</f>
        <v>7.407407407407407E-2</v>
      </c>
      <c r="J347" s="204">
        <f>Apreciación!I146</f>
        <v>0.37037037037037035</v>
      </c>
      <c r="K347" s="204">
        <f>Apreciación!J146</f>
        <v>0.44444444444444442</v>
      </c>
      <c r="L347" s="204">
        <f>Apreciación!K146</f>
        <v>7.407407407407407E-2</v>
      </c>
      <c r="M347" s="89">
        <f t="shared" si="43"/>
        <v>4.003703703703704</v>
      </c>
      <c r="N347" s="324">
        <f>AVERAGE(M347:M348)</f>
        <v>4.0712962962962962</v>
      </c>
      <c r="O347" s="325"/>
      <c r="P347" s="325"/>
      <c r="Q347" s="325"/>
      <c r="R347" s="17" t="str">
        <f t="shared" si="40"/>
        <v>B</v>
      </c>
      <c r="S347" s="327" t="str">
        <f t="shared" si="42"/>
        <v>B</v>
      </c>
      <c r="T347" s="328"/>
      <c r="U347" s="328"/>
      <c r="V347" s="328"/>
    </row>
    <row r="348" spans="1:22" ht="60" x14ac:dyDescent="0.25">
      <c r="A348" s="343"/>
      <c r="B348" s="343"/>
      <c r="C348" s="335"/>
      <c r="D348" s="332"/>
      <c r="E348" s="73" t="str">
        <f>Apreciación!A147</f>
        <v>Docentes</v>
      </c>
      <c r="F348" s="133" t="str">
        <f>Apreciación!E147</f>
        <v xml:space="preserve">Cuenta de 44. Considero que los métodos de evaluación empleados en el programa académico al cual pertenezco permiten evaluar la adquisición de competencias profesionales por  los estudiantes. </v>
      </c>
      <c r="G348" s="204">
        <f>Apreciación!F147</f>
        <v>0</v>
      </c>
      <c r="H348" s="204">
        <f>Apreciación!G147</f>
        <v>7.407407407407407E-2</v>
      </c>
      <c r="I348" s="204">
        <f>Apreciación!H147</f>
        <v>0.22222222222222221</v>
      </c>
      <c r="J348" s="204">
        <f>Apreciación!I147</f>
        <v>0.44444444444444442</v>
      </c>
      <c r="K348" s="204">
        <f>Apreciación!J147</f>
        <v>0.25925925925925924</v>
      </c>
      <c r="L348" s="204">
        <f>Apreciación!K147</f>
        <v>0</v>
      </c>
      <c r="M348" s="130">
        <f t="shared" si="43"/>
        <v>4.1388888888888893</v>
      </c>
      <c r="N348" s="326"/>
      <c r="O348" s="326"/>
      <c r="P348" s="325"/>
      <c r="Q348" s="325"/>
      <c r="R348" s="17" t="str">
        <f t="shared" si="40"/>
        <v>B</v>
      </c>
      <c r="S348" s="329"/>
      <c r="T348" s="329"/>
      <c r="U348" s="328"/>
      <c r="V348" s="328"/>
    </row>
    <row r="349" spans="1:22" ht="48" x14ac:dyDescent="0.25">
      <c r="A349" s="343"/>
      <c r="B349" s="344"/>
      <c r="C349" s="58" t="str">
        <f>Final!E122</f>
        <v>f</v>
      </c>
      <c r="D349" s="59" t="str">
        <f>Final!F122</f>
        <v>Existencia y aplicación de criterios y procedimientos para la revisión, actualización y seguimiento a los sistemas de evaluación académica de los estudiantes.</v>
      </c>
      <c r="E349" s="61" t="s">
        <v>64</v>
      </c>
      <c r="F349" s="61" t="s">
        <v>64</v>
      </c>
      <c r="G349" s="204" t="s">
        <v>64</v>
      </c>
      <c r="H349" s="204" t="s">
        <v>64</v>
      </c>
      <c r="I349" s="204" t="s">
        <v>64</v>
      </c>
      <c r="J349" s="204" t="s">
        <v>64</v>
      </c>
      <c r="K349" s="204" t="s">
        <v>64</v>
      </c>
      <c r="L349" s="204" t="s">
        <v>64</v>
      </c>
      <c r="M349" s="89" t="s">
        <v>64</v>
      </c>
      <c r="N349" s="89" t="s">
        <v>64</v>
      </c>
      <c r="O349" s="89" t="s">
        <v>64</v>
      </c>
      <c r="P349" s="326"/>
      <c r="Q349" s="325"/>
      <c r="R349" s="17" t="str">
        <f t="shared" si="40"/>
        <v>NA</v>
      </c>
      <c r="S349" s="17" t="str">
        <f>IF(((N349&gt;=$Z$4)*AND(N349&lt;=$AA$4)),$Y$4,IF(((N349&gt;$AA$4)*AND(N349&lt;=$AA$5)),$Y$5,IF(((N349&gt;$AA$5)*AND(N349&lt;=$AA$6)),$Y$6,IF(((N349&gt;$AA$6)*AND(N349&lt;=$AA$7)),$Y$7,IF(((N349&gt;$AA$7)*AND(N349&lt;=$AA$8)),$Y$8,IF(EXACT(N349,$Y$9),$Z$9))))))</f>
        <v>NA</v>
      </c>
      <c r="T349" s="17" t="str">
        <f>IF(((O349&gt;=$Z$4)*AND(O349&lt;=$AA$4)),$Y$4,IF(((O349&gt;$AA$4)*AND(O349&lt;=$AA$5)),$Y$5,IF(((O349&gt;$AA$5)*AND(O349&lt;=$AA$6)),$Y$6,IF(((O349&gt;$AA$6)*AND(O349&lt;=$AA$7)),$Y$7,IF(((O349&gt;$AA$7)*AND(O349&lt;=$AA$8)),$Y$8,IF(EXACT(O349,$Y$9),$Z$9))))))</f>
        <v>NA</v>
      </c>
      <c r="U349" s="329"/>
      <c r="V349" s="328"/>
    </row>
    <row r="350" spans="1:22" ht="36" customHeight="1" x14ac:dyDescent="0.25">
      <c r="A350" s="343"/>
      <c r="B350" s="342">
        <v>21</v>
      </c>
      <c r="C350" s="333" t="str">
        <f>Final!E123</f>
        <v>a</v>
      </c>
      <c r="D350" s="330" t="str">
        <f>Final!F123</f>
        <v>Correspondencia entre el tipo de trabajos y actividades realizados por los estudiantes respecto a los objetivos, perfil del egresado, competencias y modalidad del proyecto curricular.</v>
      </c>
      <c r="E350" s="11" t="str">
        <f>Apreciación!A50</f>
        <v>Estudiantes</v>
      </c>
      <c r="F350" s="12" t="str">
        <f>Apreciación!E50</f>
        <v>Cuenta de 40. Los temas de los trabajos desarrollados en los espacios académicos despiertan mi interés personal y profesional.</v>
      </c>
      <c r="G350" s="203">
        <f>Apreciación!F50</f>
        <v>1.7964071856287425E-2</v>
      </c>
      <c r="H350" s="203">
        <f>Apreciación!G50</f>
        <v>3.5928143712574849E-2</v>
      </c>
      <c r="I350" s="203">
        <f>Apreciación!H50</f>
        <v>0.20359281437125748</v>
      </c>
      <c r="J350" s="203">
        <f>Apreciación!I50</f>
        <v>0.45508982035928142</v>
      </c>
      <c r="K350" s="203">
        <f>Apreciación!J50</f>
        <v>0.28143712574850299</v>
      </c>
      <c r="L350" s="203">
        <f>Apreciación!K50</f>
        <v>5.9880239520958087E-3</v>
      </c>
      <c r="M350" s="18">
        <f>(G350*$G$2)+(H350*$H$2)+(I350*$I$2)+(J350*$J$2)+(K350*$K$2)+(L350*$L$2)</f>
        <v>4.1380239520958089</v>
      </c>
      <c r="N350" s="324">
        <f>AVERAGE(M350:M351)</f>
        <v>4.078592814371258</v>
      </c>
      <c r="O350" s="324">
        <f>(N350*$AE$5)+(N352*$AE$4)+(AVERAGE(N350:N354)*$AE$6)+(AVERAGE(N350:N354)*$AE$8)+(AVERAGE(N350:N354)*$AE$7)</f>
        <v>4.1311075072078074</v>
      </c>
      <c r="P350" s="324">
        <f>AVERAGE(O350:O358)</f>
        <v>4.0414796795298296</v>
      </c>
      <c r="Q350" s="325"/>
      <c r="R350" s="17" t="str">
        <f t="shared" si="40"/>
        <v>B</v>
      </c>
      <c r="S350" s="327" t="str">
        <f>IF(((N350&gt;=$Z$4)*AND(N350&lt;=$AA$4)),$Y$4,IF(((N350&gt;$AA$4)*AND(N350&lt;=$AA$5)),$Y$5,IF(((N350&gt;$AA$5)*AND(N350&lt;=$AA$6)),$Y$6,IF(((N350&gt;$AA$6)*AND(N350&lt;=$AA$7)),$Y$7,IF(((N350&gt;$AA$7)*AND(N350&lt;=$AA$8)),$Y$8,IF(EXACT(N350,$Y$9),$Z$9))))))</f>
        <v>B</v>
      </c>
      <c r="T350" s="327" t="str">
        <f>IF(((O350&gt;=$Z$4)*AND(O350&lt;=$AA$4)),$Y$4,IF(((O350&gt;$AA$4)*AND(O350&lt;=$AA$5)),$Y$5,IF(((O350&gt;$AA$5)*AND(O350&lt;=$AA$6)),$Y$6,IF(((O350&gt;$AA$6)*AND(O350&lt;=$AA$7)),$Y$7,IF(((O350&gt;$AA$7)*AND(O350&lt;=$AA$8)),$Y$8,IF(EXACT(O350,$Y$9),$Z$9))))))</f>
        <v>B</v>
      </c>
      <c r="U350" s="327" t="str">
        <f>IF(((P350&gt;=$Z$4)*AND(P350&lt;=$AA$4)),$Y$4,IF(((P350&gt;$AA$4)*AND(P350&lt;=$AA$5)),$Y$5,IF(((P350&gt;$AA$5)*AND(P350&lt;=$AA$6)),$Y$6,IF(((P350&gt;$AA$6)*AND(P350&lt;=$AA$7)),$Y$7,IF(((P350&gt;$AA$7)*AND(P350&lt;=$AA$8)),$Y$8,IF(EXACT(P350,$Y$9),$Z$9))))))</f>
        <v>B</v>
      </c>
      <c r="V350" s="328"/>
    </row>
    <row r="351" spans="1:22" ht="36" x14ac:dyDescent="0.25">
      <c r="A351" s="343"/>
      <c r="B351" s="343"/>
      <c r="C351" s="334"/>
      <c r="D351" s="331"/>
      <c r="E351" s="11" t="str">
        <f>Apreciación!A51</f>
        <v>Estudiantes</v>
      </c>
      <c r="F351" s="12" t="str">
        <f>Apreciación!E51</f>
        <v>Cuenta de 41. Los objetivos de cada uno de los espacios académicos son coherentes con los trabajos de aula solicitados por los docentes.</v>
      </c>
      <c r="G351" s="203">
        <f>Apreciación!F51</f>
        <v>3.5928143712574849E-2</v>
      </c>
      <c r="H351" s="203">
        <f>Apreciación!G51</f>
        <v>4.790419161676647E-2</v>
      </c>
      <c r="I351" s="203">
        <f>Apreciación!H51</f>
        <v>0.20958083832335328</v>
      </c>
      <c r="J351" s="203">
        <f>Apreciación!I51</f>
        <v>0.52095808383233533</v>
      </c>
      <c r="K351" s="203">
        <f>Apreciación!J51</f>
        <v>0.17964071856287425</v>
      </c>
      <c r="L351" s="203">
        <f>Apreciación!K51</f>
        <v>5.9880239520958087E-3</v>
      </c>
      <c r="M351" s="89">
        <f>(G351*$G$2)+(H351*$H$2)+(I351*$I$2)+(J351*$J$2)+(K351*$K$2)+(L351*$L$2)</f>
        <v>4.0191616766467071</v>
      </c>
      <c r="N351" s="326"/>
      <c r="O351" s="325"/>
      <c r="P351" s="325"/>
      <c r="Q351" s="325"/>
      <c r="R351" s="17" t="str">
        <f t="shared" si="40"/>
        <v>B</v>
      </c>
      <c r="S351" s="329"/>
      <c r="T351" s="328"/>
      <c r="U351" s="328"/>
      <c r="V351" s="328"/>
    </row>
    <row r="352" spans="1:22" ht="36" customHeight="1" x14ac:dyDescent="0.25">
      <c r="A352" s="343"/>
      <c r="B352" s="343"/>
      <c r="C352" s="334"/>
      <c r="D352" s="331"/>
      <c r="E352" s="11" t="str">
        <f>Apreciación!A131</f>
        <v>Docentes</v>
      </c>
      <c r="F352" s="12" t="str">
        <f>Apreciación!E131</f>
        <v>Cuenta de 28. El plan de estudios del programa académico al cual pertenezco es coherente con el perfil profesional y ocupacional que se espera alcanzar.</v>
      </c>
      <c r="G352" s="203">
        <f>Apreciación!F131</f>
        <v>3.7037037037037035E-2</v>
      </c>
      <c r="H352" s="203">
        <f>Apreciación!G131</f>
        <v>0</v>
      </c>
      <c r="I352" s="203">
        <f>Apreciación!H131</f>
        <v>7.407407407407407E-2</v>
      </c>
      <c r="J352" s="203">
        <f>Apreciación!I131</f>
        <v>0.29629629629629628</v>
      </c>
      <c r="K352" s="203">
        <f>Apreciación!J131</f>
        <v>0.59259259259259256</v>
      </c>
      <c r="L352" s="203">
        <f>Apreciación!K131</f>
        <v>0</v>
      </c>
      <c r="M352" s="130">
        <f>(G352*$G$2)+(H352*$H$2)+(I352*$I$2)+(J352*$J$2)+(K352*$K$2)+(L352*$L$2)</f>
        <v>4.3962962962962964</v>
      </c>
      <c r="N352" s="324">
        <f>AVERAGE(M352:M354)</f>
        <v>4.1740740740740749</v>
      </c>
      <c r="O352" s="325"/>
      <c r="P352" s="325"/>
      <c r="Q352" s="325"/>
      <c r="R352" s="17" t="str">
        <f t="shared" si="40"/>
        <v>B</v>
      </c>
      <c r="S352" s="327" t="str">
        <f>IF(((N352&gt;=$Z$4)*AND(N352&lt;=$AA$4)),$Y$4,IF(((N352&gt;$AA$4)*AND(N352&lt;=$AA$5)),$Y$5,IF(((N352&gt;$AA$5)*AND(N352&lt;=$AA$6)),$Y$6,IF(((N352&gt;$AA$6)*AND(N352&lt;=$AA$7)),$Y$7,IF(((N352&gt;$AA$7)*AND(N352&lt;=$AA$8)),$Y$8,IF(EXACT(N352,$Y$9),$Z$9))))))</f>
        <v>B</v>
      </c>
      <c r="T352" s="328"/>
      <c r="U352" s="328"/>
      <c r="V352" s="328"/>
    </row>
    <row r="353" spans="1:22" ht="36" x14ac:dyDescent="0.25">
      <c r="A353" s="343"/>
      <c r="B353" s="343"/>
      <c r="C353" s="334"/>
      <c r="D353" s="331"/>
      <c r="E353" s="11" t="str">
        <f>Apreciación!A132</f>
        <v>Docentes</v>
      </c>
      <c r="F353" s="12" t="str">
        <f>Apreciación!E132</f>
        <v xml:space="preserve">Cuenta de 29. El plan de estudios del programa académico al cual pertenezco permite desarrollar en los estudiantes competencias investigativas. </v>
      </c>
      <c r="G353" s="203">
        <f>Apreciación!F132</f>
        <v>7.407407407407407E-2</v>
      </c>
      <c r="H353" s="203">
        <f>Apreciación!G132</f>
        <v>7.407407407407407E-2</v>
      </c>
      <c r="I353" s="203">
        <f>Apreciación!H132</f>
        <v>0.14814814814814814</v>
      </c>
      <c r="J353" s="203">
        <f>Apreciación!I132</f>
        <v>0.33333333333333331</v>
      </c>
      <c r="K353" s="203">
        <f>Apreciación!J132</f>
        <v>0.37037037037037035</v>
      </c>
      <c r="L353" s="203">
        <f>Apreciación!K132</f>
        <v>0</v>
      </c>
      <c r="M353" s="130">
        <f>(G353*$G$2)+(H353*$H$2)+(I353*$I$2)+(J353*$J$2)+(K353*$K$2)+(L353*$L$2)</f>
        <v>4.0518518518518523</v>
      </c>
      <c r="N353" s="325"/>
      <c r="O353" s="325"/>
      <c r="P353" s="325"/>
      <c r="Q353" s="325"/>
      <c r="R353" s="17" t="str">
        <f t="shared" si="40"/>
        <v>B</v>
      </c>
      <c r="S353" s="328"/>
      <c r="T353" s="328"/>
      <c r="U353" s="328"/>
      <c r="V353" s="328"/>
    </row>
    <row r="354" spans="1:22" ht="48" x14ac:dyDescent="0.25">
      <c r="A354" s="343"/>
      <c r="B354" s="343"/>
      <c r="C354" s="335"/>
      <c r="D354" s="332"/>
      <c r="E354" s="11" t="str">
        <f>Apreciación!A133</f>
        <v>Docentes</v>
      </c>
      <c r="F354" s="12" t="str">
        <f>Apreciación!E133</f>
        <v xml:space="preserve">Cuenta de 30. El plan de estudios del programa académico al cual pertenezco permite desarrollar en los estudiantes competencias para la comprensión del contexto. </v>
      </c>
      <c r="G354" s="203">
        <f>Apreciación!F133</f>
        <v>0</v>
      </c>
      <c r="H354" s="203">
        <f>Apreciación!G133</f>
        <v>0.1111111111111111</v>
      </c>
      <c r="I354" s="203">
        <f>Apreciación!H133</f>
        <v>0.1111111111111111</v>
      </c>
      <c r="J354" s="203">
        <f>Apreciación!I133</f>
        <v>0.33333333333333331</v>
      </c>
      <c r="K354" s="203">
        <f>Apreciación!J133</f>
        <v>0.40740740740740738</v>
      </c>
      <c r="L354" s="203">
        <f>Apreciación!K133</f>
        <v>3.7037037037037035E-2</v>
      </c>
      <c r="M354" s="130">
        <f>(G354*$G$2)+(H354*$H$2)+(I354*$I$2)+(J354*$J$2)+(K354*$K$2)+(L354*$L$2)</f>
        <v>4.0740740740740744</v>
      </c>
      <c r="N354" s="326"/>
      <c r="O354" s="326"/>
      <c r="P354" s="325"/>
      <c r="Q354" s="325"/>
      <c r="R354" s="17" t="str">
        <f t="shared" si="40"/>
        <v>B</v>
      </c>
      <c r="S354" s="329"/>
      <c r="T354" s="329"/>
      <c r="U354" s="328"/>
      <c r="V354" s="328"/>
    </row>
    <row r="355" spans="1:22" ht="72" x14ac:dyDescent="0.25">
      <c r="A355" s="343"/>
      <c r="B355" s="343"/>
      <c r="C355" s="58" t="str">
        <f>Final!E124</f>
        <v>b</v>
      </c>
      <c r="D355" s="59" t="str">
        <f>Final!F124</f>
        <v>Criterios y estrategias aplicados en el proyecto curricular para la definición de los tiempos de trabajo de los estudiantes y profesores, en coherencia con el sistema de créditos, teniendo en cuenta lo definido para valorar el trabajo directo, el colaborativo y el autónomo.</v>
      </c>
      <c r="E355" s="61" t="s">
        <v>64</v>
      </c>
      <c r="F355" s="61" t="s">
        <v>64</v>
      </c>
      <c r="G355" s="204" t="s">
        <v>64</v>
      </c>
      <c r="H355" s="204" t="s">
        <v>64</v>
      </c>
      <c r="I355" s="204" t="s">
        <v>64</v>
      </c>
      <c r="J355" s="204" t="s">
        <v>64</v>
      </c>
      <c r="K355" s="204" t="s">
        <v>64</v>
      </c>
      <c r="L355" s="204" t="s">
        <v>64</v>
      </c>
      <c r="M355" s="130" t="s">
        <v>64</v>
      </c>
      <c r="N355" s="130" t="s">
        <v>64</v>
      </c>
      <c r="O355" s="130" t="s">
        <v>64</v>
      </c>
      <c r="P355" s="325"/>
      <c r="Q355" s="325"/>
      <c r="R355" s="17" t="str">
        <f t="shared" si="40"/>
        <v>NA</v>
      </c>
      <c r="S355" s="17" t="str">
        <f t="shared" ref="S355:T359" si="44">IF(((N355&gt;=$Z$4)*AND(N355&lt;=$AA$4)),$Y$4,IF(((N355&gt;$AA$4)*AND(N355&lt;=$AA$5)),$Y$5,IF(((N355&gt;$AA$5)*AND(N355&lt;=$AA$6)),$Y$6,IF(((N355&gt;$AA$6)*AND(N355&lt;=$AA$7)),$Y$7,IF(((N355&gt;$AA$7)*AND(N355&lt;=$AA$8)),$Y$8,IF(EXACT(N355,$Y$9),$Z$9))))))</f>
        <v>NA</v>
      </c>
      <c r="T355" s="17" t="str">
        <f t="shared" si="44"/>
        <v>NA</v>
      </c>
      <c r="U355" s="328"/>
      <c r="V355" s="328"/>
    </row>
    <row r="356" spans="1:22" ht="72" x14ac:dyDescent="0.25">
      <c r="A356" s="343"/>
      <c r="B356" s="343"/>
      <c r="C356" s="58" t="str">
        <f>Final!E125</f>
        <v>c</v>
      </c>
      <c r="D356" s="6" t="str">
        <f>Final!F125</f>
        <v>Apreciación de directivos y profesores adscritos al proyecto curricular sobre la correspondencia entre la calidad de los trabajos realizados por los estudiantes y los objetivos de logro, incluyendo la formación personal), definidos por el mismo.</v>
      </c>
      <c r="E356" s="11" t="str">
        <f>Apreciación!A148</f>
        <v>Docentes</v>
      </c>
      <c r="F356" s="11" t="str">
        <f>Apreciación!E148</f>
        <v>Cuenta de 45. El programa académico al cual pertenezco incentiva el desarrollo de trabajos de aula con contenido investigativo.</v>
      </c>
      <c r="G356" s="203">
        <f>Apreciación!F148</f>
        <v>3.7037037037037035E-2</v>
      </c>
      <c r="H356" s="203">
        <f>Apreciación!G148</f>
        <v>3.7037037037037035E-2</v>
      </c>
      <c r="I356" s="203">
        <f>Apreciación!H148</f>
        <v>0.1111111111111111</v>
      </c>
      <c r="J356" s="203">
        <f>Apreciación!I148</f>
        <v>0.59259259259259256</v>
      </c>
      <c r="K356" s="203">
        <f>Apreciación!J148</f>
        <v>0.18518518518518517</v>
      </c>
      <c r="L356" s="203">
        <f>Apreciación!K148</f>
        <v>3.7037037037037035E-2</v>
      </c>
      <c r="M356" s="18">
        <f>(G356*$G$2)+(H356*$H$2)+(I356*$I$2)+(J356*$J$2)+(K356*$K$2)+(L356*$L$2)</f>
        <v>3.9518518518518517</v>
      </c>
      <c r="N356" s="63">
        <f>AVERAGE(M356)</f>
        <v>3.9518518518518517</v>
      </c>
      <c r="O356" s="18">
        <f>AVERAGE(N356)</f>
        <v>3.9518518518518517</v>
      </c>
      <c r="P356" s="325"/>
      <c r="Q356" s="325"/>
      <c r="R356" s="17" t="str">
        <f t="shared" si="40"/>
        <v>C</v>
      </c>
      <c r="S356" s="17" t="str">
        <f t="shared" si="44"/>
        <v>C</v>
      </c>
      <c r="T356" s="17" t="str">
        <f t="shared" si="44"/>
        <v>C</v>
      </c>
      <c r="U356" s="328"/>
      <c r="V356" s="328"/>
    </row>
    <row r="357" spans="1:22" ht="96" x14ac:dyDescent="0.25">
      <c r="A357" s="343"/>
      <c r="B357" s="343"/>
      <c r="C357" s="58" t="str">
        <f>Final!E126</f>
        <v>d</v>
      </c>
      <c r="D357" s="59" t="str">
        <f>Final!F126</f>
        <v>Correspondencia entre las actividades y trabajos realizados por los estudiantes y las formas de evaluación por competencias especialmente en actitudes, conocimientos, capacidades y habilidades, según la naturaleza del proyecto curricular y los métodos pedagógicos empleados para desarrollar los diversos procesos de formación.</v>
      </c>
      <c r="E357" s="61" t="s">
        <v>64</v>
      </c>
      <c r="F357" s="61" t="s">
        <v>64</v>
      </c>
      <c r="G357" s="204" t="s">
        <v>64</v>
      </c>
      <c r="H357" s="204" t="s">
        <v>64</v>
      </c>
      <c r="I357" s="204" t="s">
        <v>64</v>
      </c>
      <c r="J357" s="204" t="s">
        <v>64</v>
      </c>
      <c r="K357" s="204" t="s">
        <v>64</v>
      </c>
      <c r="L357" s="204" t="s">
        <v>64</v>
      </c>
      <c r="M357" s="130" t="s">
        <v>64</v>
      </c>
      <c r="N357" s="130" t="s">
        <v>64</v>
      </c>
      <c r="O357" s="130" t="s">
        <v>64</v>
      </c>
      <c r="P357" s="325"/>
      <c r="Q357" s="325"/>
      <c r="R357" s="17" t="str">
        <f t="shared" si="40"/>
        <v>NA</v>
      </c>
      <c r="S357" s="17" t="str">
        <f t="shared" si="44"/>
        <v>NA</v>
      </c>
      <c r="T357" s="17" t="str">
        <f t="shared" si="44"/>
        <v>NA</v>
      </c>
      <c r="U357" s="328"/>
      <c r="V357" s="328"/>
    </row>
    <row r="358" spans="1:22" ht="84" x14ac:dyDescent="0.25">
      <c r="A358" s="343"/>
      <c r="B358" s="344"/>
      <c r="C358" s="58" t="str">
        <f>Final!E127</f>
        <v>e</v>
      </c>
      <c r="D358" s="59" t="str">
        <f>Final!F127</f>
        <v>Descripción de los trabajos académicos realizados por estudiantes del proyecto curricular en los últimos cinco años, que han merecido premios o reconocimientos significativos por la comunidad no solo académica nacional o internacional, .sino además local y/ o comunitaria.</v>
      </c>
      <c r="E358" s="61" t="s">
        <v>64</v>
      </c>
      <c r="F358" s="61" t="s">
        <v>64</v>
      </c>
      <c r="G358" s="204" t="s">
        <v>64</v>
      </c>
      <c r="H358" s="204" t="s">
        <v>64</v>
      </c>
      <c r="I358" s="204" t="s">
        <v>64</v>
      </c>
      <c r="J358" s="204" t="s">
        <v>64</v>
      </c>
      <c r="K358" s="204" t="s">
        <v>64</v>
      </c>
      <c r="L358" s="204" t="s">
        <v>64</v>
      </c>
      <c r="M358" s="89" t="s">
        <v>64</v>
      </c>
      <c r="N358" s="89" t="s">
        <v>64</v>
      </c>
      <c r="O358" s="89" t="s">
        <v>64</v>
      </c>
      <c r="P358" s="326"/>
      <c r="Q358" s="325"/>
      <c r="R358" s="17" t="str">
        <f t="shared" si="40"/>
        <v>NA</v>
      </c>
      <c r="S358" s="17" t="str">
        <f t="shared" si="44"/>
        <v>NA</v>
      </c>
      <c r="T358" s="17" t="str">
        <f t="shared" si="44"/>
        <v>NA</v>
      </c>
      <c r="U358" s="329"/>
      <c r="V358" s="328"/>
    </row>
    <row r="359" spans="1:22" ht="72" x14ac:dyDescent="0.25">
      <c r="A359" s="343"/>
      <c r="B359" s="342">
        <v>22</v>
      </c>
      <c r="C359" s="126" t="str">
        <f>Final!E128</f>
        <v>a</v>
      </c>
      <c r="D359" s="158" t="str">
        <f>Final!F128</f>
        <v>Existencia, aplicación de políticas y estrategias institucionales en términos de la evaluación y autorregulación del proyecto curricular conducentes al diseño y formulación de planes de mejoramiento continuo y de gestión de la innovación</v>
      </c>
      <c r="E359" s="61" t="s">
        <v>64</v>
      </c>
      <c r="F359" s="61" t="s">
        <v>64</v>
      </c>
      <c r="G359" s="204" t="s">
        <v>64</v>
      </c>
      <c r="H359" s="204" t="s">
        <v>64</v>
      </c>
      <c r="I359" s="204" t="s">
        <v>64</v>
      </c>
      <c r="J359" s="204" t="s">
        <v>64</v>
      </c>
      <c r="K359" s="204" t="s">
        <v>64</v>
      </c>
      <c r="L359" s="204" t="s">
        <v>64</v>
      </c>
      <c r="M359" s="130" t="s">
        <v>64</v>
      </c>
      <c r="N359" s="130" t="s">
        <v>64</v>
      </c>
      <c r="O359" s="130" t="s">
        <v>64</v>
      </c>
      <c r="P359" s="324">
        <f>AVERAGE(O359:O374)</f>
        <v>3.4422489465513424</v>
      </c>
      <c r="Q359" s="325"/>
      <c r="R359" s="17" t="str">
        <f t="shared" si="40"/>
        <v>NA</v>
      </c>
      <c r="S359" s="128" t="str">
        <f t="shared" si="44"/>
        <v>NA</v>
      </c>
      <c r="T359" s="128" t="str">
        <f t="shared" si="44"/>
        <v>NA</v>
      </c>
      <c r="U359" s="327" t="str">
        <f>IF(((P359&gt;=$Z$4)*AND(P359&lt;=$AA$4)),$Y$4,IF(((P359&gt;$AA$4)*AND(P359&lt;=$AA$5)),$Y$5,IF(((P359&gt;$AA$5)*AND(P359&lt;=$AA$6)),$Y$6,IF(((P359&gt;$AA$6)*AND(P359&lt;=$AA$7)),$Y$7,IF(((P359&gt;$AA$7)*AND(P359&lt;=$AA$8)),$Y$8,IF(EXACT(P359,$Y$9),$Z$9))))))</f>
        <v>D</v>
      </c>
      <c r="V359" s="328"/>
    </row>
    <row r="360" spans="1:22" ht="36" customHeight="1" x14ac:dyDescent="0.25">
      <c r="A360" s="343"/>
      <c r="B360" s="343"/>
      <c r="C360" s="333" t="str">
        <f>Final!E129</f>
        <v>b</v>
      </c>
      <c r="D360" s="330" t="str">
        <f>Final!F129</f>
        <v>Estrategias verificables de seguimiento, evaluación, mejoramiento continuo y gestión de la innovación, realizadas por el proyecto curricular tomando como referencia los objetivos, procesos, logros, pertinencia y relevancia social del proyecto curricular.</v>
      </c>
      <c r="E360" s="11" t="str">
        <f>Apreciación!A52</f>
        <v>Estudiantes</v>
      </c>
      <c r="F360" s="12" t="str">
        <f>Apreciación!E52</f>
        <v>Cuenta de 42. Conozco los procesos para la evaluación periódica de la pertinencia y calidad del programa académico al cual pertenezco.</v>
      </c>
      <c r="G360" s="203">
        <f>Apreciación!F52</f>
        <v>0.10778443113772455</v>
      </c>
      <c r="H360" s="203">
        <f>Apreciación!G52</f>
        <v>5.3892215568862277E-2</v>
      </c>
      <c r="I360" s="203">
        <f>Apreciación!H52</f>
        <v>0.22155688622754491</v>
      </c>
      <c r="J360" s="203">
        <f>Apreciación!I52</f>
        <v>0.3413173652694611</v>
      </c>
      <c r="K360" s="203">
        <f>Apreciación!J52</f>
        <v>0.17365269461077845</v>
      </c>
      <c r="L360" s="203">
        <f>Apreciación!K52</f>
        <v>0.10179640718562874</v>
      </c>
      <c r="M360" s="18">
        <f t="shared" ref="M360:M367" si="45">(G360*$G$2)+(H360*$H$2)+(I360*$I$2)+(J360*$J$2)+(K360*$K$2)+(L360*$L$2)</f>
        <v>3.420359281437126</v>
      </c>
      <c r="N360" s="324">
        <f>AVERAGE(M360:M364)</f>
        <v>3.0164071856287422</v>
      </c>
      <c r="O360" s="324">
        <f>(N360*$AE$5)+(N365*$AE$4)+(AVERAGE(N360:N366)*$AE$6)+(AVERAGE(N360:N366)*$AE$8)+(AVERAGE(N360:N366)*$AE$7)</f>
        <v>3.3322906409403421</v>
      </c>
      <c r="P360" s="325"/>
      <c r="Q360" s="325"/>
      <c r="R360" s="17" t="str">
        <f t="shared" si="40"/>
        <v>D</v>
      </c>
      <c r="S360" s="327" t="str">
        <f>IF(((N360&gt;=$Z$4)*AND(N360&lt;=$AA$4)),$Y$4,IF(((N360&gt;$AA$4)*AND(N360&lt;=$AA$5)),$Y$5,IF(((N360&gt;$AA$5)*AND(N360&lt;=$AA$6)),$Y$6,IF(((N360&gt;$AA$6)*AND(N360&lt;=$AA$7)),$Y$7,IF(((N360&gt;$AA$7)*AND(N360&lt;=$AA$8)),$Y$8,IF(EXACT(N360,$Y$9),$Z$9))))))</f>
        <v>D</v>
      </c>
      <c r="T360" s="327" t="str">
        <f>IF(((O360&gt;=$Z$4)*AND(O360&lt;=$AA$4)),$Y$4,IF(((O360&gt;$AA$4)*AND(O360&lt;=$AA$5)),$Y$5,IF(((O360&gt;$AA$5)*AND(O360&lt;=$AA$6)),$Y$6,IF(((O360&gt;$AA$6)*AND(O360&lt;=$AA$7)),$Y$7,IF(((O360&gt;$AA$7)*AND(O360&lt;=$AA$8)),$Y$8,IF(EXACT(O360,$Y$9),$Z$9))))))</f>
        <v>D</v>
      </c>
      <c r="U360" s="328"/>
      <c r="V360" s="328"/>
    </row>
    <row r="361" spans="1:22" ht="36" x14ac:dyDescent="0.25">
      <c r="A361" s="343"/>
      <c r="B361" s="343"/>
      <c r="C361" s="334"/>
      <c r="D361" s="331"/>
      <c r="E361" s="11" t="str">
        <f>Apreciación!A53</f>
        <v>Estudiantes</v>
      </c>
      <c r="F361" s="12" t="str">
        <f>Apreciación!E53</f>
        <v>Cuenta de 43. He participado en procesos para la evaluación periódica de la pertinencia y calidad del programa académico al cual pertenezco.</v>
      </c>
      <c r="G361" s="203">
        <f>Apreciación!F53</f>
        <v>0.17365269461077845</v>
      </c>
      <c r="H361" s="203">
        <f>Apreciación!G53</f>
        <v>9.580838323353294E-2</v>
      </c>
      <c r="I361" s="203">
        <f>Apreciación!H53</f>
        <v>0.25748502994011974</v>
      </c>
      <c r="J361" s="203">
        <f>Apreciación!I53</f>
        <v>0.25149700598802394</v>
      </c>
      <c r="K361" s="203">
        <f>Apreciación!J53</f>
        <v>0.10778443113772455</v>
      </c>
      <c r="L361" s="203">
        <f>Apreciación!K53</f>
        <v>0.11377245508982035</v>
      </c>
      <c r="M361" s="130">
        <f t="shared" si="45"/>
        <v>3.0988023952095807</v>
      </c>
      <c r="N361" s="325"/>
      <c r="O361" s="325"/>
      <c r="P361" s="325"/>
      <c r="Q361" s="325"/>
      <c r="R361" s="17" t="str">
        <f t="shared" si="40"/>
        <v>D</v>
      </c>
      <c r="S361" s="328"/>
      <c r="T361" s="328"/>
      <c r="U361" s="328"/>
      <c r="V361" s="328"/>
    </row>
    <row r="362" spans="1:22" ht="36" x14ac:dyDescent="0.25">
      <c r="A362" s="343"/>
      <c r="B362" s="343"/>
      <c r="C362" s="334"/>
      <c r="D362" s="331"/>
      <c r="E362" s="11" t="str">
        <f>Apreciación!A55</f>
        <v>Estudiantes</v>
      </c>
      <c r="F362" s="12" t="str">
        <f>Apreciación!E55</f>
        <v>Cuenta de 45. Conozco proyectos dirigidos a la comunidad y liderados por mi programa académico.</v>
      </c>
      <c r="G362" s="203">
        <f>Apreciación!F55</f>
        <v>0.22754491017964071</v>
      </c>
      <c r="H362" s="203">
        <f>Apreciación!G55</f>
        <v>0.1437125748502994</v>
      </c>
      <c r="I362" s="203">
        <f>Apreciación!H55</f>
        <v>0.20958083832335328</v>
      </c>
      <c r="J362" s="203">
        <f>Apreciación!I55</f>
        <v>0.16766467065868262</v>
      </c>
      <c r="K362" s="203">
        <f>Apreciación!J55</f>
        <v>8.9820359281437126E-2</v>
      </c>
      <c r="L362" s="203">
        <f>Apreciación!K55</f>
        <v>0.16167664670658682</v>
      </c>
      <c r="M362" s="130">
        <f t="shared" si="45"/>
        <v>2.7170658682634725</v>
      </c>
      <c r="N362" s="325"/>
      <c r="O362" s="325"/>
      <c r="P362" s="325"/>
      <c r="Q362" s="325"/>
      <c r="R362" s="17" t="str">
        <f t="shared" si="40"/>
        <v>D</v>
      </c>
      <c r="S362" s="328"/>
      <c r="T362" s="328"/>
      <c r="U362" s="328"/>
      <c r="V362" s="328"/>
    </row>
    <row r="363" spans="1:22" ht="36" x14ac:dyDescent="0.25">
      <c r="A363" s="343"/>
      <c r="B363" s="343"/>
      <c r="C363" s="334"/>
      <c r="D363" s="331"/>
      <c r="E363" s="11" t="str">
        <f>Apreciación!A56</f>
        <v>Estudiantes</v>
      </c>
      <c r="F363" s="12" t="str">
        <f>Apreciación!E56</f>
        <v>Cuenta de 46. He participado en proyectos dirigidos a la comunidad y liderados por el programa académico.</v>
      </c>
      <c r="G363" s="203">
        <f>Apreciación!F56</f>
        <v>0.45508982035928142</v>
      </c>
      <c r="H363" s="203">
        <f>Apreciación!G56</f>
        <v>0.16167664670658682</v>
      </c>
      <c r="I363" s="203">
        <f>Apreciación!H56</f>
        <v>0.1497005988023952</v>
      </c>
      <c r="J363" s="203">
        <f>Apreciación!I56</f>
        <v>0.1437125748502994</v>
      </c>
      <c r="K363" s="203">
        <f>Apreciación!J56</f>
        <v>1.7964071856287425E-2</v>
      </c>
      <c r="L363" s="203">
        <f>Apreciación!K56</f>
        <v>7.1856287425149698E-2</v>
      </c>
      <c r="M363" s="130">
        <f t="shared" si="45"/>
        <v>2.4934131736526943</v>
      </c>
      <c r="N363" s="325"/>
      <c r="O363" s="325"/>
      <c r="P363" s="325"/>
      <c r="Q363" s="325"/>
      <c r="R363" s="17" t="str">
        <f t="shared" si="40"/>
        <v>E</v>
      </c>
      <c r="S363" s="328"/>
      <c r="T363" s="328"/>
      <c r="U363" s="328"/>
      <c r="V363" s="328"/>
    </row>
    <row r="364" spans="1:22" ht="24" x14ac:dyDescent="0.25">
      <c r="A364" s="343"/>
      <c r="B364" s="343"/>
      <c r="C364" s="334"/>
      <c r="D364" s="331"/>
      <c r="E364" s="11" t="str">
        <f>Apreciación!A57</f>
        <v>Estudiantes</v>
      </c>
      <c r="F364" s="12" t="str">
        <f>Apreciación!E57</f>
        <v>Cuenta de 47. Desde mi programa académico se ayuda a resolver problemas de la comunidad.</v>
      </c>
      <c r="G364" s="203">
        <f>Apreciación!F57</f>
        <v>0.11976047904191617</v>
      </c>
      <c r="H364" s="203">
        <f>Apreciación!G57</f>
        <v>8.9820359281437126E-2</v>
      </c>
      <c r="I364" s="203">
        <f>Apreciación!H57</f>
        <v>0.22754491017964071</v>
      </c>
      <c r="J364" s="203">
        <f>Apreciación!I57</f>
        <v>0.26946107784431139</v>
      </c>
      <c r="K364" s="203">
        <f>Apreciación!J57</f>
        <v>0.19161676646706588</v>
      </c>
      <c r="L364" s="203">
        <f>Apreciación!K57</f>
        <v>0.10179640718562874</v>
      </c>
      <c r="M364" s="130">
        <f t="shared" si="45"/>
        <v>3.3523952095808385</v>
      </c>
      <c r="N364" s="326"/>
      <c r="O364" s="325"/>
      <c r="P364" s="325"/>
      <c r="Q364" s="325"/>
      <c r="R364" s="17" t="str">
        <f t="shared" si="40"/>
        <v>D</v>
      </c>
      <c r="S364" s="329"/>
      <c r="T364" s="328"/>
      <c r="U364" s="328"/>
      <c r="V364" s="328"/>
    </row>
    <row r="365" spans="1:22" ht="48" x14ac:dyDescent="0.25">
      <c r="A365" s="343"/>
      <c r="B365" s="343"/>
      <c r="C365" s="334"/>
      <c r="D365" s="331"/>
      <c r="E365" s="11" t="str">
        <f>Apreciación!A149</f>
        <v>Docentes</v>
      </c>
      <c r="F365" s="12" t="str">
        <f>Apreciación!E149</f>
        <v>Cuenta de 46. Conozco los procesos efectuados para la evaluación periódica de la pertinencia y calidad del programa académico al cual pertenezco.</v>
      </c>
      <c r="G365" s="203">
        <f>Apreciación!F149</f>
        <v>3.7037037037037035E-2</v>
      </c>
      <c r="H365" s="203">
        <f>Apreciación!G149</f>
        <v>7.407407407407407E-2</v>
      </c>
      <c r="I365" s="203">
        <f>Apreciación!H149</f>
        <v>0.14814814814814814</v>
      </c>
      <c r="J365" s="203">
        <f>Apreciación!I149</f>
        <v>0.29629629629629628</v>
      </c>
      <c r="K365" s="203">
        <f>Apreciación!J149</f>
        <v>0.37037037037037035</v>
      </c>
      <c r="L365" s="203">
        <f>Apreciación!K149</f>
        <v>7.407407407407407E-2</v>
      </c>
      <c r="M365" s="130">
        <f t="shared" si="45"/>
        <v>3.8333333333333335</v>
      </c>
      <c r="N365" s="324">
        <f>AVERAGE(M365:M366)</f>
        <v>3.590740740740741</v>
      </c>
      <c r="O365" s="325"/>
      <c r="P365" s="325"/>
      <c r="Q365" s="325"/>
      <c r="R365" s="17" t="str">
        <f t="shared" si="40"/>
        <v>C</v>
      </c>
      <c r="S365" s="327" t="str">
        <f>IF(((N365&gt;=$Z$4)*AND(N365&lt;=$AA$4)),$Y$4,IF(((N365&gt;$AA$4)*AND(N365&lt;=$AA$5)),$Y$5,IF(((N365&gt;$AA$5)*AND(N365&lt;=$AA$6)),$Y$6,IF(((N365&gt;$AA$6)*AND(N365&lt;=$AA$7)),$Y$7,IF(((N365&gt;$AA$7)*AND(N365&lt;=$AA$8)),$Y$8,IF(EXACT(N365,$Y$9),$Z$9))))))</f>
        <v>C</v>
      </c>
      <c r="T365" s="328"/>
      <c r="U365" s="328"/>
      <c r="V365" s="328"/>
    </row>
    <row r="366" spans="1:22" ht="48" x14ac:dyDescent="0.25">
      <c r="A366" s="343"/>
      <c r="B366" s="343"/>
      <c r="C366" s="335"/>
      <c r="D366" s="332"/>
      <c r="E366" s="11" t="str">
        <f>Apreciación!A153</f>
        <v>Docentes</v>
      </c>
      <c r="F366" s="12" t="str">
        <f>Apreciación!E153</f>
        <v>Cuenta de 50. Considero que el programa académico al cual pertenezco ejecuta proyectos y ayuda a resolver problemas del entorno inmediato.</v>
      </c>
      <c r="G366" s="203">
        <f>Apreciación!F153</f>
        <v>0.1111111111111111</v>
      </c>
      <c r="H366" s="203">
        <f>Apreciación!G153</f>
        <v>0.1111111111111111</v>
      </c>
      <c r="I366" s="203">
        <f>Apreciación!H153</f>
        <v>0.22222222222222221</v>
      </c>
      <c r="J366" s="203">
        <f>Apreciación!I153</f>
        <v>0.18518518518518517</v>
      </c>
      <c r="K366" s="203">
        <f>Apreciación!J153</f>
        <v>0.25925925925925924</v>
      </c>
      <c r="L366" s="203">
        <f>Apreciación!K153</f>
        <v>0.1111111111111111</v>
      </c>
      <c r="M366" s="130">
        <f t="shared" si="45"/>
        <v>3.3481481481481481</v>
      </c>
      <c r="N366" s="326"/>
      <c r="O366" s="326"/>
      <c r="P366" s="325"/>
      <c r="Q366" s="325"/>
      <c r="R366" s="17" t="str">
        <f t="shared" si="40"/>
        <v>D</v>
      </c>
      <c r="S366" s="329"/>
      <c r="T366" s="329"/>
      <c r="U366" s="328"/>
      <c r="V366" s="328"/>
    </row>
    <row r="367" spans="1:22" ht="60" customHeight="1" x14ac:dyDescent="0.25">
      <c r="A367" s="343"/>
      <c r="B367" s="343"/>
      <c r="C367" s="333" t="str">
        <f>Final!E130</f>
        <v>c</v>
      </c>
      <c r="D367" s="330" t="str">
        <f>Final!F130</f>
        <v xml:space="preserve">Apreciación de directivos, profesores y estudiantes sobre la incidencia de los sistemas de evaluación y autorregulación del proyecto curricular en el enriquecimiento de la calidad de éste. </v>
      </c>
      <c r="E367" s="11" t="str">
        <f>Apreciación!A54</f>
        <v>Estudiantes</v>
      </c>
      <c r="F367" s="11" t="str">
        <f>Apreciación!E54</f>
        <v>Cuenta de 44. Puedo identificar mejoras realizadas  en mi programa académico durante el último año.</v>
      </c>
      <c r="G367" s="205">
        <f>Apreciación!F54</f>
        <v>0.11377245508982035</v>
      </c>
      <c r="H367" s="205">
        <f>Apreciación!G54</f>
        <v>0.11976047904191617</v>
      </c>
      <c r="I367" s="205">
        <f>Apreciación!H54</f>
        <v>0.26347305389221559</v>
      </c>
      <c r="J367" s="205">
        <f>Apreciación!I54</f>
        <v>0.19760479041916168</v>
      </c>
      <c r="K367" s="205">
        <f>Apreciación!J54</f>
        <v>0.1497005988023952</v>
      </c>
      <c r="L367" s="205">
        <f>Apreciación!K54</f>
        <v>0.15568862275449102</v>
      </c>
      <c r="M367" s="18">
        <f t="shared" si="45"/>
        <v>3.0625748502994012</v>
      </c>
      <c r="N367" s="324">
        <f>AVERAGE(M367:M370)</f>
        <v>3.1610778443113778</v>
      </c>
      <c r="O367" s="324">
        <f>(N367*$AE$5)+(N371*$AE$4)+(AVERAGE(N367:N373)*$AE$6)+(AVERAGE(N367:N373)*$AE$8)+(AVERAGE(N367:N373)*$AE$7)</f>
        <v>3.5522072521623422</v>
      </c>
      <c r="P367" s="325"/>
      <c r="Q367" s="325"/>
      <c r="R367" s="17" t="str">
        <f t="shared" si="40"/>
        <v>D</v>
      </c>
      <c r="S367" s="327" t="str">
        <f>IF(((N367&gt;=$Z$4)*AND(N367&lt;=$AA$4)),$Y$4,IF(((N367&gt;$AA$4)*AND(N367&lt;=$AA$5)),$Y$5,IF(((N367&gt;$AA$5)*AND(N367&lt;=$AA$6)),$Y$6,IF(((N367&gt;$AA$6)*AND(N367&lt;=$AA$7)),$Y$7,IF(((N367&gt;$AA$7)*AND(N367&lt;=$AA$8)),$Y$8,IF(EXACT(N367,$Y$9),$Z$9))))))</f>
        <v>D</v>
      </c>
      <c r="T367" s="327" t="str">
        <f>IF(((O367&gt;=$Z$4)*AND(O367&lt;=$AA$4)),$Y$4,IF(((O367&gt;$AA$4)*AND(O367&lt;=$AA$5)),$Y$5,IF(((O367&gt;$AA$5)*AND(O367&lt;=$AA$6)),$Y$6,IF(((O367&gt;$AA$6)*AND(O367&lt;=$AA$7)),$Y$7,IF(((O367&gt;$AA$7)*AND(O367&lt;=$AA$8)),$Y$8,IF(EXACT(O367,$Y$9),$Z$9))))))</f>
        <v>C</v>
      </c>
      <c r="U367" s="328"/>
      <c r="V367" s="328"/>
    </row>
    <row r="368" spans="1:22" ht="36" x14ac:dyDescent="0.25">
      <c r="A368" s="343"/>
      <c r="B368" s="343"/>
      <c r="C368" s="334"/>
      <c r="D368" s="331"/>
      <c r="E368" s="11" t="str">
        <f>Apreciación!A52</f>
        <v>Estudiantes</v>
      </c>
      <c r="F368" s="12" t="str">
        <f>Apreciación!E52</f>
        <v>Cuenta de 42. Conozco los procesos para la evaluación periódica de la pertinencia y calidad del programa académico al cual pertenezco.</v>
      </c>
      <c r="G368" s="203">
        <f>Apreciación!F52</f>
        <v>0.10778443113772455</v>
      </c>
      <c r="H368" s="203">
        <f>Apreciación!G52</f>
        <v>5.3892215568862277E-2</v>
      </c>
      <c r="I368" s="203">
        <f>Apreciación!H52</f>
        <v>0.22155688622754491</v>
      </c>
      <c r="J368" s="203">
        <f>Apreciación!I52</f>
        <v>0.3413173652694611</v>
      </c>
      <c r="K368" s="203">
        <f>Apreciación!J52</f>
        <v>0.17365269461077845</v>
      </c>
      <c r="L368" s="203">
        <f>Apreciación!K52</f>
        <v>0.10179640718562874</v>
      </c>
      <c r="M368" s="130">
        <f t="shared" ref="M368:M373" si="46">(G368*$G$2)+(H368*$H$2)+(I368*$I$2)+(J368*$J$2)+(K368*$K$2)+(L368*$L$2)</f>
        <v>3.420359281437126</v>
      </c>
      <c r="N368" s="325"/>
      <c r="O368" s="325"/>
      <c r="P368" s="325"/>
      <c r="Q368" s="325"/>
      <c r="R368" s="17" t="str">
        <f t="shared" ref="R368:R373" si="47">IF(((M368&gt;=$Z$4)*AND(M368&lt;=$AA$4)),$Y$4,IF(((M368&gt;$AA$4)*AND(M368&lt;=$AA$5)),$Y$5,IF(((M368&gt;$AA$5)*AND(M368&lt;=$AA$6)),$Y$6,IF(((M368&gt;$AA$6)*AND(M368&lt;=$AA$7)),$Y$7,IF(((M368&gt;$AA$7)*AND(M368&lt;=$AA$8)),$Y$8,IF(EXACT(M368,$Y$9),$Z$9))))))</f>
        <v>D</v>
      </c>
      <c r="S368" s="328"/>
      <c r="T368" s="328"/>
      <c r="U368" s="328"/>
      <c r="V368" s="328"/>
    </row>
    <row r="369" spans="1:22" ht="36" x14ac:dyDescent="0.25">
      <c r="A369" s="343"/>
      <c r="B369" s="343"/>
      <c r="C369" s="334"/>
      <c r="D369" s="331"/>
      <c r="E369" s="11" t="str">
        <f>Apreciación!A53</f>
        <v>Estudiantes</v>
      </c>
      <c r="F369" s="12" t="str">
        <f>Apreciación!E53</f>
        <v>Cuenta de 43. He participado en procesos para la evaluación periódica de la pertinencia y calidad del programa académico al cual pertenezco.</v>
      </c>
      <c r="G369" s="203">
        <f>Apreciación!F53</f>
        <v>0.17365269461077845</v>
      </c>
      <c r="H369" s="203">
        <f>Apreciación!G53</f>
        <v>9.580838323353294E-2</v>
      </c>
      <c r="I369" s="203">
        <f>Apreciación!H53</f>
        <v>0.25748502994011974</v>
      </c>
      <c r="J369" s="203">
        <f>Apreciación!I53</f>
        <v>0.25149700598802394</v>
      </c>
      <c r="K369" s="203">
        <f>Apreciación!J53</f>
        <v>0.10778443113772455</v>
      </c>
      <c r="L369" s="203">
        <f>Apreciación!K53</f>
        <v>0.11377245508982035</v>
      </c>
      <c r="M369" s="130">
        <f t="shared" si="46"/>
        <v>3.0988023952095807</v>
      </c>
      <c r="N369" s="325"/>
      <c r="O369" s="325"/>
      <c r="P369" s="325"/>
      <c r="Q369" s="325"/>
      <c r="R369" s="17" t="str">
        <f t="shared" si="47"/>
        <v>D</v>
      </c>
      <c r="S369" s="328"/>
      <c r="T369" s="328"/>
      <c r="U369" s="328"/>
      <c r="V369" s="328"/>
    </row>
    <row r="370" spans="1:22" ht="36" x14ac:dyDescent="0.25">
      <c r="A370" s="343"/>
      <c r="B370" s="343"/>
      <c r="C370" s="334"/>
      <c r="D370" s="331"/>
      <c r="E370" s="11" t="str">
        <f>Apreciación!A54</f>
        <v>Estudiantes</v>
      </c>
      <c r="F370" s="12" t="str">
        <f>Apreciación!E54</f>
        <v>Cuenta de 44. Puedo identificar mejoras realizadas  en mi programa académico durante el último año.</v>
      </c>
      <c r="G370" s="203">
        <f>Apreciación!F54</f>
        <v>0.11377245508982035</v>
      </c>
      <c r="H370" s="203">
        <f>Apreciación!G54</f>
        <v>0.11976047904191617</v>
      </c>
      <c r="I370" s="203">
        <f>Apreciación!H54</f>
        <v>0.26347305389221559</v>
      </c>
      <c r="J370" s="203">
        <f>Apreciación!I54</f>
        <v>0.19760479041916168</v>
      </c>
      <c r="K370" s="203">
        <f>Apreciación!J54</f>
        <v>0.1497005988023952</v>
      </c>
      <c r="L370" s="203">
        <f>Apreciación!K54</f>
        <v>0.15568862275449102</v>
      </c>
      <c r="M370" s="130">
        <f t="shared" si="46"/>
        <v>3.0625748502994012</v>
      </c>
      <c r="N370" s="326"/>
      <c r="O370" s="325"/>
      <c r="P370" s="325"/>
      <c r="Q370" s="325"/>
      <c r="R370" s="17" t="str">
        <f t="shared" si="47"/>
        <v>D</v>
      </c>
      <c r="S370" s="329"/>
      <c r="T370" s="328"/>
      <c r="U370" s="328"/>
      <c r="V370" s="328"/>
    </row>
    <row r="371" spans="1:22" ht="48" x14ac:dyDescent="0.25">
      <c r="A371" s="343"/>
      <c r="B371" s="343"/>
      <c r="C371" s="334"/>
      <c r="D371" s="331"/>
      <c r="E371" s="11" t="str">
        <f>Apreciación!A149</f>
        <v>Docentes</v>
      </c>
      <c r="F371" s="12" t="str">
        <f>Apreciación!E149</f>
        <v>Cuenta de 46. Conozco los procesos efectuados para la evaluación periódica de la pertinencia y calidad del programa académico al cual pertenezco.</v>
      </c>
      <c r="G371" s="203">
        <f>Apreciación!F149</f>
        <v>3.7037037037037035E-2</v>
      </c>
      <c r="H371" s="203">
        <f>Apreciación!G149</f>
        <v>7.407407407407407E-2</v>
      </c>
      <c r="I371" s="203">
        <f>Apreciación!H149</f>
        <v>0.14814814814814814</v>
      </c>
      <c r="J371" s="203">
        <f>Apreciación!I149</f>
        <v>0.29629629629629628</v>
      </c>
      <c r="K371" s="203">
        <f>Apreciación!J149</f>
        <v>0.37037037037037035</v>
      </c>
      <c r="L371" s="203">
        <f>Apreciación!K149</f>
        <v>7.407407407407407E-2</v>
      </c>
      <c r="M371" s="130">
        <f t="shared" si="46"/>
        <v>3.8333333333333335</v>
      </c>
      <c r="N371" s="324">
        <f>AVERAGE(M371:M373)</f>
        <v>3.8722222222222222</v>
      </c>
      <c r="O371" s="325"/>
      <c r="P371" s="325"/>
      <c r="Q371" s="325"/>
      <c r="R371" s="17" t="str">
        <f t="shared" si="47"/>
        <v>C</v>
      </c>
      <c r="S371" s="327" t="str">
        <f>IF(((N371&gt;=$Z$4)*AND(N371&lt;=$AA$4)),$Y$4,IF(((N371&gt;$AA$4)*AND(N371&lt;=$AA$5)),$Y$5,IF(((N371&gt;$AA$5)*AND(N371&lt;=$AA$6)),$Y$6,IF(((N371&gt;$AA$6)*AND(N371&lt;=$AA$7)),$Y$7,IF(((N371&gt;$AA$7)*AND(N371&lt;=$AA$8)),$Y$8,IF(EXACT(N371,$Y$9),$Z$9))))))</f>
        <v>C</v>
      </c>
      <c r="T371" s="328"/>
      <c r="U371" s="328"/>
      <c r="V371" s="328"/>
    </row>
    <row r="372" spans="1:22" ht="36" x14ac:dyDescent="0.25">
      <c r="A372" s="343"/>
      <c r="B372" s="343"/>
      <c r="C372" s="334"/>
      <c r="D372" s="331"/>
      <c r="E372" s="11" t="str">
        <f>Apreciación!A150</f>
        <v>Docentes</v>
      </c>
      <c r="F372" s="12" t="str">
        <f>Apreciación!E150</f>
        <v>Cuenta de 47. He participado en procesos para la evaluación periódica de la pertinencia y calidad del programa académico al cual pertenezco.</v>
      </c>
      <c r="G372" s="203">
        <f>Apreciación!F150</f>
        <v>0.1111111111111111</v>
      </c>
      <c r="H372" s="203">
        <f>Apreciación!G150</f>
        <v>3.7037037037037035E-2</v>
      </c>
      <c r="I372" s="203">
        <f>Apreciación!H150</f>
        <v>0.22222222222222221</v>
      </c>
      <c r="J372" s="203">
        <f>Apreciación!I150</f>
        <v>0.29629629629629628</v>
      </c>
      <c r="K372" s="203">
        <f>Apreciación!J150</f>
        <v>0.29629629629629628</v>
      </c>
      <c r="L372" s="203">
        <f>Apreciación!K150</f>
        <v>3.7037037037037035E-2</v>
      </c>
      <c r="M372" s="130">
        <f t="shared" si="46"/>
        <v>3.7722222222222221</v>
      </c>
      <c r="N372" s="325"/>
      <c r="O372" s="325"/>
      <c r="P372" s="325"/>
      <c r="Q372" s="325"/>
      <c r="R372" s="17" t="str">
        <f t="shared" si="47"/>
        <v>C</v>
      </c>
      <c r="S372" s="328"/>
      <c r="T372" s="328"/>
      <c r="U372" s="328"/>
      <c r="V372" s="328"/>
    </row>
    <row r="373" spans="1:22" ht="36" x14ac:dyDescent="0.25">
      <c r="A373" s="343"/>
      <c r="B373" s="343"/>
      <c r="C373" s="335"/>
      <c r="D373" s="332"/>
      <c r="E373" s="11" t="str">
        <f>Apreciación!A151</f>
        <v>Docentes</v>
      </c>
      <c r="F373" s="12" t="str">
        <f>Apreciación!E151</f>
        <v>Cuenta de 48. Puedo identificar mejoras realizadas en el programa académico al cual pertenezco durante el último año.</v>
      </c>
      <c r="G373" s="203">
        <f>Apreciación!F151</f>
        <v>7.407407407407407E-2</v>
      </c>
      <c r="H373" s="203">
        <f>Apreciación!G151</f>
        <v>0</v>
      </c>
      <c r="I373" s="203">
        <f>Apreciación!H151</f>
        <v>0.18518518518518517</v>
      </c>
      <c r="J373" s="203">
        <f>Apreciación!I151</f>
        <v>0.25925925925925924</v>
      </c>
      <c r="K373" s="203">
        <f>Apreciación!J151</f>
        <v>0.44444444444444442</v>
      </c>
      <c r="L373" s="203">
        <f>Apreciación!K151</f>
        <v>3.7037037037037035E-2</v>
      </c>
      <c r="M373" s="130">
        <f t="shared" si="46"/>
        <v>4.0111111111111111</v>
      </c>
      <c r="N373" s="326"/>
      <c r="O373" s="326"/>
      <c r="P373" s="325"/>
      <c r="Q373" s="325"/>
      <c r="R373" s="17" t="str">
        <f t="shared" si="47"/>
        <v>B</v>
      </c>
      <c r="S373" s="329"/>
      <c r="T373" s="329"/>
      <c r="U373" s="328"/>
      <c r="V373" s="328"/>
    </row>
    <row r="374" spans="1:22" ht="60" x14ac:dyDescent="0.25">
      <c r="A374" s="343"/>
      <c r="B374" s="344"/>
      <c r="C374" s="58" t="str">
        <f>Final!E131</f>
        <v>d</v>
      </c>
      <c r="D374" s="59" t="str">
        <f>Final!F131</f>
        <v>Estudio de comparabilidad que evidencie los cambios específicos realizados en el proyecto curricular, en los últimos cinco años, a partir de los resultados de los procesos de evaluación y autorregulación.</v>
      </c>
      <c r="E374" s="61" t="s">
        <v>64</v>
      </c>
      <c r="F374" s="61" t="s">
        <v>64</v>
      </c>
      <c r="G374" s="204" t="s">
        <v>64</v>
      </c>
      <c r="H374" s="204" t="s">
        <v>64</v>
      </c>
      <c r="I374" s="204" t="s">
        <v>64</v>
      </c>
      <c r="J374" s="204" t="s">
        <v>64</v>
      </c>
      <c r="K374" s="204" t="s">
        <v>64</v>
      </c>
      <c r="L374" s="204" t="s">
        <v>64</v>
      </c>
      <c r="M374" s="89" t="s">
        <v>64</v>
      </c>
      <c r="N374" s="89" t="s">
        <v>64</v>
      </c>
      <c r="O374" s="89" t="s">
        <v>64</v>
      </c>
      <c r="P374" s="326"/>
      <c r="Q374" s="325"/>
      <c r="R374" s="17" t="str">
        <f t="shared" ref="R374:T375" si="48">IF(((M374&gt;=$Z$4)*AND(M374&lt;=$AA$4)),$Y$4,IF(((M374&gt;$AA$4)*AND(M374&lt;=$AA$5)),$Y$5,IF(((M374&gt;$AA$5)*AND(M374&lt;=$AA$6)),$Y$6,IF(((M374&gt;$AA$6)*AND(M374&lt;=$AA$7)),$Y$7,IF(((M374&gt;$AA$7)*AND(M374&lt;=$AA$8)),$Y$8,IF(EXACT(M374,$Y$9),$Z$9))))))</f>
        <v>NA</v>
      </c>
      <c r="S374" s="17" t="str">
        <f t="shared" si="48"/>
        <v>NA</v>
      </c>
      <c r="T374" s="17" t="str">
        <f t="shared" si="48"/>
        <v>NA</v>
      </c>
      <c r="U374" s="329"/>
      <c r="V374" s="328"/>
    </row>
    <row r="375" spans="1:22" ht="48" customHeight="1" x14ac:dyDescent="0.25">
      <c r="A375" s="343"/>
      <c r="B375" s="342">
        <v>23</v>
      </c>
      <c r="C375" s="333" t="str">
        <f>Final!E132</f>
        <v>a</v>
      </c>
      <c r="D375" s="330" t="str">
        <f>Final!F132</f>
        <v>Existencia, aplicación y evaluación periódica de criterios y políticas institucionales y del proyecto curricular en materia de extensión o proyección social.</v>
      </c>
      <c r="E375" s="64" t="str">
        <f>Apreciación!A275</f>
        <v>Directivos</v>
      </c>
      <c r="F375" s="140" t="str">
        <f>Apreciación!E275</f>
        <v>Conoce los planes trazados para los próximos años en el interior de la Facultad</v>
      </c>
      <c r="G375" s="204">
        <f>Apreciación!F275</f>
        <v>0</v>
      </c>
      <c r="H375" s="204">
        <f>Apreciación!G275</f>
        <v>0.13333333333333333</v>
      </c>
      <c r="I375" s="204">
        <f>Apreciación!H275</f>
        <v>0.13333333333333333</v>
      </c>
      <c r="J375" s="204">
        <f>Apreciación!I275</f>
        <v>0.33333333333333331</v>
      </c>
      <c r="K375" s="204">
        <f>Apreciación!J275</f>
        <v>0.2</v>
      </c>
      <c r="L375" s="204">
        <f>Apreciación!K275</f>
        <v>0.2</v>
      </c>
      <c r="M375" s="130">
        <f t="shared" ref="M375:M391" si="49">(G375*$G$2)+(H375*$H$2)+(I375*$I$2)+(J375*$J$2)+(K375*$K$2)+(L375*$L$2)</f>
        <v>3.2366666666666668</v>
      </c>
      <c r="N375" s="324">
        <f>AVERAGE(M375:M387)</f>
        <v>3.4489743589743589</v>
      </c>
      <c r="O375" s="324">
        <f>(N388*$AE$5)+(N389*$AE$4)+(N391*$AE$6)+(AVERAGE(N375:N391)*$AE$8)+(N375*$AE$7)</f>
        <v>3.3505289517119605</v>
      </c>
      <c r="P375" s="324">
        <f>AVERAGE(O375:O398)</f>
        <v>3.62526447585598</v>
      </c>
      <c r="Q375" s="325"/>
      <c r="R375" s="17" t="str">
        <f t="shared" si="48"/>
        <v>D</v>
      </c>
      <c r="S375" s="327" t="str">
        <f t="shared" si="48"/>
        <v>D</v>
      </c>
      <c r="T375" s="327" t="str">
        <f t="shared" si="48"/>
        <v>D</v>
      </c>
      <c r="U375" s="327" t="str">
        <f>IF(((P375&gt;=$Z$4)*AND(P375&lt;=$AA$4)),$Y$4,IF(((P375&gt;$AA$4)*AND(P375&lt;=$AA$5)),$Y$5,IF(((P375&gt;$AA$5)*AND(P375&lt;=$AA$6)),$Y$6,IF(((P375&gt;$AA$6)*AND(P375&lt;=$AA$7)),$Y$7,IF(((P375&gt;$AA$7)*AND(P375&lt;=$AA$8)),$Y$8,IF(EXACT(P375,$Y$9),$Z$9))))))</f>
        <v>C</v>
      </c>
      <c r="V375" s="328"/>
    </row>
    <row r="376" spans="1:22" ht="36" x14ac:dyDescent="0.25">
      <c r="A376" s="343"/>
      <c r="B376" s="343"/>
      <c r="C376" s="334"/>
      <c r="D376" s="331"/>
      <c r="E376" s="64" t="str">
        <f>Apreciación!A276</f>
        <v>Directivos</v>
      </c>
      <c r="F376" s="140" t="str">
        <f>Apreciación!E276</f>
        <v>Conoce los planes trazados para los próximos años en el interior del proyecto curricular en materia de:  Investigación</v>
      </c>
      <c r="G376" s="204">
        <f>Apreciación!F276</f>
        <v>6.6666666666666666E-2</v>
      </c>
      <c r="H376" s="204">
        <f>Apreciación!G276</f>
        <v>6.6666666666666666E-2</v>
      </c>
      <c r="I376" s="204">
        <f>Apreciación!H276</f>
        <v>0.2</v>
      </c>
      <c r="J376" s="204">
        <f>Apreciación!I276</f>
        <v>0.2</v>
      </c>
      <c r="K376" s="204">
        <f>Apreciación!J276</f>
        <v>0.26666666666666666</v>
      </c>
      <c r="L376" s="204">
        <f>Apreciación!K276</f>
        <v>0.2</v>
      </c>
      <c r="M376" s="130">
        <f t="shared" si="49"/>
        <v>3.1566666666666667</v>
      </c>
      <c r="N376" s="325"/>
      <c r="O376" s="325"/>
      <c r="P376" s="325"/>
      <c r="Q376" s="325"/>
      <c r="R376" s="17" t="str">
        <f t="shared" ref="R376:R391" si="50">IF(((M376&gt;=$Z$4)*AND(M376&lt;=$AA$4)),$Y$4,IF(((M376&gt;$AA$4)*AND(M376&lt;=$AA$5)),$Y$5,IF(((M376&gt;$AA$5)*AND(M376&lt;=$AA$6)),$Y$6,IF(((M376&gt;$AA$6)*AND(M376&lt;=$AA$7)),$Y$7,IF(((M376&gt;$AA$7)*AND(M376&lt;=$AA$8)),$Y$8,IF(EXACT(M376,$Y$9),$Z$9))))))</f>
        <v>D</v>
      </c>
      <c r="S376" s="328"/>
      <c r="T376" s="328"/>
      <c r="U376" s="328"/>
      <c r="V376" s="328"/>
    </row>
    <row r="377" spans="1:22" ht="36" x14ac:dyDescent="0.25">
      <c r="A377" s="343"/>
      <c r="B377" s="343"/>
      <c r="C377" s="334"/>
      <c r="D377" s="331"/>
      <c r="E377" s="64" t="str">
        <f>Apreciación!A277</f>
        <v>Directivos</v>
      </c>
      <c r="F377" s="140" t="str">
        <f>Apreciación!E277</f>
        <v xml:space="preserve">Conoce los planes trazados para los próximos años en el interior del proyecto curricular en materia de:  Docencia </v>
      </c>
      <c r="G377" s="204">
        <f>Apreciación!F277</f>
        <v>0</v>
      </c>
      <c r="H377" s="204">
        <f>Apreciación!G277</f>
        <v>6.6666666666666666E-2</v>
      </c>
      <c r="I377" s="204">
        <f>Apreciación!H277</f>
        <v>0.2</v>
      </c>
      <c r="J377" s="204">
        <f>Apreciación!I277</f>
        <v>0.26666666666666666</v>
      </c>
      <c r="K377" s="204">
        <f>Apreciación!J277</f>
        <v>0.26666666666666666</v>
      </c>
      <c r="L377" s="204">
        <f>Apreciación!K277</f>
        <v>0.2</v>
      </c>
      <c r="M377" s="130">
        <f t="shared" si="49"/>
        <v>3.3233333333333333</v>
      </c>
      <c r="N377" s="325"/>
      <c r="O377" s="325"/>
      <c r="P377" s="325"/>
      <c r="Q377" s="325"/>
      <c r="R377" s="17" t="str">
        <f t="shared" si="50"/>
        <v>D</v>
      </c>
      <c r="S377" s="328"/>
      <c r="T377" s="328"/>
      <c r="U377" s="328"/>
      <c r="V377" s="328"/>
    </row>
    <row r="378" spans="1:22" ht="36" x14ac:dyDescent="0.25">
      <c r="A378" s="343"/>
      <c r="B378" s="343"/>
      <c r="C378" s="334"/>
      <c r="D378" s="331"/>
      <c r="E378" s="64" t="str">
        <f>Apreciación!A278</f>
        <v>Directivos</v>
      </c>
      <c r="F378" s="140" t="str">
        <f>Apreciación!E278</f>
        <v>Conoce los planes trazados para los próximos años en el interior del proyecto curricular en materia de:  Extensión y proyección social</v>
      </c>
      <c r="G378" s="204">
        <f>Apreciación!F278</f>
        <v>6.6666666666666666E-2</v>
      </c>
      <c r="H378" s="204">
        <f>Apreciación!G278</f>
        <v>6.6666666666666666E-2</v>
      </c>
      <c r="I378" s="204">
        <f>Apreciación!H278</f>
        <v>0.13333333333333333</v>
      </c>
      <c r="J378" s="204">
        <f>Apreciación!I278</f>
        <v>0.2</v>
      </c>
      <c r="K378" s="204">
        <f>Apreciación!J278</f>
        <v>0.33333333333333331</v>
      </c>
      <c r="L378" s="204">
        <f>Apreciación!K278</f>
        <v>0.2</v>
      </c>
      <c r="M378" s="130">
        <f t="shared" si="49"/>
        <v>3.2266666666666666</v>
      </c>
      <c r="N378" s="325"/>
      <c r="O378" s="325"/>
      <c r="P378" s="325"/>
      <c r="Q378" s="325"/>
      <c r="R378" s="17" t="str">
        <f t="shared" si="50"/>
        <v>D</v>
      </c>
      <c r="S378" s="328"/>
      <c r="T378" s="328"/>
      <c r="U378" s="328"/>
      <c r="V378" s="328"/>
    </row>
    <row r="379" spans="1:22" ht="24" x14ac:dyDescent="0.25">
      <c r="A379" s="343"/>
      <c r="B379" s="343"/>
      <c r="C379" s="334"/>
      <c r="D379" s="331"/>
      <c r="E379" s="64" t="str">
        <f>Apreciación!A282</f>
        <v>Directivos</v>
      </c>
      <c r="F379" s="140" t="str">
        <f>Apreciación!E282</f>
        <v>Conoce las fuentes de financiación con las que se cuenta para el desarrollo de:  Investigación</v>
      </c>
      <c r="G379" s="204">
        <f>Apreciación!F282</f>
        <v>6.6666666666666666E-2</v>
      </c>
      <c r="H379" s="204">
        <f>Apreciación!G282</f>
        <v>6.6666666666666666E-2</v>
      </c>
      <c r="I379" s="204">
        <f>Apreciación!H282</f>
        <v>6.6666666666666666E-2</v>
      </c>
      <c r="J379" s="204">
        <f>Apreciación!I282</f>
        <v>0.26666666666666666</v>
      </c>
      <c r="K379" s="204">
        <f>Apreciación!J282</f>
        <v>0.53333333333333333</v>
      </c>
      <c r="L379" s="204">
        <f>Apreciación!K282</f>
        <v>0</v>
      </c>
      <c r="M379" s="130">
        <f t="shared" si="49"/>
        <v>4.21</v>
      </c>
      <c r="N379" s="325"/>
      <c r="O379" s="325"/>
      <c r="P379" s="325"/>
      <c r="Q379" s="325"/>
      <c r="R379" s="17" t="str">
        <f t="shared" si="50"/>
        <v>B</v>
      </c>
      <c r="S379" s="328"/>
      <c r="T379" s="328"/>
      <c r="U379" s="328"/>
      <c r="V379" s="328"/>
    </row>
    <row r="380" spans="1:22" ht="24" x14ac:dyDescent="0.25">
      <c r="A380" s="343"/>
      <c r="B380" s="343"/>
      <c r="C380" s="334"/>
      <c r="D380" s="331"/>
      <c r="E380" s="64" t="str">
        <f>Apreciación!A283</f>
        <v>Directivos</v>
      </c>
      <c r="F380" s="140" t="str">
        <f>Apreciación!E283</f>
        <v xml:space="preserve">Conoce las fuentes de financiación con las que se cuenta para el desarrollo de:  Docencia </v>
      </c>
      <c r="G380" s="204">
        <f>Apreciación!F283</f>
        <v>6.6666666666666666E-2</v>
      </c>
      <c r="H380" s="204">
        <f>Apreciación!G283</f>
        <v>6.6666666666666666E-2</v>
      </c>
      <c r="I380" s="204">
        <f>Apreciación!H283</f>
        <v>0.13333333333333333</v>
      </c>
      <c r="J380" s="204">
        <f>Apreciación!I283</f>
        <v>0.33333333333333331</v>
      </c>
      <c r="K380" s="204">
        <f>Apreciación!J283</f>
        <v>0.4</v>
      </c>
      <c r="L380" s="204">
        <f>Apreciación!K283</f>
        <v>0</v>
      </c>
      <c r="M380" s="130">
        <f t="shared" si="49"/>
        <v>4.1033333333333335</v>
      </c>
      <c r="N380" s="325"/>
      <c r="O380" s="325"/>
      <c r="P380" s="325"/>
      <c r="Q380" s="325"/>
      <c r="R380" s="17" t="str">
        <f t="shared" si="50"/>
        <v>B</v>
      </c>
      <c r="S380" s="328"/>
      <c r="T380" s="328"/>
      <c r="U380" s="328"/>
      <c r="V380" s="328"/>
    </row>
    <row r="381" spans="1:22" ht="36" x14ac:dyDescent="0.25">
      <c r="A381" s="343"/>
      <c r="B381" s="343"/>
      <c r="C381" s="334"/>
      <c r="D381" s="331"/>
      <c r="E381" s="64" t="str">
        <f>Apreciación!A284</f>
        <v>Directivos</v>
      </c>
      <c r="F381" s="140" t="str">
        <f>Apreciación!E284</f>
        <v>Conoce las fuentes de financiación con las que se cuenta para el desarrollo de:  Extensión y proyección social</v>
      </c>
      <c r="G381" s="204">
        <f>Apreciación!F284</f>
        <v>6.6666666666666666E-2</v>
      </c>
      <c r="H381" s="204">
        <f>Apreciación!G284</f>
        <v>6.6666666666666666E-2</v>
      </c>
      <c r="I381" s="204">
        <f>Apreciación!H284</f>
        <v>0.2</v>
      </c>
      <c r="J381" s="204">
        <f>Apreciación!I284</f>
        <v>0.26666666666666666</v>
      </c>
      <c r="K381" s="204">
        <f>Apreciación!J284</f>
        <v>0.4</v>
      </c>
      <c r="L381" s="204">
        <f>Apreciación!K284</f>
        <v>0</v>
      </c>
      <c r="M381" s="130">
        <f t="shared" si="49"/>
        <v>4.07</v>
      </c>
      <c r="N381" s="325"/>
      <c r="O381" s="325"/>
      <c r="P381" s="325"/>
      <c r="Q381" s="325"/>
      <c r="R381" s="17" t="str">
        <f t="shared" si="50"/>
        <v>B</v>
      </c>
      <c r="S381" s="328"/>
      <c r="T381" s="328"/>
      <c r="U381" s="328"/>
      <c r="V381" s="328"/>
    </row>
    <row r="382" spans="1:22" ht="24" x14ac:dyDescent="0.25">
      <c r="A382" s="343"/>
      <c r="B382" s="343"/>
      <c r="C382" s="334"/>
      <c r="D382" s="331"/>
      <c r="E382" s="64" t="str">
        <f>Apreciación!A285</f>
        <v>Directivos</v>
      </c>
      <c r="F382" s="140" t="str">
        <f>Apreciación!E285</f>
        <v>Considera que los recursos económicos son suficientes para el desarrollo de:  Investigación</v>
      </c>
      <c r="G382" s="204">
        <f>Apreciación!F285</f>
        <v>0.13333333333333333</v>
      </c>
      <c r="H382" s="204">
        <f>Apreciación!G285</f>
        <v>0.13333333333333333</v>
      </c>
      <c r="I382" s="204">
        <f>Apreciación!H285</f>
        <v>0.53333333333333333</v>
      </c>
      <c r="J382" s="204">
        <f>Apreciación!I285</f>
        <v>0.13333333333333333</v>
      </c>
      <c r="K382" s="204">
        <f>Apreciación!J285</f>
        <v>0</v>
      </c>
      <c r="L382" s="204">
        <f>Apreciación!K285</f>
        <v>6.6666666666666666E-2</v>
      </c>
      <c r="M382" s="130">
        <f t="shared" si="49"/>
        <v>3.1533333333333333</v>
      </c>
      <c r="N382" s="325"/>
      <c r="O382" s="325"/>
      <c r="P382" s="325"/>
      <c r="Q382" s="325"/>
      <c r="R382" s="17" t="str">
        <f t="shared" si="50"/>
        <v>D</v>
      </c>
      <c r="S382" s="328"/>
      <c r="T382" s="328"/>
      <c r="U382" s="328"/>
      <c r="V382" s="328"/>
    </row>
    <row r="383" spans="1:22" ht="24" x14ac:dyDescent="0.25">
      <c r="A383" s="343"/>
      <c r="B383" s="343"/>
      <c r="C383" s="334"/>
      <c r="D383" s="331"/>
      <c r="E383" s="64" t="str">
        <f>Apreciación!A286</f>
        <v>Directivos</v>
      </c>
      <c r="F383" s="140" t="str">
        <f>Apreciación!E286</f>
        <v xml:space="preserve">Considera que los recursos económicos son suficientes para el desarrollo de: Docencia </v>
      </c>
      <c r="G383" s="204">
        <f>Apreciación!F286</f>
        <v>0.2</v>
      </c>
      <c r="H383" s="204">
        <f>Apreciación!G286</f>
        <v>0.2</v>
      </c>
      <c r="I383" s="204">
        <f>Apreciación!H286</f>
        <v>0.26666666666666666</v>
      </c>
      <c r="J383" s="204">
        <f>Apreciación!I286</f>
        <v>0.2</v>
      </c>
      <c r="K383" s="204">
        <f>Apreciación!J286</f>
        <v>0</v>
      </c>
      <c r="L383" s="204">
        <f>Apreciación!K286</f>
        <v>0.13333333333333333</v>
      </c>
      <c r="M383" s="130">
        <f t="shared" si="49"/>
        <v>2.7566666666666668</v>
      </c>
      <c r="N383" s="325"/>
      <c r="O383" s="325"/>
      <c r="P383" s="325"/>
      <c r="Q383" s="325"/>
      <c r="R383" s="17" t="str">
        <f t="shared" si="50"/>
        <v>D</v>
      </c>
      <c r="S383" s="328"/>
      <c r="T383" s="328"/>
      <c r="U383" s="328"/>
      <c r="V383" s="328"/>
    </row>
    <row r="384" spans="1:22" ht="36" x14ac:dyDescent="0.25">
      <c r="A384" s="343"/>
      <c r="B384" s="343"/>
      <c r="C384" s="334"/>
      <c r="D384" s="331"/>
      <c r="E384" s="64" t="str">
        <f>Apreciación!A287</f>
        <v>Directivos</v>
      </c>
      <c r="F384" s="140" t="str">
        <f>Apreciación!E287</f>
        <v>Considera que los recursos económicos son suficientes para el desarrollo de: Extensión y proyección social</v>
      </c>
      <c r="G384" s="204">
        <f>Apreciación!F287</f>
        <v>6.6666666666666666E-2</v>
      </c>
      <c r="H384" s="204">
        <f>Apreciación!G287</f>
        <v>0.33333333333333331</v>
      </c>
      <c r="I384" s="204">
        <f>Apreciación!H287</f>
        <v>0.26666666666666666</v>
      </c>
      <c r="J384" s="204">
        <f>Apreciación!I287</f>
        <v>0.13333333333333333</v>
      </c>
      <c r="K384" s="204">
        <f>Apreciación!J287</f>
        <v>6.6666666666666666E-2</v>
      </c>
      <c r="L384" s="204">
        <f>Apreciación!K287</f>
        <v>0.13333333333333333</v>
      </c>
      <c r="M384" s="130">
        <f t="shared" si="49"/>
        <v>2.96</v>
      </c>
      <c r="N384" s="325"/>
      <c r="O384" s="325"/>
      <c r="P384" s="325"/>
      <c r="Q384" s="325"/>
      <c r="R384" s="17" t="str">
        <f t="shared" si="50"/>
        <v>D</v>
      </c>
      <c r="S384" s="328"/>
      <c r="T384" s="328"/>
      <c r="U384" s="328"/>
      <c r="V384" s="328"/>
    </row>
    <row r="385" spans="1:22" ht="36" x14ac:dyDescent="0.25">
      <c r="A385" s="343"/>
      <c r="B385" s="343"/>
      <c r="C385" s="334"/>
      <c r="D385" s="331"/>
      <c r="E385" s="64" t="str">
        <f>Apreciación!A288</f>
        <v>Directivos</v>
      </c>
      <c r="F385" s="140" t="str">
        <f>Apreciación!E288</f>
        <v>Menciona convenios y fuentes de financiación externa (local o extrajera), para el desarrollo de: Investigación</v>
      </c>
      <c r="G385" s="204">
        <f>Apreciación!F288</f>
        <v>0</v>
      </c>
      <c r="H385" s="204">
        <f>Apreciación!G288</f>
        <v>0.13333333333333333</v>
      </c>
      <c r="I385" s="204">
        <f>Apreciación!H288</f>
        <v>6.6666666666666666E-2</v>
      </c>
      <c r="J385" s="204">
        <f>Apreciación!I288</f>
        <v>0.26666666666666666</v>
      </c>
      <c r="K385" s="204">
        <f>Apreciación!J288</f>
        <v>0.4</v>
      </c>
      <c r="L385" s="204">
        <f>Apreciación!K288</f>
        <v>0.13333333333333333</v>
      </c>
      <c r="M385" s="130">
        <f t="shared" si="49"/>
        <v>3.66</v>
      </c>
      <c r="N385" s="325"/>
      <c r="O385" s="325"/>
      <c r="P385" s="325"/>
      <c r="Q385" s="325"/>
      <c r="R385" s="17" t="str">
        <f t="shared" si="50"/>
        <v>C</v>
      </c>
      <c r="S385" s="328"/>
      <c r="T385" s="328"/>
      <c r="U385" s="328"/>
      <c r="V385" s="328"/>
    </row>
    <row r="386" spans="1:22" ht="36" x14ac:dyDescent="0.25">
      <c r="A386" s="343"/>
      <c r="B386" s="343"/>
      <c r="C386" s="334"/>
      <c r="D386" s="331"/>
      <c r="E386" s="64" t="str">
        <f>Apreciación!A289</f>
        <v>Directivos</v>
      </c>
      <c r="F386" s="140" t="str">
        <f>Apreciación!E289</f>
        <v xml:space="preserve">Menciona convenios y fuentes de financiación externa (local o extrajera), para el desarrollo de: Formación docente </v>
      </c>
      <c r="G386" s="204">
        <f>Apreciación!F289</f>
        <v>0</v>
      </c>
      <c r="H386" s="204">
        <f>Apreciación!G289</f>
        <v>0.26666666666666666</v>
      </c>
      <c r="I386" s="204">
        <f>Apreciación!H289</f>
        <v>0.2</v>
      </c>
      <c r="J386" s="204">
        <f>Apreciación!I289</f>
        <v>0.2</v>
      </c>
      <c r="K386" s="204">
        <f>Apreciación!J289</f>
        <v>0.26666666666666666</v>
      </c>
      <c r="L386" s="204">
        <f>Apreciación!K289</f>
        <v>6.6666666666666666E-2</v>
      </c>
      <c r="M386" s="130">
        <f t="shared" si="49"/>
        <v>3.6333333333333337</v>
      </c>
      <c r="N386" s="325"/>
      <c r="O386" s="325"/>
      <c r="P386" s="325"/>
      <c r="Q386" s="325"/>
      <c r="R386" s="17" t="str">
        <f t="shared" si="50"/>
        <v>C</v>
      </c>
      <c r="S386" s="328"/>
      <c r="T386" s="328"/>
      <c r="U386" s="328"/>
      <c r="V386" s="328"/>
    </row>
    <row r="387" spans="1:22" ht="36" x14ac:dyDescent="0.25">
      <c r="A387" s="343"/>
      <c r="B387" s="343"/>
      <c r="C387" s="334"/>
      <c r="D387" s="331"/>
      <c r="E387" s="64" t="str">
        <f>Apreciación!A290</f>
        <v>Directivos</v>
      </c>
      <c r="F387" s="140" t="str">
        <f>Apreciación!E290</f>
        <v>Menciona convenios y fuentes de financiación externa (local o extrajera), para el desarrollo de: Extensión y proyección social</v>
      </c>
      <c r="G387" s="204">
        <f>Apreciación!F290</f>
        <v>0</v>
      </c>
      <c r="H387" s="204">
        <f>Apreciación!G290</f>
        <v>0.13333333333333333</v>
      </c>
      <c r="I387" s="204">
        <f>Apreciación!H290</f>
        <v>0.13333333333333333</v>
      </c>
      <c r="J387" s="204">
        <f>Apreciación!I290</f>
        <v>0.13333333333333333</v>
      </c>
      <c r="K387" s="204">
        <f>Apreciación!J290</f>
        <v>0.4</v>
      </c>
      <c r="L387" s="204">
        <f>Apreciación!K290</f>
        <v>0.2</v>
      </c>
      <c r="M387" s="130">
        <f t="shared" si="49"/>
        <v>3.3466666666666667</v>
      </c>
      <c r="N387" s="326"/>
      <c r="O387" s="325"/>
      <c r="P387" s="325"/>
      <c r="Q387" s="325"/>
      <c r="R387" s="17" t="str">
        <f t="shared" si="50"/>
        <v>D</v>
      </c>
      <c r="S387" s="329"/>
      <c r="T387" s="328"/>
      <c r="U387" s="328"/>
      <c r="V387" s="328"/>
    </row>
    <row r="388" spans="1:22" ht="24" x14ac:dyDescent="0.25">
      <c r="A388" s="343"/>
      <c r="B388" s="343"/>
      <c r="C388" s="334"/>
      <c r="D388" s="331"/>
      <c r="E388" s="64" t="str">
        <f>Apreciación!A57</f>
        <v>Estudiantes</v>
      </c>
      <c r="F388" s="140" t="str">
        <f>Apreciación!E57</f>
        <v>Cuenta de 47. Desde mi programa académico se ayuda a resolver problemas de la comunidad.</v>
      </c>
      <c r="G388" s="204">
        <f>Apreciación!F57</f>
        <v>0.11976047904191617</v>
      </c>
      <c r="H388" s="204">
        <f>Apreciación!G57</f>
        <v>8.9820359281437126E-2</v>
      </c>
      <c r="I388" s="204">
        <f>Apreciación!H57</f>
        <v>0.22754491017964071</v>
      </c>
      <c r="J388" s="204">
        <f>Apreciación!I57</f>
        <v>0.26946107784431139</v>
      </c>
      <c r="K388" s="204">
        <f>Apreciación!J57</f>
        <v>0.19161676646706588</v>
      </c>
      <c r="L388" s="204">
        <f>Apreciación!K57</f>
        <v>0.10179640718562874</v>
      </c>
      <c r="M388" s="130">
        <f t="shared" si="49"/>
        <v>3.3523952095808385</v>
      </c>
      <c r="N388" s="127">
        <f>AVERAGE(M388)</f>
        <v>3.3523952095808385</v>
      </c>
      <c r="O388" s="325"/>
      <c r="P388" s="325"/>
      <c r="Q388" s="325"/>
      <c r="R388" s="17" t="str">
        <f t="shared" si="50"/>
        <v>D</v>
      </c>
      <c r="S388" s="17" t="str">
        <f>IF(((N388&gt;=$Z$4)*AND(N388&lt;=$AA$4)),$Y$4,IF(((N388&gt;$AA$4)*AND(N388&lt;=$AA$5)),$Y$5,IF(((N388&gt;$AA$5)*AND(N388&lt;=$AA$6)),$Y$6,IF(((N388&gt;$AA$6)*AND(N388&lt;=$AA$7)),$Y$7,IF(((N388&gt;$AA$7)*AND(N388&lt;=$AA$8)),$Y$8,IF(EXACT(N388,$Y$9),$Z$9))))))</f>
        <v>D</v>
      </c>
      <c r="T388" s="328"/>
      <c r="U388" s="328"/>
      <c r="V388" s="328"/>
    </row>
    <row r="389" spans="1:22" ht="36" x14ac:dyDescent="0.25">
      <c r="A389" s="343"/>
      <c r="B389" s="343"/>
      <c r="C389" s="334"/>
      <c r="D389" s="331"/>
      <c r="E389" s="64" t="str">
        <f>Apreciación!A152</f>
        <v>Docentes</v>
      </c>
      <c r="F389" s="140" t="str">
        <f>Apreciación!E152</f>
        <v>Cuenta de 49. He participado en proyectos dirigidos a la comunidad y liderados por el programa académico al cual pertenezco.</v>
      </c>
      <c r="G389" s="204">
        <f>Apreciación!F152</f>
        <v>0.48148148148148145</v>
      </c>
      <c r="H389" s="204">
        <f>Apreciación!G152</f>
        <v>0.1111111111111111</v>
      </c>
      <c r="I389" s="204">
        <f>Apreciación!H152</f>
        <v>0.1111111111111111</v>
      </c>
      <c r="J389" s="204">
        <f>Apreciación!I152</f>
        <v>0.1111111111111111</v>
      </c>
      <c r="K389" s="204">
        <f>Apreciación!J152</f>
        <v>0.1111111111111111</v>
      </c>
      <c r="L389" s="204">
        <f>Apreciación!K152</f>
        <v>7.407407407407407E-2</v>
      </c>
      <c r="M389" s="130">
        <f t="shared" si="49"/>
        <v>2.5518518518518518</v>
      </c>
      <c r="N389" s="324">
        <f>AVERAGE(M389:M390)</f>
        <v>2.95</v>
      </c>
      <c r="O389" s="325"/>
      <c r="P389" s="325"/>
      <c r="Q389" s="325"/>
      <c r="R389" s="17" t="str">
        <f t="shared" si="50"/>
        <v>D</v>
      </c>
      <c r="S389" s="327" t="str">
        <f>IF(((N389&gt;=$Z$4)*AND(N389&lt;=$AA$4)),$Y$4,IF(((N389&gt;$AA$4)*AND(N389&lt;=$AA$5)),$Y$5,IF(((N389&gt;$AA$5)*AND(N389&lt;=$AA$6)),$Y$6,IF(((N389&gt;$AA$6)*AND(N389&lt;=$AA$7)),$Y$7,IF(((N389&gt;$AA$7)*AND(N389&lt;=$AA$8)),$Y$8,IF(EXACT(N389,$Y$9),$Z$9))))))</f>
        <v>D</v>
      </c>
      <c r="T389" s="328"/>
      <c r="U389" s="328"/>
      <c r="V389" s="328"/>
    </row>
    <row r="390" spans="1:22" ht="48" x14ac:dyDescent="0.25">
      <c r="A390" s="343"/>
      <c r="B390" s="343"/>
      <c r="C390" s="334"/>
      <c r="D390" s="331"/>
      <c r="E390" s="64" t="str">
        <f>Apreciación!A153</f>
        <v>Docentes</v>
      </c>
      <c r="F390" s="140" t="str">
        <f>Apreciación!E153</f>
        <v>Cuenta de 50. Considero que el programa académico al cual pertenezco ejecuta proyectos y ayuda a resolver problemas del entorno inmediato.</v>
      </c>
      <c r="G390" s="204">
        <f>Apreciación!F153</f>
        <v>0.1111111111111111</v>
      </c>
      <c r="H390" s="204">
        <f>Apreciación!G153</f>
        <v>0.1111111111111111</v>
      </c>
      <c r="I390" s="204">
        <f>Apreciación!H153</f>
        <v>0.22222222222222221</v>
      </c>
      <c r="J390" s="204">
        <f>Apreciación!I153</f>
        <v>0.18518518518518517</v>
      </c>
      <c r="K390" s="204">
        <f>Apreciación!J153</f>
        <v>0.25925925925925924</v>
      </c>
      <c r="L390" s="204">
        <f>Apreciación!K153</f>
        <v>0.1111111111111111</v>
      </c>
      <c r="M390" s="130">
        <f t="shared" si="49"/>
        <v>3.3481481481481481</v>
      </c>
      <c r="N390" s="326"/>
      <c r="O390" s="325"/>
      <c r="P390" s="325"/>
      <c r="Q390" s="325"/>
      <c r="R390" s="17" t="str">
        <f t="shared" si="50"/>
        <v>D</v>
      </c>
      <c r="S390" s="329"/>
      <c r="T390" s="328"/>
      <c r="U390" s="328"/>
      <c r="V390" s="328"/>
    </row>
    <row r="391" spans="1:22" ht="60" x14ac:dyDescent="0.25">
      <c r="A391" s="343"/>
      <c r="B391" s="343"/>
      <c r="C391" s="335"/>
      <c r="D391" s="332"/>
      <c r="E391" s="64" t="str">
        <f>Apreciación!A192</f>
        <v>Egresados</v>
      </c>
      <c r="F391" s="180" t="str">
        <f>Apreciación!E192</f>
        <v>Cuenta de 3. Considero que la Universidad Distrital Francisco José de Caldas es una alternativa real para acceder al conocimiento por parte de la población bogotana de menores ingresos.</v>
      </c>
      <c r="G391" s="204">
        <f>Apreciación!F192</f>
        <v>2.564102564102564E-2</v>
      </c>
      <c r="H391" s="204">
        <f>Apreciación!G192</f>
        <v>2.564102564102564E-2</v>
      </c>
      <c r="I391" s="204">
        <f>Apreciación!H192</f>
        <v>6.4102564102564097E-2</v>
      </c>
      <c r="J391" s="204">
        <f>Apreciación!I192</f>
        <v>0.25641025641025639</v>
      </c>
      <c r="K391" s="204">
        <f>Apreciación!J192</f>
        <v>0.60256410256410253</v>
      </c>
      <c r="L391" s="204">
        <f>Apreciación!K192</f>
        <v>2.564102564102564E-2</v>
      </c>
      <c r="M391" s="130">
        <f t="shared" si="49"/>
        <v>4.2955128205128208</v>
      </c>
      <c r="N391" s="127">
        <f>AVERAGE(M391)</f>
        <v>4.2955128205128208</v>
      </c>
      <c r="O391" s="326"/>
      <c r="P391" s="325"/>
      <c r="Q391" s="325"/>
      <c r="R391" s="17" t="str">
        <f t="shared" si="50"/>
        <v>B</v>
      </c>
      <c r="S391" s="17" t="str">
        <f>IF(((N391&gt;=$Z$4)*AND(N391&lt;=$AA$4)),$Y$4,IF(((N391&gt;$AA$4)*AND(N391&lt;=$AA$5)),$Y$5,IF(((N391&gt;$AA$5)*AND(N391&lt;=$AA$6)),$Y$6,IF(((N391&gt;$AA$6)*AND(N391&lt;=$AA$7)),$Y$7,IF(((N391&gt;$AA$7)*AND(N391&lt;=$AA$8)),$Y$8,IF(EXACT(N391,$Y$9),$Z$9))))))</f>
        <v>B</v>
      </c>
      <c r="T391" s="329"/>
      <c r="U391" s="328"/>
      <c r="V391" s="328"/>
    </row>
    <row r="392" spans="1:22" ht="60" x14ac:dyDescent="0.25">
      <c r="A392" s="343"/>
      <c r="B392" s="343"/>
      <c r="C392" s="58" t="str">
        <f>Final!E133</f>
        <v>b</v>
      </c>
      <c r="D392" s="59" t="str">
        <f>Final!F133</f>
        <v>Análisis estadístico diferenciado de proyectos y actividades de extensión o proyección a la comunidad desarrollados por directivos, profesores y estudiantes del proyecto curricular en los últimos cinco años.</v>
      </c>
      <c r="E392" s="61" t="s">
        <v>64</v>
      </c>
      <c r="F392" s="61" t="s">
        <v>64</v>
      </c>
      <c r="G392" s="204" t="s">
        <v>64</v>
      </c>
      <c r="H392" s="204" t="s">
        <v>64</v>
      </c>
      <c r="I392" s="204" t="s">
        <v>64</v>
      </c>
      <c r="J392" s="204" t="s">
        <v>64</v>
      </c>
      <c r="K392" s="204" t="s">
        <v>64</v>
      </c>
      <c r="L392" s="204" t="s">
        <v>64</v>
      </c>
      <c r="M392" s="139" t="s">
        <v>64</v>
      </c>
      <c r="N392" s="139" t="s">
        <v>64</v>
      </c>
      <c r="O392" s="139" t="s">
        <v>64</v>
      </c>
      <c r="P392" s="325"/>
      <c r="Q392" s="325"/>
      <c r="R392" s="17" t="str">
        <f t="shared" ref="R392:T394" si="51">IF(((M392&gt;=$Z$4)*AND(M392&lt;=$AA$4)),$Y$4,IF(((M392&gt;$AA$4)*AND(M392&lt;=$AA$5)),$Y$5,IF(((M392&gt;$AA$5)*AND(M392&lt;=$AA$6)),$Y$6,IF(((M392&gt;$AA$6)*AND(M392&lt;=$AA$7)),$Y$7,IF(((M392&gt;$AA$7)*AND(M392&lt;=$AA$8)),$Y$8,IF(EXACT(M392,$Y$9),$Z$9))))))</f>
        <v>NA</v>
      </c>
      <c r="S392" s="17" t="str">
        <f t="shared" si="51"/>
        <v>NA</v>
      </c>
      <c r="T392" s="17" t="str">
        <f t="shared" si="51"/>
        <v>NA</v>
      </c>
      <c r="U392" s="328"/>
      <c r="V392" s="328"/>
    </row>
    <row r="393" spans="1:22" ht="60" x14ac:dyDescent="0.25">
      <c r="A393" s="343"/>
      <c r="B393" s="343"/>
      <c r="C393" s="58" t="str">
        <f>Final!E134</f>
        <v>c</v>
      </c>
      <c r="D393" s="59" t="str">
        <f>Final!F134</f>
        <v>Descripción del impacto en el entorno y en los procesos académicos que han generado los resultados de los proyectos de extensión o proyección social desarrollados por el proyecto curricular.</v>
      </c>
      <c r="E393" s="61" t="s">
        <v>64</v>
      </c>
      <c r="F393" s="61" t="s">
        <v>64</v>
      </c>
      <c r="G393" s="204" t="s">
        <v>64</v>
      </c>
      <c r="H393" s="204" t="s">
        <v>64</v>
      </c>
      <c r="I393" s="204" t="s">
        <v>64</v>
      </c>
      <c r="J393" s="204" t="s">
        <v>64</v>
      </c>
      <c r="K393" s="204" t="s">
        <v>64</v>
      </c>
      <c r="L393" s="204" t="s">
        <v>64</v>
      </c>
      <c r="M393" s="89" t="s">
        <v>64</v>
      </c>
      <c r="N393" s="89" t="s">
        <v>64</v>
      </c>
      <c r="O393" s="89" t="s">
        <v>64</v>
      </c>
      <c r="P393" s="325"/>
      <c r="Q393" s="325"/>
      <c r="R393" s="17" t="str">
        <f t="shared" si="51"/>
        <v>NA</v>
      </c>
      <c r="S393" s="17" t="str">
        <f t="shared" si="51"/>
        <v>NA</v>
      </c>
      <c r="T393" s="17" t="str">
        <f t="shared" si="51"/>
        <v>NA</v>
      </c>
      <c r="U393" s="328"/>
      <c r="V393" s="328"/>
    </row>
    <row r="394" spans="1:22" ht="72" x14ac:dyDescent="0.25">
      <c r="A394" s="343"/>
      <c r="B394" s="343"/>
      <c r="C394" s="136" t="str">
        <f>Final!E135</f>
        <v>d</v>
      </c>
      <c r="D394" s="138" t="str">
        <f>Final!F135</f>
        <v>Participación en la aplicación de las políticas nacionales en materia de educación, innovación y desarrollo económico, técnico y tecnológico (innovación, adaptación, transferencia), de acuerdo con el tipo y modalidad del proyecto curricular.</v>
      </c>
      <c r="E394" s="61" t="s">
        <v>64</v>
      </c>
      <c r="F394" s="61" t="s">
        <v>64</v>
      </c>
      <c r="G394" s="204" t="s">
        <v>64</v>
      </c>
      <c r="H394" s="204" t="s">
        <v>64</v>
      </c>
      <c r="I394" s="204" t="s">
        <v>64</v>
      </c>
      <c r="J394" s="204" t="s">
        <v>64</v>
      </c>
      <c r="K394" s="204" t="s">
        <v>64</v>
      </c>
      <c r="L394" s="204" t="s">
        <v>64</v>
      </c>
      <c r="M394" s="139" t="s">
        <v>64</v>
      </c>
      <c r="N394" s="139" t="s">
        <v>64</v>
      </c>
      <c r="O394" s="139" t="s">
        <v>64</v>
      </c>
      <c r="P394" s="325"/>
      <c r="Q394" s="325"/>
      <c r="R394" s="17" t="str">
        <f t="shared" si="51"/>
        <v>NA</v>
      </c>
      <c r="S394" s="17" t="str">
        <f t="shared" si="51"/>
        <v>NA</v>
      </c>
      <c r="T394" s="135" t="str">
        <f t="shared" si="51"/>
        <v>NA</v>
      </c>
      <c r="U394" s="328"/>
      <c r="V394" s="328"/>
    </row>
    <row r="395" spans="1:22" ht="60" x14ac:dyDescent="0.25">
      <c r="A395" s="343"/>
      <c r="B395" s="343"/>
      <c r="C395" s="136" t="str">
        <f>Final!E136</f>
        <v>e</v>
      </c>
      <c r="D395" s="138" t="str">
        <f>Final!F136</f>
        <v>Análisis de las apreciaciones de empresarios, funcionarios públicos, líderes comunitarios y de otros agentes externos sobre el impacto social de los proyectos de extensión y/o proyección social desarrollados por el proyecto curricular.</v>
      </c>
      <c r="E395" s="11" t="str">
        <f>Apreciación!A257</f>
        <v>Empresarios</v>
      </c>
      <c r="F395" s="12" t="str">
        <f>Apreciación!E257</f>
        <v xml:space="preserve">Considero que el programa académico ejecuta proyectos que ayudan a resolver problemas en mi comunidad/empresa. </v>
      </c>
      <c r="G395" s="207">
        <f>Apreciación!F257</f>
        <v>0</v>
      </c>
      <c r="H395" s="207">
        <f>Apreciación!G257</f>
        <v>0.1111111111111111</v>
      </c>
      <c r="I395" s="207">
        <f>Apreciación!H257</f>
        <v>0.44444444444444442</v>
      </c>
      <c r="J395" s="207">
        <f>Apreciación!I257</f>
        <v>0.33333333333333331</v>
      </c>
      <c r="K395" s="207">
        <f>Apreciación!J257</f>
        <v>0.1111111111111111</v>
      </c>
      <c r="L395" s="207">
        <f>Apreciación!K257</f>
        <v>0</v>
      </c>
      <c r="M395" s="18">
        <f>(G395*$G$2)+(H395*$H$2)+(I395*$I$2)+(J395*$J$2)+(K395*$K$2)+(L395*$L$2)</f>
        <v>3.8999999999999995</v>
      </c>
      <c r="N395" s="63">
        <f>AVERAGE(M395)</f>
        <v>3.8999999999999995</v>
      </c>
      <c r="O395" s="137">
        <f>AVERAGE(N395:N395)</f>
        <v>3.8999999999999995</v>
      </c>
      <c r="P395" s="325"/>
      <c r="Q395" s="325"/>
      <c r="R395" s="17" t="str">
        <f>IF(((M395&gt;=$Z$4)*AND(M395&lt;=$AA$4)),$Y$4,IF(((M395&gt;$AA$4)*AND(M395&lt;=$AA$5)),$Y$5,IF(((M395&gt;$AA$5)*AND(M395&lt;=$AA$6)),$Y$6,IF(((M395&gt;$AA$6)*AND(M395&lt;=$AA$7)),$Y$7,IF(((M395&gt;$AA$7)*AND(M395&lt;=$AA$8)),$Y$8,IF(EXACT(M395,$Y$9),$Z$9))))))</f>
        <v>C</v>
      </c>
      <c r="S395" s="17" t="str">
        <f>IF(((N395&gt;=$Z$4)*AND(N395&lt;=$AA$4)),$Y$4,IF(((N395&gt;$AA$4)*AND(N395&lt;=$AA$5)),$Y$5,IF(((N395&gt;$AA$5)*AND(N395&lt;=$AA$6)),$Y$6,IF(((N395&gt;$AA$6)*AND(N395&lt;=$AA$7)),$Y$7,IF(((N395&gt;$AA$7)*AND(N395&lt;=$AA$8)),$Y$8,IF(EXACT(N395,$Y$9),$Z$9))))))</f>
        <v>C</v>
      </c>
      <c r="T395" s="135" t="str">
        <f>IF(((O395&gt;=$Z$4)*AND(O395&lt;=$AA$4)),$Y$4,IF(((O395&gt;$AA$4)*AND(O395&lt;=$AA$5)),$Y$5,IF(((O395&gt;$AA$5)*AND(O395&lt;=$AA$6)),$Y$6,IF(((O395&gt;$AA$6)*AND(O395&lt;=$AA$7)),$Y$7,IF(((O395&gt;$AA$7)*AND(O395&lt;=$AA$8)),$Y$8,IF(EXACT(O395,$Y$9),$Z$9))))))</f>
        <v>C</v>
      </c>
      <c r="U395" s="328"/>
      <c r="V395" s="328"/>
    </row>
    <row r="396" spans="1:22" ht="72" x14ac:dyDescent="0.25">
      <c r="A396" s="343"/>
      <c r="B396" s="343"/>
      <c r="C396" s="58" t="str">
        <f>Final!E137</f>
        <v>f</v>
      </c>
      <c r="D396" s="59" t="str">
        <f>Final!F137</f>
        <v>Número y tipo de reconocimientos hechos en los últimos cinco años por entidades gubernamentales y no gubernamentales al impacto que el proyecto curricular ha ejercido en los medios local, regional, nacional o internacional.</v>
      </c>
      <c r="E396" s="61" t="s">
        <v>64</v>
      </c>
      <c r="F396" s="61" t="s">
        <v>64</v>
      </c>
      <c r="G396" s="204" t="s">
        <v>64</v>
      </c>
      <c r="H396" s="204" t="s">
        <v>64</v>
      </c>
      <c r="I396" s="204" t="s">
        <v>64</v>
      </c>
      <c r="J396" s="204" t="s">
        <v>64</v>
      </c>
      <c r="K396" s="204" t="s">
        <v>64</v>
      </c>
      <c r="L396" s="204" t="s">
        <v>64</v>
      </c>
      <c r="M396" s="89" t="s">
        <v>64</v>
      </c>
      <c r="N396" s="89" t="s">
        <v>64</v>
      </c>
      <c r="O396" s="89" t="s">
        <v>64</v>
      </c>
      <c r="P396" s="325"/>
      <c r="Q396" s="325"/>
      <c r="R396" s="17" t="str">
        <f t="shared" ref="R396:R427" si="52">IF(((M396&gt;=$Z$4)*AND(M396&lt;=$AA$4)),$Y$4,IF(((M396&gt;$AA$4)*AND(M396&lt;=$AA$5)),$Y$5,IF(((M396&gt;$AA$5)*AND(M396&lt;=$AA$6)),$Y$6,IF(((M396&gt;$AA$6)*AND(M396&lt;=$AA$7)),$Y$7,IF(((M396&gt;$AA$7)*AND(M396&lt;=$AA$8)),$Y$8,IF(EXACT(M396,$Y$9),$Z$9))))))</f>
        <v>NA</v>
      </c>
      <c r="S396" s="17" t="str">
        <f t="shared" ref="S396:S427" si="53">IF(((N396&gt;=$Z$4)*AND(N396&lt;=$AA$4)),$Y$4,IF(((N396&gt;$AA$4)*AND(N396&lt;=$AA$5)),$Y$5,IF(((N396&gt;$AA$5)*AND(N396&lt;=$AA$6)),$Y$6,IF(((N396&gt;$AA$6)*AND(N396&lt;=$AA$7)),$Y$7,IF(((N396&gt;$AA$7)*AND(N396&lt;=$AA$8)),$Y$8,IF(EXACT(N396,$Y$9),$Z$9))))))</f>
        <v>NA</v>
      </c>
      <c r="T396" s="17" t="str">
        <f t="shared" ref="T396:T404" si="54">IF(((O396&gt;=$Z$4)*AND(O396&lt;=$AA$4)),$Y$4,IF(((O396&gt;$AA$4)*AND(O396&lt;=$AA$5)),$Y$5,IF(((O396&gt;$AA$5)*AND(O396&lt;=$AA$6)),$Y$6,IF(((O396&gt;$AA$6)*AND(O396&lt;=$AA$7)),$Y$7,IF(((O396&gt;$AA$7)*AND(O396&lt;=$AA$8)),$Y$8,IF(EXACT(O396,$Y$9),$Z$9))))))</f>
        <v>NA</v>
      </c>
      <c r="U396" s="328"/>
      <c r="V396" s="328"/>
    </row>
    <row r="397" spans="1:22" ht="60" x14ac:dyDescent="0.25">
      <c r="A397" s="343"/>
      <c r="B397" s="343"/>
      <c r="C397" s="58" t="str">
        <f>Final!E138</f>
        <v>g</v>
      </c>
      <c r="D397" s="59" t="str">
        <f>Final!F138</f>
        <v>Aplicación de los mecanismos y procedimientos desde los cuales se analiza la influencia que el proyecto curricular ejerce sobre el medio y desde los que se revisan de forma periódica las estrategias implementadas en esta materia.</v>
      </c>
      <c r="E397" s="61" t="s">
        <v>64</v>
      </c>
      <c r="F397" s="61" t="s">
        <v>64</v>
      </c>
      <c r="G397" s="204" t="s">
        <v>64</v>
      </c>
      <c r="H397" s="204" t="s">
        <v>64</v>
      </c>
      <c r="I397" s="204" t="s">
        <v>64</v>
      </c>
      <c r="J397" s="204" t="s">
        <v>64</v>
      </c>
      <c r="K397" s="204" t="s">
        <v>64</v>
      </c>
      <c r="L397" s="204" t="s">
        <v>64</v>
      </c>
      <c r="M397" s="89" t="s">
        <v>64</v>
      </c>
      <c r="N397" s="89" t="s">
        <v>64</v>
      </c>
      <c r="O397" s="89" t="s">
        <v>64</v>
      </c>
      <c r="P397" s="325"/>
      <c r="Q397" s="325"/>
      <c r="R397" s="17" t="str">
        <f t="shared" si="52"/>
        <v>NA</v>
      </c>
      <c r="S397" s="17" t="str">
        <f t="shared" si="53"/>
        <v>NA</v>
      </c>
      <c r="T397" s="17" t="str">
        <f t="shared" si="54"/>
        <v>NA</v>
      </c>
      <c r="U397" s="328"/>
      <c r="V397" s="328"/>
    </row>
    <row r="398" spans="1:22" ht="120" x14ac:dyDescent="0.25">
      <c r="A398" s="343"/>
      <c r="B398" s="344"/>
      <c r="C398" s="58" t="str">
        <f>Final!E139</f>
        <v>h</v>
      </c>
      <c r="D398" s="59" t="str">
        <f>Final!F139</f>
        <v>Existencia y utilización de base de datos con información suficiente y adecuada sobre las comunidades, empresas, gobiernos, instituciones, organizaciones de usuarios, y asociaciones a los quienes el proyecto curricular presta asistencia técnica o tecnológica, servicios, asesorías y otros apoyos que apuntan a la resolución de problemas o a la ejecución de programas de mejoramiento, de acuerdo con la naturaleza y modalidad del mismo.</v>
      </c>
      <c r="E398" s="61" t="s">
        <v>64</v>
      </c>
      <c r="F398" s="61" t="s">
        <v>64</v>
      </c>
      <c r="G398" s="204" t="s">
        <v>64</v>
      </c>
      <c r="H398" s="204" t="s">
        <v>64</v>
      </c>
      <c r="I398" s="204" t="s">
        <v>64</v>
      </c>
      <c r="J398" s="204" t="s">
        <v>64</v>
      </c>
      <c r="K398" s="204" t="s">
        <v>64</v>
      </c>
      <c r="L398" s="204" t="s">
        <v>64</v>
      </c>
      <c r="M398" s="89" t="s">
        <v>64</v>
      </c>
      <c r="N398" s="89" t="s">
        <v>64</v>
      </c>
      <c r="O398" s="89" t="s">
        <v>64</v>
      </c>
      <c r="P398" s="326"/>
      <c r="Q398" s="325"/>
      <c r="R398" s="17" t="str">
        <f t="shared" si="52"/>
        <v>NA</v>
      </c>
      <c r="S398" s="17" t="str">
        <f t="shared" si="53"/>
        <v>NA</v>
      </c>
      <c r="T398" s="17" t="str">
        <f t="shared" si="54"/>
        <v>NA</v>
      </c>
      <c r="U398" s="329"/>
      <c r="V398" s="328"/>
    </row>
    <row r="399" spans="1:22" ht="84" x14ac:dyDescent="0.25">
      <c r="A399" s="343"/>
      <c r="B399" s="342">
        <v>24</v>
      </c>
      <c r="C399" s="58" t="str">
        <f>Final!E140</f>
        <v>a</v>
      </c>
      <c r="D399" s="59" t="str">
        <f>Final!F140</f>
        <v>Promoción y seguimiento, por parte del proyecto curricular, a la aplicación de estrategias y mecanismos que incentiven en los estudiantes la consulta y el uso de textos, bases de datos, materiales y esarrollos recientes, relacionados con las áreas de conocimiento de la profesión o la disciplina.</v>
      </c>
      <c r="E399" s="61" t="s">
        <v>64</v>
      </c>
      <c r="F399" s="61" t="s">
        <v>64</v>
      </c>
      <c r="G399" s="204" t="s">
        <v>64</v>
      </c>
      <c r="H399" s="204" t="s">
        <v>64</v>
      </c>
      <c r="I399" s="204" t="s">
        <v>64</v>
      </c>
      <c r="J399" s="204" t="s">
        <v>64</v>
      </c>
      <c r="K399" s="204" t="s">
        <v>64</v>
      </c>
      <c r="L399" s="204" t="s">
        <v>64</v>
      </c>
      <c r="M399" s="90" t="s">
        <v>64</v>
      </c>
      <c r="N399" s="90" t="s">
        <v>64</v>
      </c>
      <c r="O399" s="90" t="s">
        <v>64</v>
      </c>
      <c r="P399" s="324">
        <f>AVERAGE(O399:O409)</f>
        <v>3.5819475863088637</v>
      </c>
      <c r="Q399" s="325"/>
      <c r="R399" s="17" t="str">
        <f t="shared" si="52"/>
        <v>NA</v>
      </c>
      <c r="S399" s="17" t="str">
        <f t="shared" si="53"/>
        <v>NA</v>
      </c>
      <c r="T399" s="17" t="str">
        <f t="shared" si="54"/>
        <v>NA</v>
      </c>
      <c r="U399" s="327" t="str">
        <f>IF(((P399&gt;=$Z$4)*AND(P399&lt;=$AA$4)),$Y$4,IF(((P399&gt;$AA$4)*AND(P399&lt;=$AA$5)),$Y$5,IF(((P399&gt;$AA$5)*AND(P399&lt;=$AA$6)),$Y$6,IF(((P399&gt;$AA$6)*AND(P399&lt;=$AA$7)),$Y$7,IF(((P399&gt;$AA$7)*AND(P399&lt;=$AA$8)),$Y$8,IF(EXACT(P399,$Y$9),$Z$9))))))</f>
        <v>C</v>
      </c>
      <c r="V399" s="328"/>
    </row>
    <row r="400" spans="1:22" ht="60" x14ac:dyDescent="0.25">
      <c r="A400" s="343"/>
      <c r="B400" s="343"/>
      <c r="C400" s="58" t="str">
        <f>Final!E141</f>
        <v>b</v>
      </c>
      <c r="D400" s="59" t="str">
        <f>Final!F141</f>
        <v>Existencia y aplicación de criterios y políticas institucionales y del proyecto curricular en materia de acceso, adquisición, actualización y aseguramiento de la difusión de material bibliográfico pertinente.</v>
      </c>
      <c r="E400" s="61" t="s">
        <v>64</v>
      </c>
      <c r="F400" s="61" t="s">
        <v>64</v>
      </c>
      <c r="G400" s="204" t="s">
        <v>64</v>
      </c>
      <c r="H400" s="204" t="s">
        <v>64</v>
      </c>
      <c r="I400" s="204" t="s">
        <v>64</v>
      </c>
      <c r="J400" s="204" t="s">
        <v>64</v>
      </c>
      <c r="K400" s="204" t="s">
        <v>64</v>
      </c>
      <c r="L400" s="204" t="s">
        <v>64</v>
      </c>
      <c r="M400" s="90" t="s">
        <v>64</v>
      </c>
      <c r="N400" s="90" t="s">
        <v>64</v>
      </c>
      <c r="O400" s="90" t="s">
        <v>64</v>
      </c>
      <c r="P400" s="325"/>
      <c r="Q400" s="325"/>
      <c r="R400" s="17" t="str">
        <f t="shared" si="52"/>
        <v>NA</v>
      </c>
      <c r="S400" s="17" t="str">
        <f t="shared" si="53"/>
        <v>NA</v>
      </c>
      <c r="T400" s="17" t="str">
        <f t="shared" si="54"/>
        <v>NA</v>
      </c>
      <c r="U400" s="328"/>
      <c r="V400" s="328"/>
    </row>
    <row r="401" spans="1:22" ht="72" x14ac:dyDescent="0.25">
      <c r="A401" s="343"/>
      <c r="B401" s="343"/>
      <c r="C401" s="58" t="str">
        <f>Final!E142</f>
        <v>c</v>
      </c>
      <c r="D401" s="59" t="str">
        <f>Final!F142</f>
        <v>Pertinencia, actualización, suficiencia y especializado del material bibliográfico con que cuentan profesores y estudiantes para apoyar el desarrollo de las distintas actividades académicas, de acuerdo con el tipo, modalidad y campo de conocimiento del proyecto curricular.</v>
      </c>
      <c r="E401" s="61" t="s">
        <v>64</v>
      </c>
      <c r="F401" s="61" t="s">
        <v>64</v>
      </c>
      <c r="G401" s="204" t="s">
        <v>64</v>
      </c>
      <c r="H401" s="204" t="s">
        <v>64</v>
      </c>
      <c r="I401" s="204" t="s">
        <v>64</v>
      </c>
      <c r="J401" s="204" t="s">
        <v>64</v>
      </c>
      <c r="K401" s="204" t="s">
        <v>64</v>
      </c>
      <c r="L401" s="204" t="s">
        <v>64</v>
      </c>
      <c r="M401" s="90" t="s">
        <v>64</v>
      </c>
      <c r="N401" s="90" t="s">
        <v>64</v>
      </c>
      <c r="O401" s="90" t="s">
        <v>64</v>
      </c>
      <c r="P401" s="325"/>
      <c r="Q401" s="325"/>
      <c r="R401" s="17" t="str">
        <f t="shared" si="52"/>
        <v>NA</v>
      </c>
      <c r="S401" s="17" t="str">
        <f t="shared" si="53"/>
        <v>NA</v>
      </c>
      <c r="T401" s="17" t="str">
        <f t="shared" si="54"/>
        <v>NA</v>
      </c>
      <c r="U401" s="328"/>
      <c r="V401" s="328"/>
    </row>
    <row r="402" spans="1:22" ht="96" x14ac:dyDescent="0.25">
      <c r="A402" s="343"/>
      <c r="B402" s="343"/>
      <c r="C402" s="58" t="str">
        <f>Final!E143</f>
        <v>d</v>
      </c>
      <c r="D402" s="59" t="str">
        <f>Final!F143</f>
        <v>Evidencias de la inversión anual y los incrementos presupuestales en las adquisiciones y actualizaciones de libros, revistas especializadas, bases de datos y suscripciones a publicaciones periódicas, relacionados con el campo de conocimiento del proyecto curricular, ejecutadas en los últimos 5 años.</v>
      </c>
      <c r="E402" s="61" t="s">
        <v>64</v>
      </c>
      <c r="F402" s="61" t="s">
        <v>64</v>
      </c>
      <c r="G402" s="204" t="s">
        <v>64</v>
      </c>
      <c r="H402" s="204" t="s">
        <v>64</v>
      </c>
      <c r="I402" s="204" t="s">
        <v>64</v>
      </c>
      <c r="J402" s="204" t="s">
        <v>64</v>
      </c>
      <c r="K402" s="204" t="s">
        <v>64</v>
      </c>
      <c r="L402" s="204" t="s">
        <v>64</v>
      </c>
      <c r="M402" s="90" t="s">
        <v>64</v>
      </c>
      <c r="N402" s="90" t="s">
        <v>64</v>
      </c>
      <c r="O402" s="90" t="s">
        <v>64</v>
      </c>
      <c r="P402" s="325"/>
      <c r="Q402" s="325"/>
      <c r="R402" s="17" t="str">
        <f t="shared" si="52"/>
        <v>NA</v>
      </c>
      <c r="S402" s="17" t="str">
        <f t="shared" si="53"/>
        <v>NA</v>
      </c>
      <c r="T402" s="17" t="str">
        <f t="shared" si="54"/>
        <v>NA</v>
      </c>
      <c r="U402" s="328"/>
      <c r="V402" s="328"/>
    </row>
    <row r="403" spans="1:22" ht="84" x14ac:dyDescent="0.25">
      <c r="A403" s="343"/>
      <c r="B403" s="343"/>
      <c r="C403" s="58" t="str">
        <f>Final!E144</f>
        <v>e</v>
      </c>
      <c r="D403" s="59" t="str">
        <f>Final!F144</f>
        <v>Análisis comparativo de los últimos cinco años, sobre la utilización que profesores y estudiantes del proyecto curricular hacen de los recursos bibliográficos: libros, revistas especializadas y bases de datos, etc., de acuerdo con la naturaleza, el tipo y modalidad del proyecto curricular.</v>
      </c>
      <c r="E403" s="61" t="s">
        <v>64</v>
      </c>
      <c r="F403" s="61" t="s">
        <v>64</v>
      </c>
      <c r="G403" s="204" t="s">
        <v>64</v>
      </c>
      <c r="H403" s="204" t="s">
        <v>64</v>
      </c>
      <c r="I403" s="204" t="s">
        <v>64</v>
      </c>
      <c r="J403" s="204" t="s">
        <v>64</v>
      </c>
      <c r="K403" s="204" t="s">
        <v>64</v>
      </c>
      <c r="L403" s="204" t="s">
        <v>64</v>
      </c>
      <c r="M403" s="90" t="s">
        <v>64</v>
      </c>
      <c r="N403" s="90" t="s">
        <v>64</v>
      </c>
      <c r="O403" s="90" t="s">
        <v>64</v>
      </c>
      <c r="P403" s="325"/>
      <c r="Q403" s="325"/>
      <c r="R403" s="17" t="str">
        <f t="shared" si="52"/>
        <v>NA</v>
      </c>
      <c r="S403" s="17" t="str">
        <f t="shared" si="53"/>
        <v>NA</v>
      </c>
      <c r="T403" s="17" t="str">
        <f t="shared" si="54"/>
        <v>NA</v>
      </c>
      <c r="U403" s="328"/>
      <c r="V403" s="328"/>
    </row>
    <row r="404" spans="1:22" ht="24" x14ac:dyDescent="0.25">
      <c r="A404" s="343"/>
      <c r="B404" s="343"/>
      <c r="C404" s="333" t="str">
        <f>Final!E145</f>
        <v>f</v>
      </c>
      <c r="D404" s="330" t="str">
        <f>Final!F145</f>
        <v>Apreciación de directivos, profesores y estudiantes del proyecto curricular sobre la pertinencia, actualización y suficiencia del material bibliográfico con que cuenta el proyecto curricular.</v>
      </c>
      <c r="E404" s="11" t="str">
        <f>Apreciación!A58</f>
        <v>Estudiantes</v>
      </c>
      <c r="F404" s="11" t="str">
        <f>Apreciación!E58</f>
        <v>Cuenta de 48.1. Considero que el material bibliográfico es: SUFICIENTE.</v>
      </c>
      <c r="G404" s="205">
        <f>Apreciación!F58</f>
        <v>0.10778443113772455</v>
      </c>
      <c r="H404" s="205">
        <f>Apreciación!G58</f>
        <v>0.10179640718562874</v>
      </c>
      <c r="I404" s="205">
        <f>Apreciación!H58</f>
        <v>0.26946107784431139</v>
      </c>
      <c r="J404" s="205">
        <f>Apreciación!I58</f>
        <v>0.32335329341317365</v>
      </c>
      <c r="K404" s="205">
        <f>Apreciación!J58</f>
        <v>0.1497005988023952</v>
      </c>
      <c r="L404" s="205">
        <f>Apreciación!K58</f>
        <v>4.790419161676647E-2</v>
      </c>
      <c r="M404" s="18">
        <f t="shared" ref="M404:M409" si="55">(G404*$G$2)+(H404*$H$2)+(I404*$I$2)+(J404*$J$2)+(K404*$K$2)+(L404*$L$2)</f>
        <v>3.5497005988023953</v>
      </c>
      <c r="N404" s="324">
        <f>AVERAGE(M404:M406)</f>
        <v>3.6353293413173655</v>
      </c>
      <c r="O404" s="324">
        <f>(N404*$AE$5)+(N407*$AE$4)+(AVERAGE(N404:N409)*$AE$6)+(AVERAGE(N404:N409)*$AE$8)+(AVERAGE(N404:N409)*$AE$7)</f>
        <v>3.5819475863088637</v>
      </c>
      <c r="P404" s="325"/>
      <c r="Q404" s="325"/>
      <c r="R404" s="17" t="str">
        <f t="shared" si="52"/>
        <v>C</v>
      </c>
      <c r="S404" s="327" t="str">
        <f t="shared" si="53"/>
        <v>C</v>
      </c>
      <c r="T404" s="327" t="str">
        <f t="shared" si="54"/>
        <v>C</v>
      </c>
      <c r="U404" s="328"/>
      <c r="V404" s="328"/>
    </row>
    <row r="405" spans="1:22" ht="24" x14ac:dyDescent="0.25">
      <c r="A405" s="343"/>
      <c r="B405" s="343"/>
      <c r="C405" s="334"/>
      <c r="D405" s="331"/>
      <c r="E405" s="11" t="str">
        <f>Apreciación!A59</f>
        <v>Estudiantes</v>
      </c>
      <c r="F405" s="11" t="str">
        <f>Apreciación!E59</f>
        <v>Cuenta de 48.2. Considero que el material bibliográfico es: ADECUADO.</v>
      </c>
      <c r="G405" s="205">
        <f>Apreciación!F59</f>
        <v>5.9880239520958084E-2</v>
      </c>
      <c r="H405" s="205">
        <f>Apreciación!G59</f>
        <v>4.790419161676647E-2</v>
      </c>
      <c r="I405" s="205">
        <f>Apreciación!H59</f>
        <v>0.29940119760479039</v>
      </c>
      <c r="J405" s="205">
        <f>Apreciación!I59</f>
        <v>0.3772455089820359</v>
      </c>
      <c r="K405" s="205">
        <f>Apreciación!J59</f>
        <v>0.17964071856287425</v>
      </c>
      <c r="L405" s="205">
        <f>Apreciación!K59</f>
        <v>3.5928143712574849E-2</v>
      </c>
      <c r="M405" s="89">
        <f t="shared" si="55"/>
        <v>3.7886227544910174</v>
      </c>
      <c r="N405" s="325"/>
      <c r="O405" s="325"/>
      <c r="P405" s="325"/>
      <c r="Q405" s="325"/>
      <c r="R405" s="17" t="str">
        <f t="shared" si="52"/>
        <v>C</v>
      </c>
      <c r="S405" s="328"/>
      <c r="T405" s="328"/>
      <c r="U405" s="328"/>
      <c r="V405" s="328"/>
    </row>
    <row r="406" spans="1:22" ht="24" x14ac:dyDescent="0.25">
      <c r="A406" s="343"/>
      <c r="B406" s="343"/>
      <c r="C406" s="334"/>
      <c r="D406" s="331"/>
      <c r="E406" s="11" t="str">
        <f>Apreciación!A60</f>
        <v>Estudiantes</v>
      </c>
      <c r="F406" s="11" t="str">
        <f>Apreciación!E60</f>
        <v>Cuenta de 48.3. Considero que el material bibliográfico es: ACTUALIZADO.</v>
      </c>
      <c r="G406" s="205">
        <f>Apreciación!F60</f>
        <v>5.9880239520958084E-2</v>
      </c>
      <c r="H406" s="205">
        <f>Apreciación!G60</f>
        <v>8.3832335329341312E-2</v>
      </c>
      <c r="I406" s="205">
        <f>Apreciación!H60</f>
        <v>0.3473053892215569</v>
      </c>
      <c r="J406" s="205">
        <f>Apreciación!I60</f>
        <v>0.31137724550898205</v>
      </c>
      <c r="K406" s="205">
        <f>Apreciación!J60</f>
        <v>0.1317365269461078</v>
      </c>
      <c r="L406" s="205">
        <f>Apreciación!K60</f>
        <v>6.5868263473053898E-2</v>
      </c>
      <c r="M406" s="89">
        <f t="shared" si="55"/>
        <v>3.567664670658683</v>
      </c>
      <c r="N406" s="326"/>
      <c r="O406" s="325"/>
      <c r="P406" s="325"/>
      <c r="Q406" s="325"/>
      <c r="R406" s="17" t="str">
        <f t="shared" si="52"/>
        <v>C</v>
      </c>
      <c r="S406" s="329"/>
      <c r="T406" s="328"/>
      <c r="U406" s="328"/>
      <c r="V406" s="328"/>
    </row>
    <row r="407" spans="1:22" ht="36" x14ac:dyDescent="0.25">
      <c r="A407" s="343"/>
      <c r="B407" s="343"/>
      <c r="C407" s="334"/>
      <c r="D407" s="331"/>
      <c r="E407" s="11" t="str">
        <f>Apreciación!A154</f>
        <v>Docentes</v>
      </c>
      <c r="F407" s="11" t="str">
        <f>Apreciación!E154</f>
        <v>Cuenta de 51.1. Considero que el material bibliográfico a disposición del programa académico al cual pertenezco es: SUFICIENTE</v>
      </c>
      <c r="G407" s="205">
        <f>Apreciación!F154</f>
        <v>7.407407407407407E-2</v>
      </c>
      <c r="H407" s="205">
        <f>Apreciación!G154</f>
        <v>0.18518518518518517</v>
      </c>
      <c r="I407" s="205">
        <f>Apreciación!H154</f>
        <v>0.18518518518518517</v>
      </c>
      <c r="J407" s="205">
        <f>Apreciación!I154</f>
        <v>0.33333333333333331</v>
      </c>
      <c r="K407" s="205">
        <f>Apreciación!J154</f>
        <v>0.14814814814814814</v>
      </c>
      <c r="L407" s="205">
        <f>Apreciación!K154</f>
        <v>7.407407407407407E-2</v>
      </c>
      <c r="M407" s="89">
        <f t="shared" si="55"/>
        <v>3.4611111111111108</v>
      </c>
      <c r="N407" s="324">
        <f>AVERAGE(M407:M409)</f>
        <v>3.5382716049382714</v>
      </c>
      <c r="O407" s="325"/>
      <c r="P407" s="325"/>
      <c r="Q407" s="325"/>
      <c r="R407" s="17" t="str">
        <f t="shared" si="52"/>
        <v>D</v>
      </c>
      <c r="S407" s="327" t="str">
        <f t="shared" si="53"/>
        <v>C</v>
      </c>
      <c r="T407" s="328"/>
      <c r="U407" s="328"/>
      <c r="V407" s="328"/>
    </row>
    <row r="408" spans="1:22" ht="36" x14ac:dyDescent="0.25">
      <c r="A408" s="343"/>
      <c r="B408" s="343"/>
      <c r="C408" s="334"/>
      <c r="D408" s="331"/>
      <c r="E408" s="11" t="str">
        <f>Apreciación!A155</f>
        <v>Docentes</v>
      </c>
      <c r="F408" s="11" t="str">
        <f>Apreciación!E155</f>
        <v>Cuenta de 51.2. Considero que el material bibliográfico a disposición del programa académico al cual pertenezco es: ADECUADO</v>
      </c>
      <c r="G408" s="205">
        <f>Apreciación!F155</f>
        <v>3.7037037037037035E-2</v>
      </c>
      <c r="H408" s="205">
        <f>Apreciación!G155</f>
        <v>0.14814814814814814</v>
      </c>
      <c r="I408" s="205">
        <f>Apreciación!H155</f>
        <v>0.25925925925925924</v>
      </c>
      <c r="J408" s="205">
        <f>Apreciación!I155</f>
        <v>0.29629629629629628</v>
      </c>
      <c r="K408" s="205">
        <f>Apreciación!J155</f>
        <v>0.18518518518518517</v>
      </c>
      <c r="L408" s="205">
        <f>Apreciación!K155</f>
        <v>7.407407407407407E-2</v>
      </c>
      <c r="M408" s="89">
        <f t="shared" si="55"/>
        <v>3.583333333333333</v>
      </c>
      <c r="N408" s="325"/>
      <c r="O408" s="325"/>
      <c r="P408" s="325"/>
      <c r="Q408" s="325"/>
      <c r="R408" s="17" t="str">
        <f t="shared" si="52"/>
        <v>C</v>
      </c>
      <c r="S408" s="328"/>
      <c r="T408" s="328"/>
      <c r="U408" s="328"/>
      <c r="V408" s="328"/>
    </row>
    <row r="409" spans="1:22" ht="36" x14ac:dyDescent="0.25">
      <c r="A409" s="343"/>
      <c r="B409" s="343"/>
      <c r="C409" s="334"/>
      <c r="D409" s="331"/>
      <c r="E409" s="11" t="str">
        <f>Apreciación!A156</f>
        <v>Docentes</v>
      </c>
      <c r="F409" s="11" t="str">
        <f>Apreciación!E156</f>
        <v>Cuenta de 51.3. Considero que el material bibliográfico a disposición del programa académico al cual pertenezco es: ACTUALIZADO</v>
      </c>
      <c r="G409" s="205">
        <f>Apreciación!F156</f>
        <v>3.7037037037037035E-2</v>
      </c>
      <c r="H409" s="205">
        <f>Apreciación!G156</f>
        <v>0.1111111111111111</v>
      </c>
      <c r="I409" s="205">
        <f>Apreciación!H156</f>
        <v>0.29629629629629628</v>
      </c>
      <c r="J409" s="205">
        <f>Apreciación!I156</f>
        <v>0.37037037037037035</v>
      </c>
      <c r="K409" s="205">
        <f>Apreciación!J156</f>
        <v>0.1111111111111111</v>
      </c>
      <c r="L409" s="205">
        <f>Apreciación!K156</f>
        <v>7.407407407407407E-2</v>
      </c>
      <c r="M409" s="89">
        <f t="shared" si="55"/>
        <v>3.5703703703703704</v>
      </c>
      <c r="N409" s="326"/>
      <c r="O409" s="325"/>
      <c r="P409" s="325"/>
      <c r="Q409" s="325"/>
      <c r="R409" s="17" t="str">
        <f t="shared" si="52"/>
        <v>C</v>
      </c>
      <c r="S409" s="329"/>
      <c r="T409" s="328"/>
      <c r="U409" s="328"/>
      <c r="V409" s="328"/>
    </row>
    <row r="410" spans="1:22" ht="84" x14ac:dyDescent="0.25">
      <c r="A410" s="343"/>
      <c r="B410" s="342">
        <v>25</v>
      </c>
      <c r="C410" s="58" t="str">
        <f>Final!E146</f>
        <v>a</v>
      </c>
      <c r="D410" s="59" t="str">
        <f>Final!F146</f>
        <v>Existencia y uso de plataformas tecnológicas que garanticen la conectividad, interactividad, acceso a sistemas de información, y apoyo y recursos para el aprendizaje, de acuerdo a los requerimientos del proyecto curricular, de sus espacios académicos y sus necesidades administrativas</v>
      </c>
      <c r="E410" s="61" t="s">
        <v>64</v>
      </c>
      <c r="F410" s="61" t="s">
        <v>64</v>
      </c>
      <c r="G410" s="204" t="s">
        <v>64</v>
      </c>
      <c r="H410" s="204" t="s">
        <v>64</v>
      </c>
      <c r="I410" s="204" t="s">
        <v>64</v>
      </c>
      <c r="J410" s="204" t="s">
        <v>64</v>
      </c>
      <c r="K410" s="204" t="s">
        <v>64</v>
      </c>
      <c r="L410" s="204" t="s">
        <v>64</v>
      </c>
      <c r="M410" s="90" t="s">
        <v>64</v>
      </c>
      <c r="N410" s="90" t="s">
        <v>64</v>
      </c>
      <c r="O410" s="90" t="s">
        <v>64</v>
      </c>
      <c r="P410" s="324">
        <f>AVERAGE(O410:O424)</f>
        <v>3.7161669286508197</v>
      </c>
      <c r="Q410" s="325"/>
      <c r="R410" s="17" t="str">
        <f t="shared" si="52"/>
        <v>NA</v>
      </c>
      <c r="S410" s="17" t="str">
        <f t="shared" si="53"/>
        <v>NA</v>
      </c>
      <c r="T410" s="17" t="str">
        <f>IF(((O410&gt;=$Z$4)*AND(O410&lt;=$AA$4)),$Y$4,IF(((O410&gt;$AA$4)*AND(O410&lt;=$AA$5)),$Y$5,IF(((O410&gt;$AA$5)*AND(O410&lt;=$AA$6)),$Y$6,IF(((O410&gt;$AA$6)*AND(O410&lt;=$AA$7)),$Y$7,IF(((O410&gt;$AA$7)*AND(O410&lt;=$AA$8)),$Y$8,IF(EXACT(O410,$Y$9),$Z$9))))))</f>
        <v>NA</v>
      </c>
      <c r="U410" s="327" t="str">
        <f>IF(((P410&gt;=$Z$4)*AND(P410&lt;=$AA$4)),$Y$4,IF(((P410&gt;$AA$4)*AND(P410&lt;=$AA$5)),$Y$5,IF(((P410&gt;$AA$5)*AND(P410&lt;=$AA$6)),$Y$6,IF(((P410&gt;$AA$6)*AND(P410&lt;=$AA$7)),$Y$7,IF(((P410&gt;$AA$7)*AND(P410&lt;=$AA$8)),$Y$8,IF(EXACT(P410,$Y$9),$Z$9))))))</f>
        <v>C</v>
      </c>
      <c r="V410" s="328"/>
    </row>
    <row r="411" spans="1:22" ht="60" x14ac:dyDescent="0.25">
      <c r="A411" s="343"/>
      <c r="B411" s="343"/>
      <c r="C411" s="58" t="str">
        <f>Final!E147</f>
        <v>b</v>
      </c>
      <c r="D411" s="59" t="str">
        <f>Final!F147</f>
        <v>Aplicación, articulación y divulgación de estrategias y mecanismos orientados a incentivar el uso de recursos informáticos y de comunicación, por parte de los profesores y estudiantes del proyecto curricular.</v>
      </c>
      <c r="E411" s="61" t="s">
        <v>64</v>
      </c>
      <c r="F411" s="61" t="s">
        <v>64</v>
      </c>
      <c r="G411" s="204" t="s">
        <v>64</v>
      </c>
      <c r="H411" s="204" t="s">
        <v>64</v>
      </c>
      <c r="I411" s="204" t="s">
        <v>64</v>
      </c>
      <c r="J411" s="204" t="s">
        <v>64</v>
      </c>
      <c r="K411" s="204" t="s">
        <v>64</v>
      </c>
      <c r="L411" s="204" t="s">
        <v>64</v>
      </c>
      <c r="M411" s="90" t="s">
        <v>64</v>
      </c>
      <c r="N411" s="90" t="s">
        <v>64</v>
      </c>
      <c r="O411" s="90" t="s">
        <v>64</v>
      </c>
      <c r="P411" s="325"/>
      <c r="Q411" s="325"/>
      <c r="R411" s="17" t="str">
        <f t="shared" si="52"/>
        <v>NA</v>
      </c>
      <c r="S411" s="17" t="str">
        <f t="shared" si="53"/>
        <v>NA</v>
      </c>
      <c r="T411" s="17" t="str">
        <f>IF(((O411&gt;=$Z$4)*AND(O411&lt;=$AA$4)),$Y$4,IF(((O411&gt;$AA$4)*AND(O411&lt;=$AA$5)),$Y$5,IF(((O411&gt;$AA$5)*AND(O411&lt;=$AA$6)),$Y$6,IF(((O411&gt;$AA$6)*AND(O411&lt;=$AA$7)),$Y$7,IF(((O411&gt;$AA$7)*AND(O411&lt;=$AA$8)),$Y$8,IF(EXACT(O411,$Y$9),$Z$9))))))</f>
        <v>NA</v>
      </c>
      <c r="U411" s="328"/>
      <c r="V411" s="328"/>
    </row>
    <row r="412" spans="1:22" ht="96" x14ac:dyDescent="0.25">
      <c r="A412" s="343"/>
      <c r="B412" s="343"/>
      <c r="C412" s="143" t="str">
        <f>Final!E148</f>
        <v>c</v>
      </c>
      <c r="D412" s="142" t="str">
        <f>Final!F148</f>
        <v>Actualización, disponibilidad, accesibilidad y calidad de los recursos informáticos y de comunicaciones requeridas por los docentes, estudiantes, directivos y administrativas, que permita el desarrollo de los procesos académicos y de apoyo necesarios para el desarrollo del proyecto curricular de acuerdo con su naturaleza.</v>
      </c>
      <c r="E412" s="61" t="s">
        <v>64</v>
      </c>
      <c r="F412" s="61" t="s">
        <v>64</v>
      </c>
      <c r="G412" s="204" t="s">
        <v>64</v>
      </c>
      <c r="H412" s="204" t="s">
        <v>64</v>
      </c>
      <c r="I412" s="204" t="s">
        <v>64</v>
      </c>
      <c r="J412" s="204" t="s">
        <v>64</v>
      </c>
      <c r="K412" s="204" t="s">
        <v>64</v>
      </c>
      <c r="L412" s="204" t="s">
        <v>64</v>
      </c>
      <c r="M412" s="146" t="s">
        <v>64</v>
      </c>
      <c r="N412" s="146" t="s">
        <v>64</v>
      </c>
      <c r="O412" s="146" t="s">
        <v>64</v>
      </c>
      <c r="P412" s="325"/>
      <c r="Q412" s="325"/>
      <c r="R412" s="17" t="str">
        <f t="shared" si="52"/>
        <v>NA</v>
      </c>
      <c r="S412" s="144" t="str">
        <f t="shared" si="53"/>
        <v>NA</v>
      </c>
      <c r="T412" s="144" t="str">
        <f>IF(((O412&gt;=$Z$4)*AND(O412&lt;=$AA$4)),$Y$4,IF(((O412&gt;$AA$4)*AND(O412&lt;=$AA$5)),$Y$5,IF(((O412&gt;$AA$5)*AND(O412&lt;=$AA$6)),$Y$6,IF(((O412&gt;$AA$6)*AND(O412&lt;=$AA$7)),$Y$7,IF(((O412&gt;$AA$7)*AND(O412&lt;=$AA$8)),$Y$8,IF(EXACT(O412,$Y$9),$Z$9))))))</f>
        <v>NA</v>
      </c>
      <c r="U412" s="328"/>
      <c r="V412" s="328"/>
    </row>
    <row r="413" spans="1:22" ht="60" x14ac:dyDescent="0.25">
      <c r="A413" s="343"/>
      <c r="B413" s="343"/>
      <c r="C413" s="58" t="str">
        <f>Final!E149</f>
        <v>d</v>
      </c>
      <c r="D413" s="59" t="str">
        <f>Final!F149</f>
        <v>Aplicación y evaluación de estrategias que garanticen el rendimiento de los equipos, la capacidad de almacenamiento y la seguridad (confidencialidad, disponibilidad e integridad) en el manejo de la información.</v>
      </c>
      <c r="E413" s="61" t="s">
        <v>64</v>
      </c>
      <c r="F413" s="61" t="s">
        <v>64</v>
      </c>
      <c r="G413" s="204" t="s">
        <v>64</v>
      </c>
      <c r="H413" s="204" t="s">
        <v>64</v>
      </c>
      <c r="I413" s="204" t="s">
        <v>64</v>
      </c>
      <c r="J413" s="204" t="s">
        <v>64</v>
      </c>
      <c r="K413" s="204" t="s">
        <v>64</v>
      </c>
      <c r="L413" s="204" t="s">
        <v>64</v>
      </c>
      <c r="M413" s="90" t="s">
        <v>64</v>
      </c>
      <c r="N413" s="90" t="s">
        <v>64</v>
      </c>
      <c r="O413" s="90" t="s">
        <v>64</v>
      </c>
      <c r="P413" s="325"/>
      <c r="Q413" s="325"/>
      <c r="R413" s="17" t="str">
        <f t="shared" si="52"/>
        <v>NA</v>
      </c>
      <c r="S413" s="17" t="str">
        <f t="shared" si="53"/>
        <v>NA</v>
      </c>
      <c r="T413" s="17" t="str">
        <f>IF(((O413&gt;=$Z$4)*AND(O413&lt;=$AA$4)),$Y$4,IF(((O413&gt;$AA$4)*AND(O413&lt;=$AA$5)),$Y$5,IF(((O413&gt;$AA$5)*AND(O413&lt;=$AA$6)),$Y$6,IF(((O413&gt;$AA$6)*AND(O413&lt;=$AA$7)),$Y$7,IF(((O413&gt;$AA$7)*AND(O413&lt;=$AA$8)),$Y$8,IF(EXACT(O413,$Y$9),$Z$9))))))</f>
        <v>NA</v>
      </c>
      <c r="U413" s="328"/>
      <c r="V413" s="328"/>
    </row>
    <row r="414" spans="1:22" ht="60" x14ac:dyDescent="0.25">
      <c r="A414" s="343"/>
      <c r="B414" s="343"/>
      <c r="C414" s="58" t="str">
        <f>Final!E150</f>
        <v>e</v>
      </c>
      <c r="D414" s="59" t="str">
        <f>Final!F150</f>
        <v>Análisis de la eficiencia, oportunidad y eficacia en cuanto a la actualización y al soporte técnico de la plataforma informática y los equipos computacionales con que cuenta el proyecto curricular</v>
      </c>
      <c r="E414" s="61" t="s">
        <v>64</v>
      </c>
      <c r="F414" s="61" t="s">
        <v>64</v>
      </c>
      <c r="G414" s="204" t="s">
        <v>64</v>
      </c>
      <c r="H414" s="204" t="s">
        <v>64</v>
      </c>
      <c r="I414" s="204" t="s">
        <v>64</v>
      </c>
      <c r="J414" s="204" t="s">
        <v>64</v>
      </c>
      <c r="K414" s="204" t="s">
        <v>64</v>
      </c>
      <c r="L414" s="204" t="s">
        <v>64</v>
      </c>
      <c r="M414" s="90" t="s">
        <v>64</v>
      </c>
      <c r="N414" s="90" t="s">
        <v>64</v>
      </c>
      <c r="O414" s="90" t="s">
        <v>64</v>
      </c>
      <c r="P414" s="325"/>
      <c r="Q414" s="325"/>
      <c r="R414" s="17" t="str">
        <f t="shared" si="52"/>
        <v>NA</v>
      </c>
      <c r="S414" s="17" t="str">
        <f t="shared" si="53"/>
        <v>NA</v>
      </c>
      <c r="T414" s="17" t="str">
        <f>IF(((O414&gt;=$Z$4)*AND(O414&lt;=$AA$4)),$Y$4,IF(((O414&gt;$AA$4)*AND(O414&lt;=$AA$5)),$Y$5,IF(((O414&gt;$AA$5)*AND(O414&lt;=$AA$6)),$Y$6,IF(((O414&gt;$AA$6)*AND(O414&lt;=$AA$7)),$Y$7,IF(((O414&gt;$AA$7)*AND(O414&lt;=$AA$8)),$Y$8,IF(EXACT(O414,$Y$9),$Z$9))))))</f>
        <v>NA</v>
      </c>
      <c r="U414" s="328"/>
      <c r="V414" s="328"/>
    </row>
    <row r="415" spans="1:22" ht="36" x14ac:dyDescent="0.25">
      <c r="A415" s="343"/>
      <c r="B415" s="343"/>
      <c r="C415" s="333" t="str">
        <f>Final!E151</f>
        <v>f</v>
      </c>
      <c r="D415" s="330" t="str">
        <f>Final!F151</f>
        <v>Apreciación de directivos, profesores y estudiantes del proyecto curricular sobre la pertinencia, correspondencia y suficiencia de los recursos informáticos y de comunicación con que cuenta el proyecto curricular.</v>
      </c>
      <c r="E415" s="11" t="str">
        <f>Apreciación!A61</f>
        <v>Estudiantes</v>
      </c>
      <c r="F415" s="11" t="str">
        <f>Apreciación!E61</f>
        <v>Cuenta de 49.1. Considero que los computadores y software disponibles en mi programa académico son: SUFICIENTE.</v>
      </c>
      <c r="G415" s="205">
        <f>Apreciación!F61</f>
        <v>0.10179640718562874</v>
      </c>
      <c r="H415" s="205">
        <f>Apreciación!G61</f>
        <v>0.12574850299401197</v>
      </c>
      <c r="I415" s="205">
        <f>Apreciación!H61</f>
        <v>0.31137724550898205</v>
      </c>
      <c r="J415" s="205">
        <f>Apreciación!I61</f>
        <v>0.25748502994011974</v>
      </c>
      <c r="K415" s="205">
        <f>Apreciación!J61</f>
        <v>0.18562874251497005</v>
      </c>
      <c r="L415" s="205">
        <f>Apreciación!K61</f>
        <v>1.7964071856287425E-2</v>
      </c>
      <c r="M415" s="18">
        <f>(G415*$G$2)+(H415*$H$2)+(I415*$I$2)+(J415*$J$2)+(K415*$K$2)+(L415*$L$2)</f>
        <v>3.6592814371257485</v>
      </c>
      <c r="N415" s="324">
        <f>AVERAGE(M415:M417)</f>
        <v>3.8160678642714569</v>
      </c>
      <c r="O415" s="324">
        <f>(N415*$AE$5)+(N418*$AE$4)+(AVERAGE(N415:N424)*$AE$6)+(N421*$AE$8)+(AVERAGE(N415:N424)*$AE$7)</f>
        <v>3.7161669286508197</v>
      </c>
      <c r="P415" s="325"/>
      <c r="Q415" s="325"/>
      <c r="R415" s="17" t="str">
        <f t="shared" si="52"/>
        <v>C</v>
      </c>
      <c r="S415" s="327" t="str">
        <f t="shared" si="53"/>
        <v>C</v>
      </c>
      <c r="T415" s="327" t="str">
        <f>IF(((O415&gt;=$Z$4)*AND(O415&lt;=$AA$4)),$Y$4,IF(((O415&gt;$AA$4)*AND(O415&lt;=$AA$5)),$Y$5,IF(((O415&gt;$AA$5)*AND(O415&lt;=$AA$6)),$Y$6,IF(((O415&gt;$AA$6)*AND(O415&lt;=$AA$7)),$Y$7,IF(((O415&gt;$AA$7)*AND(O415&lt;=$AA$8)),$Y$8,IF(EXACT(O415,$Y$9),$Z$9))))))</f>
        <v>C</v>
      </c>
      <c r="U415" s="328"/>
      <c r="V415" s="328"/>
    </row>
    <row r="416" spans="1:22" ht="36" x14ac:dyDescent="0.25">
      <c r="A416" s="343"/>
      <c r="B416" s="343"/>
      <c r="C416" s="334"/>
      <c r="D416" s="331"/>
      <c r="E416" s="11" t="str">
        <f>Apreciación!A62</f>
        <v>Estudiantes</v>
      </c>
      <c r="F416" s="11" t="str">
        <f>Apreciación!E62</f>
        <v>Cuenta de 49.2. Considero que los computadores y software disponibles en mi programa académico son: ADECUADO.</v>
      </c>
      <c r="G416" s="205">
        <f>Apreciación!F62</f>
        <v>5.9880239520958084E-2</v>
      </c>
      <c r="H416" s="205">
        <f>Apreciación!G62</f>
        <v>6.5868263473053898E-2</v>
      </c>
      <c r="I416" s="205">
        <f>Apreciación!H62</f>
        <v>0.22754491017964071</v>
      </c>
      <c r="J416" s="205">
        <f>Apreciación!I62</f>
        <v>0.39520958083832336</v>
      </c>
      <c r="K416" s="205">
        <f>Apreciación!J62</f>
        <v>0.23353293413173654</v>
      </c>
      <c r="L416" s="205">
        <f>Apreciación!K62</f>
        <v>1.7964071856287425E-2</v>
      </c>
      <c r="M416" s="90">
        <f t="shared" ref="M416:M424" si="56">(G416*$G$2)+(H416*$H$2)+(I416*$I$2)+(J416*$J$2)+(K416*$K$2)+(L416*$L$2)</f>
        <v>3.9071856287425151</v>
      </c>
      <c r="N416" s="325"/>
      <c r="O416" s="325"/>
      <c r="P416" s="325"/>
      <c r="Q416" s="325"/>
      <c r="R416" s="17" t="str">
        <f t="shared" si="52"/>
        <v>C</v>
      </c>
      <c r="S416" s="328"/>
      <c r="T416" s="328"/>
      <c r="U416" s="328"/>
      <c r="V416" s="328"/>
    </row>
    <row r="417" spans="1:22" ht="36" x14ac:dyDescent="0.25">
      <c r="A417" s="343"/>
      <c r="B417" s="343"/>
      <c r="C417" s="334"/>
      <c r="D417" s="331"/>
      <c r="E417" s="11" t="str">
        <f>Apreciación!A63</f>
        <v>Estudiantes</v>
      </c>
      <c r="F417" s="11" t="str">
        <f>Apreciación!E63</f>
        <v>Cuenta de 49.3. Considero que los computadores y software disponibles en mi programa académico son: ACTUALIZADO.</v>
      </c>
      <c r="G417" s="205">
        <f>Apreciación!F63</f>
        <v>5.9880239520958084E-2</v>
      </c>
      <c r="H417" s="205">
        <f>Apreciación!G63</f>
        <v>5.9880239520958084E-2</v>
      </c>
      <c r="I417" s="205">
        <f>Apreciación!H63</f>
        <v>0.20359281437125748</v>
      </c>
      <c r="J417" s="205">
        <f>Apreciación!I63</f>
        <v>0.45508982035928142</v>
      </c>
      <c r="K417" s="205">
        <f>Apreciación!J63</f>
        <v>0.19760479041916168</v>
      </c>
      <c r="L417" s="205">
        <f>Apreciación!K63</f>
        <v>2.3952095808383235E-2</v>
      </c>
      <c r="M417" s="90">
        <f t="shared" si="56"/>
        <v>3.8817365269461082</v>
      </c>
      <c r="N417" s="326"/>
      <c r="O417" s="325"/>
      <c r="P417" s="325"/>
      <c r="Q417" s="325"/>
      <c r="R417" s="17" t="str">
        <f t="shared" si="52"/>
        <v>C</v>
      </c>
      <c r="S417" s="329"/>
      <c r="T417" s="328"/>
      <c r="U417" s="328"/>
      <c r="V417" s="328"/>
    </row>
    <row r="418" spans="1:22" ht="36" x14ac:dyDescent="0.25">
      <c r="A418" s="343"/>
      <c r="B418" s="343"/>
      <c r="C418" s="334"/>
      <c r="D418" s="331"/>
      <c r="E418" s="11" t="str">
        <f>Apreciación!A157</f>
        <v>Docentes</v>
      </c>
      <c r="F418" s="11" t="str">
        <f>Apreciación!E157</f>
        <v>Cuenta de 52.1. Considero que los computadores y software disponibles en el programa académico al cual pertenezco son: SUFICIENTE</v>
      </c>
      <c r="G418" s="205">
        <f>Apreciación!F157</f>
        <v>0.1111111111111111</v>
      </c>
      <c r="H418" s="205">
        <f>Apreciación!G157</f>
        <v>3.7037037037037035E-2</v>
      </c>
      <c r="I418" s="205">
        <f>Apreciación!H157</f>
        <v>0.29629629629629628</v>
      </c>
      <c r="J418" s="205">
        <f>Apreciación!I157</f>
        <v>0.25925925925925924</v>
      </c>
      <c r="K418" s="205">
        <f>Apreciación!J157</f>
        <v>0.22222222222222221</v>
      </c>
      <c r="L418" s="205">
        <f>Apreciación!K157</f>
        <v>7.407407407407407E-2</v>
      </c>
      <c r="M418" s="90">
        <f t="shared" si="56"/>
        <v>3.5388888888888888</v>
      </c>
      <c r="N418" s="324">
        <f>AVERAGE(M418:M420)</f>
        <v>3.7265432098765428</v>
      </c>
      <c r="O418" s="325"/>
      <c r="P418" s="325"/>
      <c r="Q418" s="325"/>
      <c r="R418" s="17" t="str">
        <f t="shared" si="52"/>
        <v>C</v>
      </c>
      <c r="S418" s="327" t="str">
        <f t="shared" si="53"/>
        <v>C</v>
      </c>
      <c r="T418" s="328"/>
      <c r="U418" s="328"/>
      <c r="V418" s="328"/>
    </row>
    <row r="419" spans="1:22" ht="36" x14ac:dyDescent="0.25">
      <c r="A419" s="343"/>
      <c r="B419" s="343"/>
      <c r="C419" s="334"/>
      <c r="D419" s="331"/>
      <c r="E419" s="11" t="str">
        <f>Apreciación!A158</f>
        <v>Docentes</v>
      </c>
      <c r="F419" s="11" t="str">
        <f>Apreciación!E158</f>
        <v>Cuenta de 52.2. Considero que los computadores y software disponibles en el programa académico al cual pertenezco son: ADECUADO</v>
      </c>
      <c r="G419" s="205">
        <f>Apreciación!F158</f>
        <v>3.7037037037037035E-2</v>
      </c>
      <c r="H419" s="205">
        <f>Apreciación!G158</f>
        <v>0.1111111111111111</v>
      </c>
      <c r="I419" s="205">
        <f>Apreciación!H158</f>
        <v>0.14814814814814814</v>
      </c>
      <c r="J419" s="205">
        <f>Apreciación!I158</f>
        <v>0.44444444444444442</v>
      </c>
      <c r="K419" s="205">
        <f>Apreciación!J158</f>
        <v>0.22222222222222221</v>
      </c>
      <c r="L419" s="205">
        <f>Apreciación!K158</f>
        <v>3.7037037037037035E-2</v>
      </c>
      <c r="M419" s="90">
        <f t="shared" si="56"/>
        <v>3.8611111111111107</v>
      </c>
      <c r="N419" s="325"/>
      <c r="O419" s="325"/>
      <c r="P419" s="325"/>
      <c r="Q419" s="325"/>
      <c r="R419" s="17" t="str">
        <f t="shared" si="52"/>
        <v>C</v>
      </c>
      <c r="S419" s="328"/>
      <c r="T419" s="328"/>
      <c r="U419" s="328"/>
      <c r="V419" s="328"/>
    </row>
    <row r="420" spans="1:22" ht="36" x14ac:dyDescent="0.25">
      <c r="A420" s="343"/>
      <c r="B420" s="343"/>
      <c r="C420" s="334"/>
      <c r="D420" s="331"/>
      <c r="E420" s="11" t="str">
        <f>Apreciación!A159</f>
        <v>Docentes</v>
      </c>
      <c r="F420" s="11" t="str">
        <f>Apreciación!E159</f>
        <v>Cuenta de 52.3. Considero que los computadores y software disponibles en el programa académico al cual pertenezco son: ACTUALIZADO</v>
      </c>
      <c r="G420" s="205">
        <f>Apreciación!F159</f>
        <v>3.7037037037037035E-2</v>
      </c>
      <c r="H420" s="205">
        <f>Apreciación!G159</f>
        <v>0.14814814814814814</v>
      </c>
      <c r="I420" s="205">
        <f>Apreciación!H159</f>
        <v>0.40740740740740738</v>
      </c>
      <c r="J420" s="205">
        <f>Apreciación!I159</f>
        <v>0.29629629629629628</v>
      </c>
      <c r="K420" s="205">
        <f>Apreciación!J159</f>
        <v>0.1111111111111111</v>
      </c>
      <c r="L420" s="205">
        <f>Apreciación!K159</f>
        <v>0</v>
      </c>
      <c r="M420" s="90">
        <f t="shared" si="56"/>
        <v>3.7796296296296292</v>
      </c>
      <c r="N420" s="326"/>
      <c r="O420" s="325"/>
      <c r="P420" s="325"/>
      <c r="Q420" s="325"/>
      <c r="R420" s="17" t="str">
        <f t="shared" si="52"/>
        <v>C</v>
      </c>
      <c r="S420" s="329"/>
      <c r="T420" s="328"/>
      <c r="U420" s="328"/>
      <c r="V420" s="328"/>
    </row>
    <row r="421" spans="1:22" ht="48" x14ac:dyDescent="0.25">
      <c r="A421" s="343"/>
      <c r="B421" s="343"/>
      <c r="C421" s="334"/>
      <c r="D421" s="331"/>
      <c r="E421" s="11" t="str">
        <f>Apreciación!A236</f>
        <v>Administrativos</v>
      </c>
      <c r="F421" s="12" t="str">
        <f>Apreciación!E236</f>
        <v>Cuenta de 11.1. Considero que los equipos de apoyo audiovisual a disposición de los programas académicos con los cuales me he relacionado son: SUFICIENTES.</v>
      </c>
      <c r="G421" s="207">
        <f>Apreciación!F236</f>
        <v>0.10526315789473684</v>
      </c>
      <c r="H421" s="207">
        <f>Apreciación!G236</f>
        <v>0.15789473684210525</v>
      </c>
      <c r="I421" s="207">
        <f>Apreciación!H236</f>
        <v>0.37719298245614036</v>
      </c>
      <c r="J421" s="207">
        <f>Apreciación!I236</f>
        <v>0.20175438596491227</v>
      </c>
      <c r="K421" s="207">
        <f>Apreciación!J236</f>
        <v>5.2631578947368418E-2</v>
      </c>
      <c r="L421" s="207">
        <f>Apreciación!K236</f>
        <v>0.10526315789473684</v>
      </c>
      <c r="M421" s="146">
        <f t="shared" si="56"/>
        <v>3.1377192982456137</v>
      </c>
      <c r="N421" s="324">
        <f>AVERAGE(M421:M424)</f>
        <v>3.3913377192982459</v>
      </c>
      <c r="O421" s="325"/>
      <c r="P421" s="325"/>
      <c r="Q421" s="325"/>
      <c r="R421" s="17" t="str">
        <f t="shared" si="52"/>
        <v>D</v>
      </c>
      <c r="S421" s="327" t="str">
        <f t="shared" si="53"/>
        <v>D</v>
      </c>
      <c r="T421" s="328"/>
      <c r="U421" s="328"/>
      <c r="V421" s="328"/>
    </row>
    <row r="422" spans="1:22" ht="48" x14ac:dyDescent="0.25">
      <c r="A422" s="343"/>
      <c r="B422" s="343"/>
      <c r="C422" s="334"/>
      <c r="D422" s="331"/>
      <c r="E422" s="11" t="str">
        <f>Apreciación!A237</f>
        <v>Administrativos</v>
      </c>
      <c r="F422" s="12" t="str">
        <f>Apreciación!E237</f>
        <v>Cuenta de 11.2. Considero que los equipos de apoyo audiovisual a disposición de los programas académicos con los cuales me he relacionado son: ADECUADOS.</v>
      </c>
      <c r="G422" s="207">
        <f>Apreciación!F237</f>
        <v>2.6315789473684209E-2</v>
      </c>
      <c r="H422" s="207">
        <f>Apreciación!G237</f>
        <v>0.12280701754385964</v>
      </c>
      <c r="I422" s="207">
        <f>Apreciación!H237</f>
        <v>0.34210526315789475</v>
      </c>
      <c r="J422" s="207">
        <f>Apreciación!I237</f>
        <v>0.31578947368421051</v>
      </c>
      <c r="K422" s="207">
        <f>Apreciación!J237</f>
        <v>9.6491228070175433E-2</v>
      </c>
      <c r="L422" s="207">
        <f>Apreciación!K237</f>
        <v>9.6491228070175433E-2</v>
      </c>
      <c r="M422" s="146">
        <f t="shared" si="56"/>
        <v>3.4574561403508772</v>
      </c>
      <c r="N422" s="325"/>
      <c r="O422" s="325"/>
      <c r="P422" s="325"/>
      <c r="Q422" s="325"/>
      <c r="R422" s="17" t="str">
        <f t="shared" si="52"/>
        <v>D</v>
      </c>
      <c r="S422" s="328"/>
      <c r="T422" s="328"/>
      <c r="U422" s="328"/>
      <c r="V422" s="328"/>
    </row>
    <row r="423" spans="1:22" ht="48" x14ac:dyDescent="0.25">
      <c r="A423" s="343"/>
      <c r="B423" s="343"/>
      <c r="C423" s="334"/>
      <c r="D423" s="331"/>
      <c r="E423" s="11" t="str">
        <f>Apreciación!A238</f>
        <v>Administrativos</v>
      </c>
      <c r="F423" s="12" t="str">
        <f>Apreciación!E238</f>
        <v>Cuenta de 11.3. Considero que los equipos de apoyo audiovisual a disposición de los programas académicos con los cuales me he relacionado son: ACTUALIZADOS.</v>
      </c>
      <c r="G423" s="207">
        <f>Apreciación!F238</f>
        <v>3.5087719298245612E-2</v>
      </c>
      <c r="H423" s="207">
        <f>Apreciación!G238</f>
        <v>0.11403508771929824</v>
      </c>
      <c r="I423" s="207">
        <f>Apreciación!H238</f>
        <v>0.35087719298245612</v>
      </c>
      <c r="J423" s="207">
        <f>Apreciación!I238</f>
        <v>0.32456140350877194</v>
      </c>
      <c r="K423" s="207">
        <f>Apreciación!J238</f>
        <v>4.3859649122807015E-2</v>
      </c>
      <c r="L423" s="207">
        <f>Apreciación!K238</f>
        <v>0.13157894736842105</v>
      </c>
      <c r="M423" s="146">
        <f t="shared" si="56"/>
        <v>3.2657894736842108</v>
      </c>
      <c r="N423" s="325"/>
      <c r="O423" s="325"/>
      <c r="P423" s="325"/>
      <c r="Q423" s="325"/>
      <c r="R423" s="17" t="str">
        <f t="shared" si="52"/>
        <v>D</v>
      </c>
      <c r="S423" s="328"/>
      <c r="T423" s="328"/>
      <c r="U423" s="328"/>
      <c r="V423" s="328"/>
    </row>
    <row r="424" spans="1:22" ht="60" x14ac:dyDescent="0.25">
      <c r="A424" s="343"/>
      <c r="B424" s="343"/>
      <c r="C424" s="334"/>
      <c r="D424" s="331"/>
      <c r="E424" s="11" t="str">
        <f>Apreciación!A239</f>
        <v>Administrativos</v>
      </c>
      <c r="F424" s="12" t="str">
        <f>Apreciación!E239</f>
        <v>Cuenta de 11.4. Considero que los equipos de apoyo audiovisual a disposición de los programas académicos con los cuales me he relacionado son: SOPORTADOS POR PERSONAL DEBIDAMENTE CAPACITADO.</v>
      </c>
      <c r="G424" s="207">
        <f>Apreciación!F239</f>
        <v>2.6315789473684209E-2</v>
      </c>
      <c r="H424" s="207">
        <f>Apreciación!G239</f>
        <v>1.7543859649122806E-2</v>
      </c>
      <c r="I424" s="207">
        <f>Apreciación!H239</f>
        <v>0.16666666666666666</v>
      </c>
      <c r="J424" s="207">
        <f>Apreciación!I239</f>
        <v>0.39473684210526316</v>
      </c>
      <c r="K424" s="207">
        <f>Apreciación!J239</f>
        <v>0.2807017543859649</v>
      </c>
      <c r="L424" s="207">
        <f>Apreciación!K239</f>
        <v>0.11403508771929824</v>
      </c>
      <c r="M424" s="146">
        <f t="shared" si="56"/>
        <v>3.704385964912281</v>
      </c>
      <c r="N424" s="326"/>
      <c r="O424" s="325"/>
      <c r="P424" s="325"/>
      <c r="Q424" s="325"/>
      <c r="R424" s="17" t="str">
        <f t="shared" si="52"/>
        <v>C</v>
      </c>
      <c r="S424" s="329"/>
      <c r="T424" s="328"/>
      <c r="U424" s="328"/>
      <c r="V424" s="328"/>
    </row>
    <row r="425" spans="1:22" ht="72" x14ac:dyDescent="0.25">
      <c r="A425" s="343"/>
      <c r="B425" s="342">
        <v>26</v>
      </c>
      <c r="C425" s="143" t="str">
        <f>Final!E152</f>
        <v>a</v>
      </c>
      <c r="D425" s="142" t="str">
        <f>Final!F152</f>
        <v>Adecuación de la dotación de equipos, materiales e insumos en los laboratorios y talleres, campos de práctica, prácticas académicas, culturales y artísticas, plantas piloto, etc., según la naturaleza, metodología y exigencias del proyecto curricular.</v>
      </c>
      <c r="E425" s="61" t="s">
        <v>64</v>
      </c>
      <c r="F425" s="61" t="s">
        <v>64</v>
      </c>
      <c r="G425" s="204" t="s">
        <v>64</v>
      </c>
      <c r="H425" s="204" t="s">
        <v>64</v>
      </c>
      <c r="I425" s="204" t="s">
        <v>64</v>
      </c>
      <c r="J425" s="204" t="s">
        <v>64</v>
      </c>
      <c r="K425" s="204" t="s">
        <v>64</v>
      </c>
      <c r="L425" s="204" t="s">
        <v>64</v>
      </c>
      <c r="M425" s="146" t="s">
        <v>64</v>
      </c>
      <c r="N425" s="146" t="s">
        <v>64</v>
      </c>
      <c r="O425" s="146" t="s">
        <v>64</v>
      </c>
      <c r="P425" s="324">
        <f>AVERAGE(O425:O450)</f>
        <v>3.7008641655702803</v>
      </c>
      <c r="Q425" s="325"/>
      <c r="R425" s="17" t="str">
        <f t="shared" si="52"/>
        <v>NA</v>
      </c>
      <c r="S425" s="144" t="str">
        <f t="shared" si="53"/>
        <v>NA</v>
      </c>
      <c r="T425" s="144" t="str">
        <f>IF(((O425&gt;=$Z$4)*AND(O425&lt;=$AA$4)),$Y$4,IF(((O425&gt;$AA$4)*AND(O425&lt;=$AA$5)),$Y$5,IF(((O425&gt;$AA$5)*AND(O425&lt;=$AA$6)),$Y$6,IF(((O425&gt;$AA$6)*AND(O425&lt;=$AA$7)),$Y$7,IF(((O425&gt;$AA$7)*AND(O425&lt;=$AA$8)),$Y$8,IF(EXACT(O425,$Y$9),$Z$9))))))</f>
        <v>NA</v>
      </c>
      <c r="U425" s="327" t="str">
        <f>IF(((P425&gt;=$Z$4)*AND(P425&lt;=$AA$4)),$Y$4,IF(((P425&gt;$AA$4)*AND(P425&lt;=$AA$5)),$Y$5,IF(((P425&gt;$AA$5)*AND(P425&lt;=$AA$6)),$Y$6,IF(((P425&gt;$AA$6)*AND(P425&lt;=$AA$7)),$Y$7,IF(((P425&gt;$AA$7)*AND(P425&lt;=$AA$8)),$Y$8,IF(EXACT(P425,$Y$9),$Z$9))))))</f>
        <v>C</v>
      </c>
      <c r="V425" s="328"/>
    </row>
    <row r="426" spans="1:22" ht="84" x14ac:dyDescent="0.25">
      <c r="A426" s="343"/>
      <c r="B426" s="343"/>
      <c r="C426" s="143" t="str">
        <f>Final!E153</f>
        <v>b</v>
      </c>
      <c r="D426" s="142" t="str">
        <f>Final!F153</f>
        <v>Cumplimiento de las normas sanitarias y de bioseguridad, salud ocupacional, seguridad industrial y manejo de seres vivos, establecidas en las normas nacionales e institucionales vigentes requeridas para el funcionamiento de laboratorios, máquinas y talleres utilizados por el proyecto curricular.</v>
      </c>
      <c r="E426" s="61" t="s">
        <v>64</v>
      </c>
      <c r="F426" s="61" t="s">
        <v>64</v>
      </c>
      <c r="G426" s="204" t="s">
        <v>64</v>
      </c>
      <c r="H426" s="204" t="s">
        <v>64</v>
      </c>
      <c r="I426" s="204" t="s">
        <v>64</v>
      </c>
      <c r="J426" s="204" t="s">
        <v>64</v>
      </c>
      <c r="K426" s="204" t="s">
        <v>64</v>
      </c>
      <c r="L426" s="204" t="s">
        <v>64</v>
      </c>
      <c r="M426" s="146" t="s">
        <v>64</v>
      </c>
      <c r="N426" s="146" t="s">
        <v>64</v>
      </c>
      <c r="O426" s="146" t="s">
        <v>64</v>
      </c>
      <c r="P426" s="325"/>
      <c r="Q426" s="325"/>
      <c r="R426" s="17" t="str">
        <f t="shared" si="52"/>
        <v>NA</v>
      </c>
      <c r="S426" s="144" t="str">
        <f t="shared" si="53"/>
        <v>NA</v>
      </c>
      <c r="T426" s="144" t="str">
        <f>IF(((O426&gt;=$Z$4)*AND(O426&lt;=$AA$4)),$Y$4,IF(((O426&gt;$AA$4)*AND(O426&lt;=$AA$5)),$Y$5,IF(((O426&gt;$AA$5)*AND(O426&lt;=$AA$6)),$Y$6,IF(((O426&gt;$AA$6)*AND(O426&lt;=$AA$7)),$Y$7,IF(((O426&gt;$AA$7)*AND(O426&lt;=$AA$8)),$Y$8,IF(EXACT(O426,$Y$9),$Z$9))))))</f>
        <v>NA</v>
      </c>
      <c r="U426" s="328"/>
      <c r="V426" s="328"/>
    </row>
    <row r="427" spans="1:22" ht="60" x14ac:dyDescent="0.25">
      <c r="A427" s="343"/>
      <c r="B427" s="343"/>
      <c r="C427" s="143" t="str">
        <f>Final!E154</f>
        <v>c</v>
      </c>
      <c r="D427" s="142" t="str">
        <f>Final!F154</f>
        <v>Adecuación de la dotación, mantenimiento y las medidas de reducción del riesgo tanto delaboratorios, máquinas y talleres como de los equipos y materiales, según la naturaleza, metodología y exigencias del proyecto curricular</v>
      </c>
      <c r="E427" s="61" t="s">
        <v>64</v>
      </c>
      <c r="F427" s="61" t="s">
        <v>64</v>
      </c>
      <c r="G427" s="204" t="s">
        <v>64</v>
      </c>
      <c r="H427" s="204" t="s">
        <v>64</v>
      </c>
      <c r="I427" s="204" t="s">
        <v>64</v>
      </c>
      <c r="J427" s="204" t="s">
        <v>64</v>
      </c>
      <c r="K427" s="204" t="s">
        <v>64</v>
      </c>
      <c r="L427" s="204" t="s">
        <v>64</v>
      </c>
      <c r="M427" s="146" t="s">
        <v>64</v>
      </c>
      <c r="N427" s="146" t="s">
        <v>64</v>
      </c>
      <c r="O427" s="146" t="s">
        <v>64</v>
      </c>
      <c r="P427" s="325"/>
      <c r="Q427" s="325"/>
      <c r="R427" s="17" t="str">
        <f t="shared" si="52"/>
        <v>NA</v>
      </c>
      <c r="S427" s="144" t="str">
        <f t="shared" si="53"/>
        <v>NA</v>
      </c>
      <c r="T427" s="144" t="str">
        <f>IF(((O427&gt;=$Z$4)*AND(O427&lt;=$AA$4)),$Y$4,IF(((O427&gt;$AA$4)*AND(O427&lt;=$AA$5)),$Y$5,IF(((O427&gt;$AA$5)*AND(O427&lt;=$AA$6)),$Y$6,IF(((O427&gt;$AA$6)*AND(O427&lt;=$AA$7)),$Y$7,IF(((O427&gt;$AA$7)*AND(O427&lt;=$AA$8)),$Y$8,IF(EXACT(O427,$Y$9),$Z$9))))))</f>
        <v>NA</v>
      </c>
      <c r="U427" s="328"/>
      <c r="V427" s="328"/>
    </row>
    <row r="428" spans="1:22" ht="108" x14ac:dyDescent="0.25">
      <c r="A428" s="343"/>
      <c r="B428" s="343"/>
      <c r="C428" s="143" t="str">
        <f>Final!E155</f>
        <v>d</v>
      </c>
      <c r="D428" s="142" t="str">
        <f>Final!F155</f>
        <v>Disponibilidad y capacidad de talleres, laboratorios, equipos, medios audiovisuales, sitios de práctica, espacios para atención a estudiantes, estaciones y granjas experimentales, escenarios de simulación virtual, entre otros, según los requerimientos del proyecto curricular que permitan el óptimo desempeño de la actividad docente, investigativa y de proyección social.</v>
      </c>
      <c r="E428" s="61" t="s">
        <v>64</v>
      </c>
      <c r="F428" s="61" t="s">
        <v>64</v>
      </c>
      <c r="G428" s="204" t="s">
        <v>64</v>
      </c>
      <c r="H428" s="204" t="s">
        <v>64</v>
      </c>
      <c r="I428" s="204" t="s">
        <v>64</v>
      </c>
      <c r="J428" s="204" t="s">
        <v>64</v>
      </c>
      <c r="K428" s="204" t="s">
        <v>64</v>
      </c>
      <c r="L428" s="204" t="s">
        <v>64</v>
      </c>
      <c r="M428" s="146" t="s">
        <v>64</v>
      </c>
      <c r="N428" s="146" t="s">
        <v>64</v>
      </c>
      <c r="O428" s="146" t="s">
        <v>64</v>
      </c>
      <c r="P428" s="325"/>
      <c r="Q428" s="325"/>
      <c r="R428" s="17" t="str">
        <f t="shared" ref="R428:R450" si="57">IF(((M428&gt;=$Z$4)*AND(M428&lt;=$AA$4)),$Y$4,IF(((M428&gt;$AA$4)*AND(M428&lt;=$AA$5)),$Y$5,IF(((M428&gt;$AA$5)*AND(M428&lt;=$AA$6)),$Y$6,IF(((M428&gt;$AA$6)*AND(M428&lt;=$AA$7)),$Y$7,IF(((M428&gt;$AA$7)*AND(M428&lt;=$AA$8)),$Y$8,IF(EXACT(M428,$Y$9),$Z$9))))))</f>
        <v>NA</v>
      </c>
      <c r="S428" s="144" t="str">
        <f>IF(((N428&gt;=$Z$4)*AND(N428&lt;=$AA$4)),$Y$4,IF(((N428&gt;$AA$4)*AND(N428&lt;=$AA$5)),$Y$5,IF(((N428&gt;$AA$5)*AND(N428&lt;=$AA$6)),$Y$6,IF(((N428&gt;$AA$6)*AND(N428&lt;=$AA$7)),$Y$7,IF(((N428&gt;$AA$7)*AND(N428&lt;=$AA$8)),$Y$8,IF(EXACT(N428,$Y$9),$Z$9))))))</f>
        <v>NA</v>
      </c>
      <c r="T428" s="144" t="str">
        <f>IF(((O428&gt;=$Z$4)*AND(O428&lt;=$AA$4)),$Y$4,IF(((O428&gt;$AA$4)*AND(O428&lt;=$AA$5)),$Y$5,IF(((O428&gt;$AA$5)*AND(O428&lt;=$AA$6)),$Y$6,IF(((O428&gt;$AA$6)*AND(O428&lt;=$AA$7)),$Y$7,IF(((O428&gt;$AA$7)*AND(O428&lt;=$AA$8)),$Y$8,IF(EXACT(O428,$Y$9),$Z$9))))))</f>
        <v>NA</v>
      </c>
      <c r="U428" s="328"/>
      <c r="V428" s="328"/>
    </row>
    <row r="429" spans="1:22" ht="96" x14ac:dyDescent="0.25">
      <c r="A429" s="343"/>
      <c r="B429" s="343"/>
      <c r="C429" s="58" t="str">
        <f>Final!E156</f>
        <v>e</v>
      </c>
      <c r="D429" s="59" t="str">
        <f>Final!F156</f>
        <v>Descripción de la actividad desplegada, por parte de la comunidad académica, en desarrollo de los convenios de cooperación con centros, instituciones, empresas u organizaciones, que facilitan el uso de otros recursos y escenarios de enseñanza, aprendizaje, investigación y creación artística y cultural, práctica profesional, entre otros.</v>
      </c>
      <c r="E429" s="61" t="s">
        <v>64</v>
      </c>
      <c r="F429" s="61" t="s">
        <v>64</v>
      </c>
      <c r="G429" s="204" t="s">
        <v>64</v>
      </c>
      <c r="H429" s="204" t="s">
        <v>64</v>
      </c>
      <c r="I429" s="204" t="s">
        <v>64</v>
      </c>
      <c r="J429" s="204" t="s">
        <v>64</v>
      </c>
      <c r="K429" s="204" t="s">
        <v>64</v>
      </c>
      <c r="L429" s="204" t="s">
        <v>64</v>
      </c>
      <c r="M429" s="91" t="s">
        <v>64</v>
      </c>
      <c r="N429" s="91" t="s">
        <v>64</v>
      </c>
      <c r="O429" s="91" t="s">
        <v>64</v>
      </c>
      <c r="P429" s="325"/>
      <c r="Q429" s="325"/>
      <c r="R429" s="17" t="str">
        <f t="shared" si="57"/>
        <v>NA</v>
      </c>
      <c r="S429" s="17" t="str">
        <f>IF(((N429&gt;=$Z$4)*AND(N429&lt;=$AA$4)),$Y$4,IF(((N429&gt;$AA$4)*AND(N429&lt;=$AA$5)),$Y$5,IF(((N429&gt;$AA$5)*AND(N429&lt;=$AA$6)),$Y$6,IF(((N429&gt;$AA$6)*AND(N429&lt;=$AA$7)),$Y$7,IF(((N429&gt;$AA$7)*AND(N429&lt;=$AA$8)),$Y$8,IF(EXACT(N429,$Y$9),$Z$9))))))</f>
        <v>NA</v>
      </c>
      <c r="T429" s="17" t="str">
        <f>IF(((O429&gt;=$Z$4)*AND(O429&lt;=$AA$4)),$Y$4,IF(((O429&gt;$AA$4)*AND(O429&lt;=$AA$5)),$Y$5,IF(((O429&gt;$AA$5)*AND(O429&lt;=$AA$6)),$Y$6,IF(((O429&gt;$AA$6)*AND(O429&lt;=$AA$7)),$Y$7,IF(((O429&gt;$AA$7)*AND(O429&lt;=$AA$8)),$Y$8,IF(EXACT(O429,$Y$9),$Z$9))))))</f>
        <v>NA</v>
      </c>
      <c r="U429" s="328"/>
      <c r="V429" s="328"/>
    </row>
    <row r="430" spans="1:22" ht="36" x14ac:dyDescent="0.25">
      <c r="A430" s="343"/>
      <c r="B430" s="343"/>
      <c r="C430" s="333" t="str">
        <f>Final!E157</f>
        <v>f</v>
      </c>
      <c r="D430" s="330" t="str">
        <f>Final!F157</f>
        <v>Apreciación de profesores, estudiantes, administrativos y auxiliares de laboratorio del proyecto curricular sobre la capacidad, disponibilidad, dotación y cumplimiento de las normas vigentes en laboratorios, talleres, ayudas audiovisuales y campos de práctica, con los que cuenta el proyecto curricular para el desarrollo de sus actividades.</v>
      </c>
      <c r="E430" s="11" t="str">
        <f>Apreciación!A65</f>
        <v>Estudiantes</v>
      </c>
      <c r="F430" s="11" t="str">
        <f>Apreciación!E65</f>
        <v>Cuenta de 51.1. Considero que los laboratorios y talleres disponibles en mi programa académico son: SUFICIENTES.</v>
      </c>
      <c r="G430" s="203">
        <f>Apreciación!F65</f>
        <v>0.10778443113772455</v>
      </c>
      <c r="H430" s="203">
        <f>Apreciación!G65</f>
        <v>0.12574850299401197</v>
      </c>
      <c r="I430" s="203">
        <f>Apreciación!H65</f>
        <v>0.31137724550898205</v>
      </c>
      <c r="J430" s="203">
        <f>Apreciación!I65</f>
        <v>0.26347305389221559</v>
      </c>
      <c r="K430" s="203">
        <f>Apreciación!J65</f>
        <v>0.17964071856287425</v>
      </c>
      <c r="L430" s="203">
        <f>Apreciación!K65</f>
        <v>1.1976047904191617E-2</v>
      </c>
      <c r="M430" s="18">
        <f>(G430*$G$2)+(H430*$H$2)+(I430*$I$2)+(J430*$J$2)+(K430*$K$2)+(L430*$L$2)</f>
        <v>3.6661676646706587</v>
      </c>
      <c r="N430" s="324">
        <f>AVERAGE(M430:M436)</f>
        <v>3.7994011976047908</v>
      </c>
      <c r="O430" s="324">
        <f>(N430*$AE$5)+(N437*$AE$4)+(AVERAGE(N430:N450)*$AE$6)+(N444*$AE$8)+(AVERAGE(N430:N450)*$AE$7)</f>
        <v>3.7008641655702803</v>
      </c>
      <c r="P430" s="325"/>
      <c r="Q430" s="325"/>
      <c r="R430" s="17" t="str">
        <f t="shared" si="57"/>
        <v>C</v>
      </c>
      <c r="S430" s="327" t="str">
        <f>IF(((N430&gt;=$Z$4)*AND(N430&lt;=$AA$4)),$Y$4,IF(((N430&gt;$AA$4)*AND(N430&lt;=$AA$5)),$Y$5,IF(((N430&gt;$AA$5)*AND(N430&lt;=$AA$6)),$Y$6,IF(((N430&gt;$AA$6)*AND(N430&lt;=$AA$7)),$Y$7,IF(((N430&gt;$AA$7)*AND(N430&lt;=$AA$8)),$Y$8,IF(EXACT(N430,$Y$9),$Z$9))))))</f>
        <v>C</v>
      </c>
      <c r="T430" s="327" t="str">
        <f>IF(((O430&gt;=$Z$4)*AND(O430&lt;=$AA$4)),$Y$4,IF(((O430&gt;$AA$4)*AND(O430&lt;=$AA$5)),$Y$5,IF(((O430&gt;$AA$5)*AND(O430&lt;=$AA$6)),$Y$6,IF(((O430&gt;$AA$6)*AND(O430&lt;=$AA$7)),$Y$7,IF(((O430&gt;$AA$7)*AND(O430&lt;=$AA$8)),$Y$8,IF(EXACT(O430,$Y$9),$Z$9))))))</f>
        <v>C</v>
      </c>
      <c r="U430" s="328"/>
      <c r="V430" s="328"/>
    </row>
    <row r="431" spans="1:22" ht="48" x14ac:dyDescent="0.25">
      <c r="A431" s="343"/>
      <c r="B431" s="343"/>
      <c r="C431" s="334"/>
      <c r="D431" s="331"/>
      <c r="E431" s="11" t="str">
        <f>Apreciación!A68</f>
        <v>Estudiantes</v>
      </c>
      <c r="F431" s="11" t="str">
        <f>Apreciación!E68</f>
        <v>Cuenta de 51.4. Considero que los laboratorios y talleres disponibles en mi programa académico son: APOYADOS POR PERSONAL DEBIDAMENTE CAPACITADO.</v>
      </c>
      <c r="G431" s="203">
        <f>Apreciación!F68</f>
        <v>7.7844311377245512E-2</v>
      </c>
      <c r="H431" s="203">
        <f>Apreciación!G68</f>
        <v>4.1916167664670656E-2</v>
      </c>
      <c r="I431" s="203">
        <f>Apreciación!H68</f>
        <v>0.25149700598802394</v>
      </c>
      <c r="J431" s="203">
        <f>Apreciación!I68</f>
        <v>0.3712574850299401</v>
      </c>
      <c r="K431" s="203">
        <f>Apreciación!J68</f>
        <v>0.24550898203592814</v>
      </c>
      <c r="L431" s="203">
        <f>Apreciación!K68</f>
        <v>1.1976047904191617E-2</v>
      </c>
      <c r="M431" s="91">
        <f t="shared" ref="M431:M450" si="58">(G431*$G$2)+(H431*$H$2)+(I431*$I$2)+(J431*$J$2)+(K431*$K$2)+(L431*$L$2)</f>
        <v>3.9119760479041914</v>
      </c>
      <c r="N431" s="325"/>
      <c r="O431" s="325"/>
      <c r="P431" s="325"/>
      <c r="Q431" s="325"/>
      <c r="R431" s="17" t="str">
        <f t="shared" si="57"/>
        <v>C</v>
      </c>
      <c r="S431" s="328"/>
      <c r="T431" s="328"/>
      <c r="U431" s="328"/>
      <c r="V431" s="328"/>
    </row>
    <row r="432" spans="1:22" ht="36" x14ac:dyDescent="0.25">
      <c r="A432" s="343"/>
      <c r="B432" s="343"/>
      <c r="C432" s="334"/>
      <c r="D432" s="331"/>
      <c r="E432" s="11" t="str">
        <f>Apreciación!A69</f>
        <v>Estudiantes</v>
      </c>
      <c r="F432" s="11" t="str">
        <f>Apreciación!E69</f>
        <v>Cuenta de 51.5. Considero que los laboratorios y talleres disponibles en mi programa académico son: VENTILADOS.</v>
      </c>
      <c r="G432" s="203">
        <f>Apreciación!F69</f>
        <v>5.9880239520958084E-2</v>
      </c>
      <c r="H432" s="203">
        <f>Apreciación!G69</f>
        <v>6.5868263473053898E-2</v>
      </c>
      <c r="I432" s="203">
        <f>Apreciación!H69</f>
        <v>0.3592814371257485</v>
      </c>
      <c r="J432" s="203">
        <f>Apreciación!I69</f>
        <v>0.31137724550898205</v>
      </c>
      <c r="K432" s="203">
        <f>Apreciación!J69</f>
        <v>0.17365269461077845</v>
      </c>
      <c r="L432" s="203">
        <f>Apreciación!K69</f>
        <v>2.9940119760479042E-2</v>
      </c>
      <c r="M432" s="91">
        <f t="shared" si="58"/>
        <v>3.7580838323353296</v>
      </c>
      <c r="N432" s="325"/>
      <c r="O432" s="325"/>
      <c r="P432" s="325"/>
      <c r="Q432" s="325"/>
      <c r="R432" s="17" t="str">
        <f t="shared" si="57"/>
        <v>C</v>
      </c>
      <c r="S432" s="328"/>
      <c r="T432" s="328"/>
      <c r="U432" s="328"/>
      <c r="V432" s="328"/>
    </row>
    <row r="433" spans="1:22" ht="36" x14ac:dyDescent="0.25">
      <c r="A433" s="343"/>
      <c r="B433" s="343"/>
      <c r="C433" s="334"/>
      <c r="D433" s="331"/>
      <c r="E433" s="11" t="str">
        <f>Apreciación!A70</f>
        <v>Estudiantes</v>
      </c>
      <c r="F433" s="11" t="str">
        <f>Apreciación!E70</f>
        <v>Cuenta de 51.6. Considero que los laboratorios y talleres disponibles en mi programa académico son: ILUMINADOS.</v>
      </c>
      <c r="G433" s="203">
        <f>Apreciación!F70</f>
        <v>4.1916167664670656E-2</v>
      </c>
      <c r="H433" s="203">
        <f>Apreciación!G70</f>
        <v>3.5928143712574849E-2</v>
      </c>
      <c r="I433" s="203">
        <f>Apreciación!H70</f>
        <v>0.20359281437125748</v>
      </c>
      <c r="J433" s="203">
        <f>Apreciación!I70</f>
        <v>0.39520958083832336</v>
      </c>
      <c r="K433" s="203">
        <f>Apreciación!J70</f>
        <v>0.31137724550898205</v>
      </c>
      <c r="L433" s="203">
        <f>Apreciación!K70</f>
        <v>1.1976047904191617E-2</v>
      </c>
      <c r="M433" s="91">
        <f t="shared" si="58"/>
        <v>4.0694610778443119</v>
      </c>
      <c r="N433" s="325"/>
      <c r="O433" s="325"/>
      <c r="P433" s="325"/>
      <c r="Q433" s="325"/>
      <c r="R433" s="17" t="str">
        <f t="shared" si="57"/>
        <v>B</v>
      </c>
      <c r="S433" s="328"/>
      <c r="T433" s="328"/>
      <c r="U433" s="328"/>
      <c r="V433" s="328"/>
    </row>
    <row r="434" spans="1:22" ht="36" x14ac:dyDescent="0.25">
      <c r="A434" s="343"/>
      <c r="B434" s="343"/>
      <c r="C434" s="334"/>
      <c r="D434" s="331"/>
      <c r="E434" s="11" t="str">
        <f>Apreciación!A71</f>
        <v>Estudiantes</v>
      </c>
      <c r="F434" s="12" t="str">
        <f>Apreciación!E71</f>
        <v>Cuenta de 51.7. Considero que los laboratorios y talleres disponibles en mi programa académico son: DISEÑADOS SEGÚN NORMAS DE SEGURIDAD.</v>
      </c>
      <c r="G434" s="203">
        <f>Apreciación!F71</f>
        <v>4.790419161676647E-2</v>
      </c>
      <c r="H434" s="203">
        <f>Apreciación!G71</f>
        <v>5.3892215568862277E-2</v>
      </c>
      <c r="I434" s="203">
        <f>Apreciación!H71</f>
        <v>0.26347305389221559</v>
      </c>
      <c r="J434" s="203">
        <f>Apreciación!I71</f>
        <v>0.3532934131736527</v>
      </c>
      <c r="K434" s="203">
        <f>Apreciación!J71</f>
        <v>0.23952095808383234</v>
      </c>
      <c r="L434" s="203">
        <f>Apreciación!K71</f>
        <v>4.1916167664670656E-2</v>
      </c>
      <c r="M434" s="150">
        <f t="shared" si="58"/>
        <v>3.8368263473053901</v>
      </c>
      <c r="N434" s="325"/>
      <c r="O434" s="325"/>
      <c r="P434" s="325"/>
      <c r="Q434" s="325"/>
      <c r="R434" s="17" t="str">
        <f t="shared" si="57"/>
        <v>C</v>
      </c>
      <c r="S434" s="328"/>
      <c r="T434" s="328"/>
      <c r="U434" s="328"/>
      <c r="V434" s="328"/>
    </row>
    <row r="435" spans="1:22" ht="24" x14ac:dyDescent="0.25">
      <c r="A435" s="343"/>
      <c r="B435" s="343"/>
      <c r="C435" s="334"/>
      <c r="D435" s="331"/>
      <c r="E435" s="11" t="str">
        <f>Apreciación!A72</f>
        <v>Estudiantes</v>
      </c>
      <c r="F435" s="11" t="str">
        <f>Apreciación!E72</f>
        <v>Cuenta de 52.1. Considero que los materiales de apoyo audiovisual son: SUFICIENTES.</v>
      </c>
      <c r="G435" s="203">
        <f>Apreciación!F72</f>
        <v>7.1856287425149698E-2</v>
      </c>
      <c r="H435" s="203">
        <f>Apreciación!G72</f>
        <v>0.16167664670658682</v>
      </c>
      <c r="I435" s="203">
        <f>Apreciación!H72</f>
        <v>0.32934131736526945</v>
      </c>
      <c r="J435" s="203">
        <f>Apreciación!I72</f>
        <v>0.27544910179640719</v>
      </c>
      <c r="K435" s="203">
        <f>Apreciación!J72</f>
        <v>0.1437125748502994</v>
      </c>
      <c r="L435" s="203">
        <f>Apreciación!K72</f>
        <v>1.7964071856287425E-2</v>
      </c>
      <c r="M435" s="91">
        <f t="shared" si="58"/>
        <v>3.6571856287425151</v>
      </c>
      <c r="N435" s="325"/>
      <c r="O435" s="325"/>
      <c r="P435" s="325"/>
      <c r="Q435" s="325"/>
      <c r="R435" s="17" t="str">
        <f t="shared" si="57"/>
        <v>C</v>
      </c>
      <c r="S435" s="328"/>
      <c r="T435" s="328"/>
      <c r="U435" s="328"/>
      <c r="V435" s="328"/>
    </row>
    <row r="436" spans="1:22" ht="36" x14ac:dyDescent="0.25">
      <c r="A436" s="343"/>
      <c r="B436" s="343"/>
      <c r="C436" s="334"/>
      <c r="D436" s="331"/>
      <c r="E436" s="11" t="str">
        <f>Apreciación!A75</f>
        <v>Estudiantes</v>
      </c>
      <c r="F436" s="11" t="str">
        <f>Apreciación!E75</f>
        <v>Cuenta de 52.4. Considero que los materiales de apoyo audiovisual son: SOPORTADOS POR PERSONAL DEBIDAMENTE CAPACITADO.</v>
      </c>
      <c r="G436" s="203">
        <f>Apreciación!F75</f>
        <v>4.790419161676647E-2</v>
      </c>
      <c r="H436" s="203">
        <f>Apreciación!G75</f>
        <v>5.9880239520958084E-2</v>
      </c>
      <c r="I436" s="203">
        <f>Apreciación!H75</f>
        <v>0.26946107784431139</v>
      </c>
      <c r="J436" s="203">
        <f>Apreciación!I75</f>
        <v>0.3712574850299401</v>
      </c>
      <c r="K436" s="203">
        <f>Apreciación!J75</f>
        <v>0.18562874251497005</v>
      </c>
      <c r="L436" s="203">
        <f>Apreciación!K75</f>
        <v>6.5868263473053898E-2</v>
      </c>
      <c r="M436" s="91">
        <f t="shared" si="58"/>
        <v>3.6961077844311379</v>
      </c>
      <c r="N436" s="326"/>
      <c r="O436" s="325"/>
      <c r="P436" s="325"/>
      <c r="Q436" s="325"/>
      <c r="R436" s="17" t="str">
        <f t="shared" si="57"/>
        <v>C</v>
      </c>
      <c r="S436" s="329"/>
      <c r="T436" s="328"/>
      <c r="U436" s="328"/>
      <c r="V436" s="328"/>
    </row>
    <row r="437" spans="1:22" ht="36" x14ac:dyDescent="0.25">
      <c r="A437" s="343"/>
      <c r="B437" s="343"/>
      <c r="C437" s="334"/>
      <c r="D437" s="331"/>
      <c r="E437" s="11" t="str">
        <f>Apreciación!A160</f>
        <v>Docentes</v>
      </c>
      <c r="F437" s="11" t="str">
        <f>Apreciación!E160</f>
        <v>Cuenta de 53.1. Considero que los laboratorios y talleres disponibles en el programa académico al cual pertenezco son: SUFICIENTES</v>
      </c>
      <c r="G437" s="203">
        <f>Apreciación!F160</f>
        <v>0.1111111111111111</v>
      </c>
      <c r="H437" s="203">
        <f>Apreciación!G160</f>
        <v>3.7037037037037035E-2</v>
      </c>
      <c r="I437" s="203">
        <f>Apreciación!H160</f>
        <v>0.14814814814814814</v>
      </c>
      <c r="J437" s="203">
        <f>Apreciación!I160</f>
        <v>0.51851851851851849</v>
      </c>
      <c r="K437" s="203">
        <f>Apreciación!J160</f>
        <v>0.1111111111111111</v>
      </c>
      <c r="L437" s="203">
        <f>Apreciación!K160</f>
        <v>7.407407407407407E-2</v>
      </c>
      <c r="M437" s="91">
        <f t="shared" si="58"/>
        <v>3.5518518518518514</v>
      </c>
      <c r="N437" s="324">
        <f>AVERAGE(M437:M443)</f>
        <v>3.7246031746031747</v>
      </c>
      <c r="O437" s="325"/>
      <c r="P437" s="325"/>
      <c r="Q437" s="325"/>
      <c r="R437" s="17" t="str">
        <f t="shared" si="57"/>
        <v>C</v>
      </c>
      <c r="S437" s="327" t="str">
        <f>IF(((N437&gt;=$Z$4)*AND(N437&lt;=$AA$4)),$Y$4,IF(((N437&gt;$AA$4)*AND(N437&lt;=$AA$5)),$Y$5,IF(((N437&gt;$AA$5)*AND(N437&lt;=$AA$6)),$Y$6,IF(((N437&gt;$AA$6)*AND(N437&lt;=$AA$7)),$Y$7,IF(((N437&gt;$AA$7)*AND(N437&lt;=$AA$8)),$Y$8,IF(EXACT(N437,$Y$9),$Z$9))))))</f>
        <v>C</v>
      </c>
      <c r="T437" s="328"/>
      <c r="U437" s="328"/>
      <c r="V437" s="328"/>
    </row>
    <row r="438" spans="1:22" ht="48" x14ac:dyDescent="0.25">
      <c r="A438" s="343"/>
      <c r="B438" s="343"/>
      <c r="C438" s="334"/>
      <c r="D438" s="331"/>
      <c r="E438" s="11" t="str">
        <f>Apreciación!A163</f>
        <v>Docentes</v>
      </c>
      <c r="F438" s="11" t="str">
        <f>Apreciación!E163</f>
        <v>Cuenta de 53.4. Considero que los laboratorios y talleres disponibles en el programa académico al cual pertenezco son: APOYADOS POR PERSONAL DEBIDAMENTE CAPACITADO</v>
      </c>
      <c r="G438" s="203">
        <f>Apreciación!F163</f>
        <v>3.7037037037037035E-2</v>
      </c>
      <c r="H438" s="203">
        <f>Apreciación!G163</f>
        <v>0</v>
      </c>
      <c r="I438" s="203">
        <f>Apreciación!H163</f>
        <v>0</v>
      </c>
      <c r="J438" s="203">
        <f>Apreciación!I163</f>
        <v>0.18518518518518517</v>
      </c>
      <c r="K438" s="203">
        <f>Apreciación!J163</f>
        <v>0.70370370370370372</v>
      </c>
      <c r="L438" s="203">
        <f>Apreciación!K163</f>
        <v>7.407407407407407E-2</v>
      </c>
      <c r="M438" s="91">
        <f t="shared" si="58"/>
        <v>4.1833333333333336</v>
      </c>
      <c r="N438" s="325"/>
      <c r="O438" s="325"/>
      <c r="P438" s="325"/>
      <c r="Q438" s="325"/>
      <c r="R438" s="17" t="str">
        <f t="shared" si="57"/>
        <v>B</v>
      </c>
      <c r="S438" s="328"/>
      <c r="T438" s="328"/>
      <c r="U438" s="328"/>
      <c r="V438" s="328"/>
    </row>
    <row r="439" spans="1:22" ht="36" x14ac:dyDescent="0.25">
      <c r="A439" s="343"/>
      <c r="B439" s="343"/>
      <c r="C439" s="334"/>
      <c r="D439" s="331"/>
      <c r="E439" s="11" t="str">
        <f>Apreciación!A164</f>
        <v>Docentes</v>
      </c>
      <c r="F439" s="11" t="str">
        <f>Apreciación!E164</f>
        <v>Cuenta de 53.5. Considero que los laboratorios y talleres disponibles en el programa académico al cual pertenezco son: VENTILADOS</v>
      </c>
      <c r="G439" s="203">
        <f>Apreciación!F164</f>
        <v>7.407407407407407E-2</v>
      </c>
      <c r="H439" s="203">
        <f>Apreciación!G164</f>
        <v>3.7037037037037035E-2</v>
      </c>
      <c r="I439" s="203">
        <f>Apreciación!H164</f>
        <v>0.18518518518518517</v>
      </c>
      <c r="J439" s="203">
        <f>Apreciación!I164</f>
        <v>0.48148148148148145</v>
      </c>
      <c r="K439" s="203">
        <f>Apreciación!J164</f>
        <v>0.14814814814814814</v>
      </c>
      <c r="L439" s="203">
        <f>Apreciación!K164</f>
        <v>7.407407407407407E-2</v>
      </c>
      <c r="M439" s="91">
        <f t="shared" si="58"/>
        <v>3.6462962962962964</v>
      </c>
      <c r="N439" s="325"/>
      <c r="O439" s="325"/>
      <c r="P439" s="325"/>
      <c r="Q439" s="325"/>
      <c r="R439" s="17" t="str">
        <f t="shared" si="57"/>
        <v>C</v>
      </c>
      <c r="S439" s="328"/>
      <c r="T439" s="328"/>
      <c r="U439" s="328"/>
      <c r="V439" s="328"/>
    </row>
    <row r="440" spans="1:22" ht="36" x14ac:dyDescent="0.25">
      <c r="A440" s="343"/>
      <c r="B440" s="343"/>
      <c r="C440" s="334"/>
      <c r="D440" s="331"/>
      <c r="E440" s="11" t="str">
        <f>Apreciación!A165</f>
        <v>Docentes</v>
      </c>
      <c r="F440" s="11" t="str">
        <f>Apreciación!E165</f>
        <v>Cuenta de 53.6. Considero que los laboratorios y talleres disponibles en el programa académico al cual pertenezco son: ILUMINADOS</v>
      </c>
      <c r="G440" s="203">
        <f>Apreciación!F165</f>
        <v>3.7037037037037035E-2</v>
      </c>
      <c r="H440" s="203">
        <f>Apreciación!G165</f>
        <v>7.407407407407407E-2</v>
      </c>
      <c r="I440" s="203">
        <f>Apreciación!H165</f>
        <v>0.14814814814814814</v>
      </c>
      <c r="J440" s="203">
        <f>Apreciación!I165</f>
        <v>0.40740740740740738</v>
      </c>
      <c r="K440" s="203">
        <f>Apreciación!J165</f>
        <v>0.25925925925925924</v>
      </c>
      <c r="L440" s="203">
        <f>Apreciación!K165</f>
        <v>7.407407407407407E-2</v>
      </c>
      <c r="M440" s="91">
        <f t="shared" si="58"/>
        <v>3.7722222222222221</v>
      </c>
      <c r="N440" s="325"/>
      <c r="O440" s="325"/>
      <c r="P440" s="325"/>
      <c r="Q440" s="325"/>
      <c r="R440" s="17" t="str">
        <f t="shared" si="57"/>
        <v>C</v>
      </c>
      <c r="S440" s="328"/>
      <c r="T440" s="328"/>
      <c r="U440" s="328"/>
      <c r="V440" s="328"/>
    </row>
    <row r="441" spans="1:22" ht="48" x14ac:dyDescent="0.25">
      <c r="A441" s="343"/>
      <c r="B441" s="343"/>
      <c r="C441" s="334"/>
      <c r="D441" s="331"/>
      <c r="E441" s="11" t="str">
        <f>Apreciación!A166</f>
        <v>Docentes</v>
      </c>
      <c r="F441" s="11" t="str">
        <f>Apreciación!E166</f>
        <v>Cuenta de 53.7. Considero que los laboratorios y talleres disponibles en el programa académico al cual pertenezco son: DISEÑADOS SEGÚN NORMAS DE SEGURIDAD</v>
      </c>
      <c r="G441" s="203">
        <f>Apreciación!F166</f>
        <v>0.1111111111111111</v>
      </c>
      <c r="H441" s="203">
        <f>Apreciación!G166</f>
        <v>3.7037037037037035E-2</v>
      </c>
      <c r="I441" s="203">
        <f>Apreciación!H166</f>
        <v>0.29629629629629628</v>
      </c>
      <c r="J441" s="203">
        <f>Apreciación!I166</f>
        <v>0.29629629629629628</v>
      </c>
      <c r="K441" s="203">
        <f>Apreciación!J166</f>
        <v>0.18518518518518517</v>
      </c>
      <c r="L441" s="203">
        <f>Apreciación!K166</f>
        <v>7.407407407407407E-2</v>
      </c>
      <c r="M441" s="91">
        <f t="shared" si="58"/>
        <v>3.5185185185185182</v>
      </c>
      <c r="N441" s="325"/>
      <c r="O441" s="325"/>
      <c r="P441" s="325"/>
      <c r="Q441" s="325"/>
      <c r="R441" s="17" t="str">
        <f t="shared" si="57"/>
        <v>C</v>
      </c>
      <c r="S441" s="328"/>
      <c r="T441" s="328"/>
      <c r="U441" s="328"/>
      <c r="V441" s="328"/>
    </row>
    <row r="442" spans="1:22" ht="36" x14ac:dyDescent="0.25">
      <c r="A442" s="343"/>
      <c r="B442" s="343"/>
      <c r="C442" s="334"/>
      <c r="D442" s="331"/>
      <c r="E442" s="11" t="str">
        <f>Apreciación!A167</f>
        <v>Docentes</v>
      </c>
      <c r="F442" s="11" t="str">
        <f>Apreciación!E167</f>
        <v>Cuenta de 54.1. Considero que los equipos de apoyo audiovisual a disposición del programa académico al cual pertenezco son: SUFICIENTES</v>
      </c>
      <c r="G442" s="203">
        <f>Apreciación!F167</f>
        <v>0.18518518518518517</v>
      </c>
      <c r="H442" s="203">
        <f>Apreciación!G167</f>
        <v>0.1111111111111111</v>
      </c>
      <c r="I442" s="203">
        <f>Apreciación!H167</f>
        <v>0.25925925925925924</v>
      </c>
      <c r="J442" s="203">
        <f>Apreciación!I167</f>
        <v>0.29629629629629628</v>
      </c>
      <c r="K442" s="203">
        <f>Apreciación!J167</f>
        <v>0.14814814814814814</v>
      </c>
      <c r="L442" s="203">
        <f>Apreciación!K167</f>
        <v>0</v>
      </c>
      <c r="M442" s="91">
        <f t="shared" si="58"/>
        <v>3.5500000000000003</v>
      </c>
      <c r="N442" s="325"/>
      <c r="O442" s="325"/>
      <c r="P442" s="325"/>
      <c r="Q442" s="325"/>
      <c r="R442" s="17" t="str">
        <f t="shared" si="57"/>
        <v>C</v>
      </c>
      <c r="S442" s="328"/>
      <c r="T442" s="328"/>
      <c r="U442" s="328"/>
      <c r="V442" s="328"/>
    </row>
    <row r="443" spans="1:22" ht="48" x14ac:dyDescent="0.25">
      <c r="A443" s="343"/>
      <c r="B443" s="343"/>
      <c r="C443" s="334"/>
      <c r="D443" s="331"/>
      <c r="E443" s="11" t="str">
        <f>Apreciación!A170</f>
        <v>Docentes</v>
      </c>
      <c r="F443" s="11" t="str">
        <f>Apreciación!E170</f>
        <v>Cuenta de 54.4. Considero que los equipos de apoyo audiovisual a disposición del programa académico al cual pertenezco son: SOPORTADOS POR PERSONAL DEBIDAMENTE CAPACITADO</v>
      </c>
      <c r="G443" s="203">
        <f>Apreciación!F170</f>
        <v>3.7037037037037035E-2</v>
      </c>
      <c r="H443" s="203">
        <f>Apreciación!G170</f>
        <v>7.407407407407407E-2</v>
      </c>
      <c r="I443" s="203">
        <f>Apreciación!H170</f>
        <v>0.37037037037037035</v>
      </c>
      <c r="J443" s="203">
        <f>Apreciación!I170</f>
        <v>0.48148148148148145</v>
      </c>
      <c r="K443" s="203">
        <f>Apreciación!J170</f>
        <v>3.7037037037037035E-2</v>
      </c>
      <c r="L443" s="203">
        <f>Apreciación!K170</f>
        <v>0</v>
      </c>
      <c r="M443" s="91">
        <f t="shared" si="58"/>
        <v>3.85</v>
      </c>
      <c r="N443" s="326"/>
      <c r="O443" s="325"/>
      <c r="P443" s="325"/>
      <c r="Q443" s="325"/>
      <c r="R443" s="17" t="str">
        <f t="shared" si="57"/>
        <v>C</v>
      </c>
      <c r="S443" s="329"/>
      <c r="T443" s="328"/>
      <c r="U443" s="328"/>
      <c r="V443" s="328"/>
    </row>
    <row r="444" spans="1:22" ht="48" x14ac:dyDescent="0.25">
      <c r="A444" s="343"/>
      <c r="B444" s="343"/>
      <c r="C444" s="334"/>
      <c r="D444" s="331"/>
      <c r="E444" s="11" t="str">
        <f>Apreciación!A229</f>
        <v>Administrativos</v>
      </c>
      <c r="F444" s="11" t="str">
        <f>Apreciación!E229</f>
        <v>Cuenta de 10.1. Considero que los laboratorios y talleres disponibles de los programas académicos con los cuales me he relacionado son: SUFICIENTES.</v>
      </c>
      <c r="G444" s="203">
        <f>Apreciación!F229</f>
        <v>0.14035087719298245</v>
      </c>
      <c r="H444" s="203">
        <f>Apreciación!G229</f>
        <v>0.12280701754385964</v>
      </c>
      <c r="I444" s="203">
        <f>Apreciación!H229</f>
        <v>0.35087719298245612</v>
      </c>
      <c r="J444" s="203">
        <f>Apreciación!I229</f>
        <v>0.21052631578947367</v>
      </c>
      <c r="K444" s="203">
        <f>Apreciación!J229</f>
        <v>5.2631578947368418E-2</v>
      </c>
      <c r="L444" s="203">
        <f>Apreciación!K229</f>
        <v>0.12280701754385964</v>
      </c>
      <c r="M444" s="91">
        <f t="shared" si="58"/>
        <v>3.0333333333333332</v>
      </c>
      <c r="N444" s="324">
        <f>AVERAGE(M444:M450)</f>
        <v>3.331516290726817</v>
      </c>
      <c r="O444" s="325"/>
      <c r="P444" s="325"/>
      <c r="Q444" s="325"/>
      <c r="R444" s="17" t="str">
        <f t="shared" si="57"/>
        <v>D</v>
      </c>
      <c r="S444" s="327" t="str">
        <f>IF(((N444&gt;=$Z$4)*AND(N444&lt;=$AA$4)),$Y$4,IF(((N444&gt;$AA$4)*AND(N444&lt;=$AA$5)),$Y$5,IF(((N444&gt;$AA$5)*AND(N444&lt;=$AA$6)),$Y$6,IF(((N444&gt;$AA$6)*AND(N444&lt;=$AA$7)),$Y$7,IF(((N444&gt;$AA$7)*AND(N444&lt;=$AA$8)),$Y$8,IF(EXACT(N444,$Y$9),$Z$9))))))</f>
        <v>D</v>
      </c>
      <c r="T444" s="328"/>
      <c r="U444" s="328"/>
      <c r="V444" s="328"/>
    </row>
    <row r="445" spans="1:22" ht="60" x14ac:dyDescent="0.25">
      <c r="A445" s="343"/>
      <c r="B445" s="343"/>
      <c r="C445" s="334"/>
      <c r="D445" s="331"/>
      <c r="E445" s="11" t="str">
        <f>Apreciación!A232</f>
        <v>Administrativos</v>
      </c>
      <c r="F445" s="11" t="str">
        <f>Apreciación!E232</f>
        <v>Cuenta de 10.4. Considero que los laboratorios y talleres disponibles de los programas académicos con los cuales me he relacionado son: APOYADOS POR PERSONAL DEBIDAMENTE CAPACITADO.</v>
      </c>
      <c r="G445" s="203">
        <f>Apreciación!F232</f>
        <v>3.5087719298245612E-2</v>
      </c>
      <c r="H445" s="203">
        <f>Apreciación!G232</f>
        <v>8.771929824561403E-3</v>
      </c>
      <c r="I445" s="203">
        <f>Apreciación!H232</f>
        <v>0.14035087719298245</v>
      </c>
      <c r="J445" s="203">
        <f>Apreciación!I232</f>
        <v>0.35087719298245612</v>
      </c>
      <c r="K445" s="203">
        <f>Apreciación!J232</f>
        <v>0.33333333333333331</v>
      </c>
      <c r="L445" s="203">
        <f>Apreciación!K232</f>
        <v>0.13157894736842105</v>
      </c>
      <c r="M445" s="91">
        <f t="shared" si="58"/>
        <v>3.6618421052631573</v>
      </c>
      <c r="N445" s="325"/>
      <c r="O445" s="325"/>
      <c r="P445" s="325"/>
      <c r="Q445" s="325"/>
      <c r="R445" s="17" t="str">
        <f t="shared" si="57"/>
        <v>C</v>
      </c>
      <c r="S445" s="328"/>
      <c r="T445" s="328"/>
      <c r="U445" s="328"/>
      <c r="V445" s="328"/>
    </row>
    <row r="446" spans="1:22" ht="48" x14ac:dyDescent="0.25">
      <c r="A446" s="343"/>
      <c r="B446" s="343"/>
      <c r="C446" s="334"/>
      <c r="D446" s="331"/>
      <c r="E446" s="11" t="str">
        <f>Apreciación!A233</f>
        <v>Administrativos</v>
      </c>
      <c r="F446" s="11" t="str">
        <f>Apreciación!E233</f>
        <v>Cuenta de 10.5. Considero que los laboratorios y talleres disponibles de los programas académicos con los cuales me he relacionado son: VENTILADOS.</v>
      </c>
      <c r="G446" s="203">
        <f>Apreciación!F233</f>
        <v>3.5087719298245612E-2</v>
      </c>
      <c r="H446" s="203">
        <f>Apreciación!G233</f>
        <v>9.6491228070175433E-2</v>
      </c>
      <c r="I446" s="203">
        <f>Apreciación!H233</f>
        <v>0.33333333333333331</v>
      </c>
      <c r="J446" s="203">
        <f>Apreciación!I233</f>
        <v>0.2807017543859649</v>
      </c>
      <c r="K446" s="203">
        <f>Apreciación!J233</f>
        <v>9.6491228070175433E-2</v>
      </c>
      <c r="L446" s="203">
        <f>Apreciación!K233</f>
        <v>0.15789473684210525</v>
      </c>
      <c r="M446" s="91">
        <f t="shared" si="58"/>
        <v>3.2149122807017547</v>
      </c>
      <c r="N446" s="325"/>
      <c r="O446" s="325"/>
      <c r="P446" s="325"/>
      <c r="Q446" s="325"/>
      <c r="R446" s="17" t="str">
        <f t="shared" si="57"/>
        <v>D</v>
      </c>
      <c r="S446" s="328"/>
      <c r="T446" s="328"/>
      <c r="U446" s="328"/>
      <c r="V446" s="328"/>
    </row>
    <row r="447" spans="1:22" ht="48" x14ac:dyDescent="0.25">
      <c r="A447" s="343"/>
      <c r="B447" s="343"/>
      <c r="C447" s="334"/>
      <c r="D447" s="331"/>
      <c r="E447" s="11" t="str">
        <f>Apreciación!A234</f>
        <v>Administrativos</v>
      </c>
      <c r="F447" s="11" t="str">
        <f>Apreciación!E234</f>
        <v>Cuenta de 10.6. Considero que los laboratorios y talleres disponibles de los programas académicos con los cuales me he relacionado son: ILUMINADOS</v>
      </c>
      <c r="G447" s="203">
        <f>Apreciación!F234</f>
        <v>1.7543859649122806E-2</v>
      </c>
      <c r="H447" s="203">
        <f>Apreciación!G234</f>
        <v>3.5087719298245612E-2</v>
      </c>
      <c r="I447" s="203">
        <f>Apreciación!H234</f>
        <v>0.26315789473684209</v>
      </c>
      <c r="J447" s="203">
        <f>Apreciación!I234</f>
        <v>0.40350877192982454</v>
      </c>
      <c r="K447" s="203">
        <f>Apreciación!J234</f>
        <v>0.14035087719298245</v>
      </c>
      <c r="L447" s="203">
        <f>Apreciación!K234</f>
        <v>0.14035087719298245</v>
      </c>
      <c r="M447" s="91">
        <f t="shared" si="58"/>
        <v>3.4684210526315788</v>
      </c>
      <c r="N447" s="325"/>
      <c r="O447" s="325"/>
      <c r="P447" s="325"/>
      <c r="Q447" s="325"/>
      <c r="R447" s="17" t="str">
        <f t="shared" si="57"/>
        <v>D</v>
      </c>
      <c r="S447" s="328"/>
      <c r="T447" s="328"/>
      <c r="U447" s="328"/>
      <c r="V447" s="328"/>
    </row>
    <row r="448" spans="1:22" ht="48" x14ac:dyDescent="0.25">
      <c r="A448" s="343"/>
      <c r="B448" s="343"/>
      <c r="C448" s="334"/>
      <c r="D448" s="331"/>
      <c r="E448" s="11" t="str">
        <f>Apreciación!A235</f>
        <v>Administrativos</v>
      </c>
      <c r="F448" s="11" t="str">
        <f>Apreciación!E235</f>
        <v>Cuenta de 10.7. Considero que los laboratorios y talleres disponibles de los programas académicos con los cuales me he relacionado son: DISEÑADOS SEGÚN NORMAS DE SEGURIDAD.</v>
      </c>
      <c r="G448" s="203">
        <f>Apreciación!F235</f>
        <v>6.1403508771929821E-2</v>
      </c>
      <c r="H448" s="203">
        <f>Apreciación!G235</f>
        <v>0.16666666666666666</v>
      </c>
      <c r="I448" s="203">
        <f>Apreciación!H235</f>
        <v>0.23684210526315788</v>
      </c>
      <c r="J448" s="203">
        <f>Apreciación!I235</f>
        <v>0.2982456140350877</v>
      </c>
      <c r="K448" s="203">
        <f>Apreciación!J235</f>
        <v>7.8947368421052627E-2</v>
      </c>
      <c r="L448" s="203">
        <f>Apreciación!K235</f>
        <v>0.15789473684210525</v>
      </c>
      <c r="M448" s="91">
        <f t="shared" si="58"/>
        <v>3.0999999999999996</v>
      </c>
      <c r="N448" s="325"/>
      <c r="O448" s="325"/>
      <c r="P448" s="325"/>
      <c r="Q448" s="325"/>
      <c r="R448" s="17" t="str">
        <f t="shared" si="57"/>
        <v>D</v>
      </c>
      <c r="S448" s="328"/>
      <c r="T448" s="328"/>
      <c r="U448" s="328"/>
      <c r="V448" s="328"/>
    </row>
    <row r="449" spans="1:22" ht="48" x14ac:dyDescent="0.25">
      <c r="A449" s="343"/>
      <c r="B449" s="343"/>
      <c r="C449" s="334"/>
      <c r="D449" s="331"/>
      <c r="E449" s="11" t="str">
        <f>Apreciación!A236</f>
        <v>Administrativos</v>
      </c>
      <c r="F449" s="11" t="str">
        <f>Apreciación!E236</f>
        <v>Cuenta de 11.1. Considero que los equipos de apoyo audiovisual a disposición de los programas académicos con los cuales me he relacionado son: SUFICIENTES.</v>
      </c>
      <c r="G449" s="203">
        <f>Apreciación!F236</f>
        <v>0.10526315789473684</v>
      </c>
      <c r="H449" s="203">
        <f>Apreciación!G236</f>
        <v>0.15789473684210525</v>
      </c>
      <c r="I449" s="203">
        <f>Apreciación!H236</f>
        <v>0.37719298245614036</v>
      </c>
      <c r="J449" s="203">
        <f>Apreciación!I236</f>
        <v>0.20175438596491227</v>
      </c>
      <c r="K449" s="203">
        <f>Apreciación!J236</f>
        <v>5.2631578947368418E-2</v>
      </c>
      <c r="L449" s="203">
        <f>Apreciación!K236</f>
        <v>0.10526315789473684</v>
      </c>
      <c r="M449" s="91">
        <f t="shared" si="58"/>
        <v>3.1377192982456137</v>
      </c>
      <c r="N449" s="325"/>
      <c r="O449" s="325"/>
      <c r="P449" s="325"/>
      <c r="Q449" s="325"/>
      <c r="R449" s="17" t="str">
        <f t="shared" si="57"/>
        <v>D</v>
      </c>
      <c r="S449" s="328"/>
      <c r="T449" s="328"/>
      <c r="U449" s="328"/>
      <c r="V449" s="328"/>
    </row>
    <row r="450" spans="1:22" ht="60" x14ac:dyDescent="0.25">
      <c r="A450" s="344"/>
      <c r="B450" s="344"/>
      <c r="C450" s="335"/>
      <c r="D450" s="332"/>
      <c r="E450" s="11" t="str">
        <f>Apreciación!A239</f>
        <v>Administrativos</v>
      </c>
      <c r="F450" s="11" t="str">
        <f>Apreciación!E239</f>
        <v>Cuenta de 11.4. Considero que los equipos de apoyo audiovisual a disposición de los programas académicos con los cuales me he relacionado son: SOPORTADOS POR PERSONAL DEBIDAMENTE CAPACITADO.</v>
      </c>
      <c r="G450" s="203">
        <f>Apreciación!F239</f>
        <v>2.6315789473684209E-2</v>
      </c>
      <c r="H450" s="203">
        <f>Apreciación!G239</f>
        <v>1.7543859649122806E-2</v>
      </c>
      <c r="I450" s="203">
        <f>Apreciación!H239</f>
        <v>0.16666666666666666</v>
      </c>
      <c r="J450" s="203">
        <f>Apreciación!I239</f>
        <v>0.39473684210526316</v>
      </c>
      <c r="K450" s="203">
        <f>Apreciación!J239</f>
        <v>0.2807017543859649</v>
      </c>
      <c r="L450" s="203">
        <f>Apreciación!K239</f>
        <v>0.11403508771929824</v>
      </c>
      <c r="M450" s="91">
        <f t="shared" si="58"/>
        <v>3.704385964912281</v>
      </c>
      <c r="N450" s="326"/>
      <c r="O450" s="326"/>
      <c r="P450" s="326"/>
      <c r="Q450" s="326"/>
      <c r="R450" s="17" t="str">
        <f t="shared" si="57"/>
        <v>C</v>
      </c>
      <c r="S450" s="329"/>
      <c r="T450" s="329"/>
      <c r="U450" s="329"/>
      <c r="V450" s="329"/>
    </row>
    <row r="451" spans="1:22" ht="60" x14ac:dyDescent="0.25">
      <c r="A451" s="342">
        <v>5</v>
      </c>
      <c r="B451" s="342">
        <v>27</v>
      </c>
      <c r="C451" s="58" t="str">
        <f>Final!E158</f>
        <v>a</v>
      </c>
      <c r="D451" s="59" t="str">
        <f>Final!F158</f>
        <v>Existencia, aplicación y seguimiento de políticas institucionales en materia de incorporación de referentes académicos externos, nacionales e internacionales para la revisión y actualización del plan de estudio.</v>
      </c>
      <c r="E451" s="61" t="s">
        <v>64</v>
      </c>
      <c r="F451" s="61" t="s">
        <v>64</v>
      </c>
      <c r="G451" s="204" t="s">
        <v>64</v>
      </c>
      <c r="H451" s="204" t="s">
        <v>64</v>
      </c>
      <c r="I451" s="204" t="s">
        <v>64</v>
      </c>
      <c r="J451" s="204" t="s">
        <v>64</v>
      </c>
      <c r="K451" s="204" t="s">
        <v>64</v>
      </c>
      <c r="L451" s="204" t="s">
        <v>64</v>
      </c>
      <c r="M451" s="92" t="s">
        <v>64</v>
      </c>
      <c r="N451" s="92" t="s">
        <v>64</v>
      </c>
      <c r="O451" s="92" t="s">
        <v>64</v>
      </c>
      <c r="P451" s="324" t="s">
        <v>64</v>
      </c>
      <c r="Q451" s="324" t="str">
        <f>P462</f>
        <v>NA</v>
      </c>
      <c r="R451" s="17" t="str">
        <f>IF(((M451&gt;=$Z$4)*AND(M451&lt;=$AA$4)),$Y$4,IF(((M451&gt;$AA$4)*AND(M451&lt;=$AA$5)),$Y$5,IF(((M451&gt;$AA$5)*AND(M451&lt;=$AA$6)),$Y$6,IF(((M451&gt;$AA$6)*AND(M451&lt;=$AA$7)),$Y$7,IF(((M451&gt;$AA$7)*AND(M451&lt;=$AA$8)),$Y$8,IF(EXACT(M451,$Y$9),$Z$9))))))</f>
        <v>NA</v>
      </c>
      <c r="S451" s="17" t="str">
        <f>IF(((N451&gt;=$Z$4)*AND(N451&lt;=$AA$4)),$Y$4,IF(((N451&gt;$AA$4)*AND(N451&lt;=$AA$5)),$Y$5,IF(((N451&gt;$AA$5)*AND(N451&lt;=$AA$6)),$Y$6,IF(((N451&gt;$AA$6)*AND(N451&lt;=$AA$7)),$Y$7,IF(((N451&gt;$AA$7)*AND(N451&lt;=$AA$8)),$Y$8,IF(EXACT(N451,$Y$9),$Z$9))))))</f>
        <v>NA</v>
      </c>
      <c r="T451" s="17" t="str">
        <f>IF(((O451&gt;=$Z$4)*AND(O451&lt;=$AA$4)),$Y$4,IF(((O451&gt;$AA$4)*AND(O451&lt;=$AA$5)),$Y$5,IF(((O451&gt;$AA$5)*AND(O451&lt;=$AA$6)),$Y$6,IF(((O451&gt;$AA$6)*AND(O451&lt;=$AA$7)),$Y$7,IF(((O451&gt;$AA$7)*AND(O451&lt;=$AA$8)),$Y$8,IF(EXACT(O451,$Y$9),$Z$9))))))</f>
        <v>NA</v>
      </c>
      <c r="U451" s="327" t="str">
        <f>IF(((P451&gt;=$Z$4)*AND(P451&lt;=$AA$4)),$Y$4,IF(((P451&gt;$AA$4)*AND(P451&lt;=$AA$5)),$Y$5,IF(((P451&gt;$AA$5)*AND(P451&lt;=$AA$6)),$Y$6,IF(((P451&gt;$AA$6)*AND(P451&lt;=$AA$7)),$Y$7,IF(((P451&gt;$AA$7)*AND(P451&lt;=$AA$8)),$Y$8,IF(EXACT(P451,$Y$9),$Z$9))))))</f>
        <v>NA</v>
      </c>
      <c r="V451" s="327" t="str">
        <f>IF(((Q451&gt;=$Z$4)*AND(Q451&lt;=$AA$4)),$Y$4,IF(((Q451&gt;$AA$4)*AND(Q451&lt;=$AA$5)),$Y$5,IF(((Q451&gt;$AA$5)*AND(Q451&lt;=$AA$6)),$Y$6,IF(((Q451&gt;$AA$6)*AND(Q451&lt;=$AA$7)),$Y$7,IF(((Q451&gt;$AA$7)*AND(Q451&lt;=$AA$8)),$Y$8,IF(EXACT(Q451,$Y$9),$Z$9))))))</f>
        <v>NA</v>
      </c>
    </row>
    <row r="452" spans="1:22" ht="60" x14ac:dyDescent="0.25">
      <c r="A452" s="343"/>
      <c r="B452" s="343"/>
      <c r="C452" s="58" t="str">
        <f>Final!E159</f>
        <v>b</v>
      </c>
      <c r="D452" s="59" t="str">
        <f>Final!F159</f>
        <v>Existencia de propuestas en curso y actividades ejecutadas para la revisión y actualización del plan de estudios, donde se tengan en cuenta referentes académicos externos, nacionales e internacionales.</v>
      </c>
      <c r="E452" s="61" t="s">
        <v>64</v>
      </c>
      <c r="F452" s="61" t="s">
        <v>64</v>
      </c>
      <c r="G452" s="204" t="s">
        <v>64</v>
      </c>
      <c r="H452" s="204" t="s">
        <v>64</v>
      </c>
      <c r="I452" s="204" t="s">
        <v>64</v>
      </c>
      <c r="J452" s="204" t="s">
        <v>64</v>
      </c>
      <c r="K452" s="204" t="s">
        <v>64</v>
      </c>
      <c r="L452" s="204" t="s">
        <v>64</v>
      </c>
      <c r="M452" s="92" t="s">
        <v>64</v>
      </c>
      <c r="N452" s="92" t="s">
        <v>64</v>
      </c>
      <c r="O452" s="92" t="s">
        <v>64</v>
      </c>
      <c r="P452" s="325"/>
      <c r="Q452" s="325"/>
      <c r="R452" s="17" t="str">
        <f t="shared" ref="R452:R563" si="59">IF(((M452&gt;=$Z$4)*AND(M452&lt;=$AA$4)),$Y$4,IF(((M452&gt;$AA$4)*AND(M452&lt;=$AA$5)),$Y$5,IF(((M452&gt;$AA$5)*AND(M452&lt;=$AA$6)),$Y$6,IF(((M452&gt;$AA$6)*AND(M452&lt;=$AA$7)),$Y$7,IF(((M452&gt;$AA$7)*AND(M452&lt;=$AA$8)),$Y$8,IF(EXACT(M452,$Y$9),$Z$9))))))</f>
        <v>NA</v>
      </c>
      <c r="S452" s="17" t="str">
        <f t="shared" ref="S452:S563" si="60">IF(((N452&gt;=$Z$4)*AND(N452&lt;=$AA$4)),$Y$4,IF(((N452&gt;$AA$4)*AND(N452&lt;=$AA$5)),$Y$5,IF(((N452&gt;$AA$5)*AND(N452&lt;=$AA$6)),$Y$6,IF(((N452&gt;$AA$6)*AND(N452&lt;=$AA$7)),$Y$7,IF(((N452&gt;$AA$7)*AND(N452&lt;=$AA$8)),$Y$8,IF(EXACT(N452,$Y$9),$Z$9))))))</f>
        <v>NA</v>
      </c>
      <c r="T452" s="17" t="str">
        <f t="shared" ref="T452:T563" si="61">IF(((O452&gt;=$Z$4)*AND(O452&lt;=$AA$4)),$Y$4,IF(((O452&gt;$AA$4)*AND(O452&lt;=$AA$5)),$Y$5,IF(((O452&gt;$AA$5)*AND(O452&lt;=$AA$6)),$Y$6,IF(((O452&gt;$AA$6)*AND(O452&lt;=$AA$7)),$Y$7,IF(((O452&gt;$AA$7)*AND(O452&lt;=$AA$8)),$Y$8,IF(EXACT(O452,$Y$9),$Z$9))))))</f>
        <v>NA</v>
      </c>
      <c r="U452" s="328"/>
      <c r="V452" s="328"/>
    </row>
    <row r="453" spans="1:22" ht="60" x14ac:dyDescent="0.25">
      <c r="A453" s="343"/>
      <c r="B453" s="343"/>
      <c r="C453" s="58" t="str">
        <f>Final!E160</f>
        <v>c</v>
      </c>
      <c r="D453" s="59" t="str">
        <f>Final!F160</f>
        <v>Actividades desarrolladas por los proyectos curriculares en las que se discuta y realicen análisis sistemáticos de comparabilidad con otros programas nacionales e internacionales de la misma naturaleza.</v>
      </c>
      <c r="E453" s="61" t="s">
        <v>64</v>
      </c>
      <c r="F453" s="61" t="s">
        <v>64</v>
      </c>
      <c r="G453" s="204" t="s">
        <v>64</v>
      </c>
      <c r="H453" s="204" t="s">
        <v>64</v>
      </c>
      <c r="I453" s="204" t="s">
        <v>64</v>
      </c>
      <c r="J453" s="204" t="s">
        <v>64</v>
      </c>
      <c r="K453" s="204" t="s">
        <v>64</v>
      </c>
      <c r="L453" s="204" t="s">
        <v>64</v>
      </c>
      <c r="M453" s="92" t="s">
        <v>64</v>
      </c>
      <c r="N453" s="92" t="s">
        <v>64</v>
      </c>
      <c r="O453" s="92" t="s">
        <v>64</v>
      </c>
      <c r="P453" s="325"/>
      <c r="Q453" s="325"/>
      <c r="R453" s="17" t="str">
        <f t="shared" si="59"/>
        <v>NA</v>
      </c>
      <c r="S453" s="17" t="str">
        <f t="shared" si="60"/>
        <v>NA</v>
      </c>
      <c r="T453" s="17" t="str">
        <f t="shared" si="61"/>
        <v>NA</v>
      </c>
      <c r="U453" s="328"/>
      <c r="V453" s="328"/>
    </row>
    <row r="454" spans="1:22" ht="84" x14ac:dyDescent="0.25">
      <c r="A454" s="343"/>
      <c r="B454" s="343"/>
      <c r="C454" s="58" t="str">
        <f>Final!E161</f>
        <v>d</v>
      </c>
      <c r="D454" s="59" t="str">
        <f>Final!F161</f>
        <v>Acuerdos y convenios activos de cooperación académica, establecidos y desarrollados por el proyecto curricular con instituciones y programas de alta calidad y reconocimiento nacional e internacional, o con instituciones reconocidas de diversa índole relacionados con el campo de formación del proyecto curricular.</v>
      </c>
      <c r="E454" s="61" t="s">
        <v>64</v>
      </c>
      <c r="F454" s="61" t="s">
        <v>64</v>
      </c>
      <c r="G454" s="204" t="s">
        <v>64</v>
      </c>
      <c r="H454" s="204" t="s">
        <v>64</v>
      </c>
      <c r="I454" s="204" t="s">
        <v>64</v>
      </c>
      <c r="J454" s="204" t="s">
        <v>64</v>
      </c>
      <c r="K454" s="204" t="s">
        <v>64</v>
      </c>
      <c r="L454" s="204" t="s">
        <v>64</v>
      </c>
      <c r="M454" s="92" t="s">
        <v>64</v>
      </c>
      <c r="N454" s="92" t="s">
        <v>64</v>
      </c>
      <c r="O454" s="92" t="s">
        <v>64</v>
      </c>
      <c r="P454" s="325"/>
      <c r="Q454" s="325"/>
      <c r="R454" s="17" t="str">
        <f t="shared" si="59"/>
        <v>NA</v>
      </c>
      <c r="S454" s="17" t="str">
        <f t="shared" si="60"/>
        <v>NA</v>
      </c>
      <c r="T454" s="17" t="str">
        <f t="shared" si="61"/>
        <v>NA</v>
      </c>
      <c r="U454" s="328"/>
      <c r="V454" s="328"/>
    </row>
    <row r="455" spans="1:22" ht="84" x14ac:dyDescent="0.25">
      <c r="A455" s="343"/>
      <c r="B455" s="343"/>
      <c r="C455" s="143" t="str">
        <f>Final!E162</f>
        <v>e</v>
      </c>
      <c r="D455" s="142" t="str">
        <f>Final!F162</f>
        <v>Actividades de cooperación académica desarrolladas por el proyecto curricular con instituciones y programas de alta calidad y(o reconocimiento nacional e internacional, o con instituciones reconocidas de diverso índole, que permitan el desarrollo del campo de conocimiento del proyecto curricular.</v>
      </c>
      <c r="E455" s="61" t="s">
        <v>64</v>
      </c>
      <c r="F455" s="61" t="s">
        <v>64</v>
      </c>
      <c r="G455" s="204" t="s">
        <v>64</v>
      </c>
      <c r="H455" s="204" t="s">
        <v>64</v>
      </c>
      <c r="I455" s="204" t="s">
        <v>64</v>
      </c>
      <c r="J455" s="204" t="s">
        <v>64</v>
      </c>
      <c r="K455" s="204" t="s">
        <v>64</v>
      </c>
      <c r="L455" s="204" t="s">
        <v>64</v>
      </c>
      <c r="M455" s="146" t="s">
        <v>64</v>
      </c>
      <c r="N455" s="146" t="s">
        <v>64</v>
      </c>
      <c r="O455" s="146" t="s">
        <v>64</v>
      </c>
      <c r="P455" s="325"/>
      <c r="Q455" s="325"/>
      <c r="R455" s="17" t="str">
        <f t="shared" si="59"/>
        <v>NA</v>
      </c>
      <c r="S455" s="17" t="str">
        <f t="shared" si="60"/>
        <v>NA</v>
      </c>
      <c r="T455" s="144" t="str">
        <f t="shared" si="61"/>
        <v>NA</v>
      </c>
      <c r="U455" s="328"/>
      <c r="V455" s="328"/>
    </row>
    <row r="456" spans="1:22" ht="132" x14ac:dyDescent="0.25">
      <c r="A456" s="343"/>
      <c r="B456" s="343"/>
      <c r="C456" s="58" t="str">
        <f>Final!E163</f>
        <v>f</v>
      </c>
      <c r="D456" s="59" t="str">
        <f>Final!F163</f>
        <v>Proyectos de investigación, innovación, creación artística y cultural y/o proyección, desarrollados como producto de la cooperación académica y profesional y realizada por directivos, profesores y estudiantes del proyecto curricular, con miembros de comunidades nacionales e internacionales de reconocido liderazgo en el área del proyecto curricular, o con miembros de comunidades cuyo conocimiento es considerado fundamental y de gran valor dentro del contexto del proyecto curricular y/o la disciplina.</v>
      </c>
      <c r="E456" s="61" t="s">
        <v>64</v>
      </c>
      <c r="F456" s="61" t="s">
        <v>64</v>
      </c>
      <c r="G456" s="204" t="s">
        <v>64</v>
      </c>
      <c r="H456" s="204" t="s">
        <v>64</v>
      </c>
      <c r="I456" s="204" t="s">
        <v>64</v>
      </c>
      <c r="J456" s="204" t="s">
        <v>64</v>
      </c>
      <c r="K456" s="204" t="s">
        <v>64</v>
      </c>
      <c r="L456" s="204" t="s">
        <v>64</v>
      </c>
      <c r="M456" s="92" t="s">
        <v>64</v>
      </c>
      <c r="N456" s="92" t="s">
        <v>64</v>
      </c>
      <c r="O456" s="92" t="s">
        <v>64</v>
      </c>
      <c r="P456" s="325"/>
      <c r="Q456" s="325"/>
      <c r="R456" s="17" t="str">
        <f t="shared" si="59"/>
        <v>NA</v>
      </c>
      <c r="S456" s="17" t="str">
        <f t="shared" si="60"/>
        <v>NA</v>
      </c>
      <c r="T456" s="17" t="str">
        <f t="shared" si="61"/>
        <v>NA</v>
      </c>
      <c r="U456" s="328"/>
      <c r="V456" s="328"/>
    </row>
    <row r="457" spans="1:22" ht="96" x14ac:dyDescent="0.25">
      <c r="A457" s="343"/>
      <c r="B457" s="343"/>
      <c r="C457" s="58" t="str">
        <f>Final!E164</f>
        <v>g</v>
      </c>
      <c r="D457" s="59" t="str">
        <f>Final!F164</f>
        <v>Profesores, estudiantes y directivos del proyecto curricular con participación activa en redes u organismos nacionales e internacionales de la que se hayan derivado productos concretos como publicaciones en coautoría, cofinanciación de proyectos, registros y patentes, entre otros, de acuerdo al campo de conocimiento del proyecto curricular.</v>
      </c>
      <c r="E457" s="61" t="s">
        <v>64</v>
      </c>
      <c r="F457" s="61" t="s">
        <v>64</v>
      </c>
      <c r="G457" s="204" t="s">
        <v>64</v>
      </c>
      <c r="H457" s="204" t="s">
        <v>64</v>
      </c>
      <c r="I457" s="204" t="s">
        <v>64</v>
      </c>
      <c r="J457" s="204" t="s">
        <v>64</v>
      </c>
      <c r="K457" s="204" t="s">
        <v>64</v>
      </c>
      <c r="L457" s="204" t="s">
        <v>64</v>
      </c>
      <c r="M457" s="92" t="s">
        <v>64</v>
      </c>
      <c r="N457" s="92" t="s">
        <v>64</v>
      </c>
      <c r="O457" s="92" t="s">
        <v>64</v>
      </c>
      <c r="P457" s="325"/>
      <c r="Q457" s="325"/>
      <c r="R457" s="17" t="str">
        <f t="shared" si="59"/>
        <v>NA</v>
      </c>
      <c r="S457" s="17" t="str">
        <f t="shared" si="60"/>
        <v>NA</v>
      </c>
      <c r="T457" s="17" t="str">
        <f t="shared" si="61"/>
        <v>NA</v>
      </c>
      <c r="U457" s="328"/>
      <c r="V457" s="328"/>
    </row>
    <row r="458" spans="1:22" ht="48" x14ac:dyDescent="0.25">
      <c r="A458" s="343"/>
      <c r="B458" s="343"/>
      <c r="C458" s="58" t="str">
        <f>Final!E165</f>
        <v>h</v>
      </c>
      <c r="D458" s="59" t="str">
        <f>Final!F165</f>
        <v>Existencia de estudios o iniciativas en curso, sobre posibilidades de doble titulación con otras instituciones, de acuerdo con el tipo y naturaleza del proyecto curricular.</v>
      </c>
      <c r="E458" s="61" t="s">
        <v>64</v>
      </c>
      <c r="F458" s="61" t="s">
        <v>64</v>
      </c>
      <c r="G458" s="204" t="s">
        <v>64</v>
      </c>
      <c r="H458" s="204" t="s">
        <v>64</v>
      </c>
      <c r="I458" s="204" t="s">
        <v>64</v>
      </c>
      <c r="J458" s="204" t="s">
        <v>64</v>
      </c>
      <c r="K458" s="204" t="s">
        <v>64</v>
      </c>
      <c r="L458" s="204" t="s">
        <v>64</v>
      </c>
      <c r="M458" s="92" t="s">
        <v>64</v>
      </c>
      <c r="N458" s="92" t="s">
        <v>64</v>
      </c>
      <c r="O458" s="92" t="s">
        <v>64</v>
      </c>
      <c r="P458" s="325"/>
      <c r="Q458" s="325"/>
      <c r="R458" s="17" t="str">
        <f t="shared" si="59"/>
        <v>NA</v>
      </c>
      <c r="S458" s="17" t="str">
        <f t="shared" si="60"/>
        <v>NA</v>
      </c>
      <c r="T458" s="17" t="str">
        <f t="shared" si="61"/>
        <v>NA</v>
      </c>
      <c r="U458" s="328"/>
      <c r="V458" s="328"/>
    </row>
    <row r="459" spans="1:22" ht="60" x14ac:dyDescent="0.25">
      <c r="A459" s="343"/>
      <c r="B459" s="343"/>
      <c r="C459" s="58" t="str">
        <f>Final!E166</f>
        <v>i</v>
      </c>
      <c r="D459" s="59" t="str">
        <f>Final!F166</f>
        <v>Introducción de modificaciones y ajustes en el plan de estudios surgidos a partir de la interacción con comunidades académicas nacionales e internacionales y evaluación del impacto de dichas modificaciones.</v>
      </c>
      <c r="E459" s="61" t="s">
        <v>64</v>
      </c>
      <c r="F459" s="61" t="s">
        <v>64</v>
      </c>
      <c r="G459" s="204" t="s">
        <v>64</v>
      </c>
      <c r="H459" s="204" t="s">
        <v>64</v>
      </c>
      <c r="I459" s="204" t="s">
        <v>64</v>
      </c>
      <c r="J459" s="204" t="s">
        <v>64</v>
      </c>
      <c r="K459" s="204" t="s">
        <v>64</v>
      </c>
      <c r="L459" s="204" t="s">
        <v>64</v>
      </c>
      <c r="M459" s="92" t="s">
        <v>64</v>
      </c>
      <c r="N459" s="92" t="s">
        <v>64</v>
      </c>
      <c r="O459" s="92" t="s">
        <v>64</v>
      </c>
      <c r="P459" s="325"/>
      <c r="Q459" s="325"/>
      <c r="R459" s="17" t="str">
        <f t="shared" si="59"/>
        <v>NA</v>
      </c>
      <c r="S459" s="17" t="str">
        <f t="shared" si="60"/>
        <v>NA</v>
      </c>
      <c r="T459" s="17" t="str">
        <f t="shared" si="61"/>
        <v>NA</v>
      </c>
      <c r="U459" s="328"/>
      <c r="V459" s="328"/>
    </row>
    <row r="460" spans="1:22" ht="41.25" customHeight="1" x14ac:dyDescent="0.25">
      <c r="A460" s="343"/>
      <c r="B460" s="343"/>
      <c r="C460" s="143" t="str">
        <f>Final!E167</f>
        <v>j</v>
      </c>
      <c r="D460" s="142" t="str">
        <f>Final!F167</f>
        <v>Evidencias del impacto social que ha generado la inserción del proyecto curricular en contextos académicos o profesionales nacionales e internacionales relacionados con el campo de formación, de acuerdo a su naturaleza y sus objetivos de formación.</v>
      </c>
      <c r="E460" s="61" t="s">
        <v>64</v>
      </c>
      <c r="F460" s="61" t="s">
        <v>64</v>
      </c>
      <c r="G460" s="204" t="s">
        <v>64</v>
      </c>
      <c r="H460" s="204" t="s">
        <v>64</v>
      </c>
      <c r="I460" s="204" t="s">
        <v>64</v>
      </c>
      <c r="J460" s="204" t="s">
        <v>64</v>
      </c>
      <c r="K460" s="204" t="s">
        <v>64</v>
      </c>
      <c r="L460" s="204" t="s">
        <v>64</v>
      </c>
      <c r="M460" s="146" t="s">
        <v>64</v>
      </c>
      <c r="N460" s="146" t="s">
        <v>64</v>
      </c>
      <c r="O460" s="146" t="s">
        <v>64</v>
      </c>
      <c r="P460" s="325"/>
      <c r="Q460" s="325"/>
      <c r="R460" s="17" t="str">
        <f t="shared" si="59"/>
        <v>NA</v>
      </c>
      <c r="S460" s="17" t="str">
        <f t="shared" si="60"/>
        <v>NA</v>
      </c>
      <c r="T460" s="144" t="str">
        <f t="shared" si="61"/>
        <v>NA</v>
      </c>
      <c r="U460" s="328"/>
      <c r="V460" s="328"/>
    </row>
    <row r="461" spans="1:22" ht="48" x14ac:dyDescent="0.25">
      <c r="A461" s="343"/>
      <c r="B461" s="344"/>
      <c r="C461" s="58" t="str">
        <f>Final!E168</f>
        <v>k</v>
      </c>
      <c r="D461" s="59" t="str">
        <f>Final!F168</f>
        <v>Inversión efectivamente realizada por la institución para los fines de internacionalización del currículo del proyecto curricular, en los últimos cinco años.</v>
      </c>
      <c r="E461" s="61" t="s">
        <v>64</v>
      </c>
      <c r="F461" s="61" t="s">
        <v>64</v>
      </c>
      <c r="G461" s="204" t="s">
        <v>64</v>
      </c>
      <c r="H461" s="204" t="s">
        <v>64</v>
      </c>
      <c r="I461" s="204" t="s">
        <v>64</v>
      </c>
      <c r="J461" s="204" t="s">
        <v>64</v>
      </c>
      <c r="K461" s="204" t="s">
        <v>64</v>
      </c>
      <c r="L461" s="204" t="s">
        <v>64</v>
      </c>
      <c r="M461" s="146" t="s">
        <v>64</v>
      </c>
      <c r="N461" s="146" t="s">
        <v>64</v>
      </c>
      <c r="O461" s="146" t="s">
        <v>64</v>
      </c>
      <c r="P461" s="326"/>
      <c r="Q461" s="325"/>
      <c r="R461" s="17" t="str">
        <f t="shared" si="59"/>
        <v>NA</v>
      </c>
      <c r="S461" s="17" t="str">
        <f t="shared" si="60"/>
        <v>NA</v>
      </c>
      <c r="T461" s="17" t="str">
        <f t="shared" si="61"/>
        <v>NA</v>
      </c>
      <c r="U461" s="329"/>
      <c r="V461" s="328"/>
    </row>
    <row r="462" spans="1:22" ht="24" x14ac:dyDescent="0.25">
      <c r="A462" s="343"/>
      <c r="B462" s="342">
        <v>28</v>
      </c>
      <c r="C462" s="58" t="str">
        <f>Final!E169</f>
        <v>a</v>
      </c>
      <c r="D462" s="59" t="str">
        <f>Final!F169</f>
        <v>Convenios activos de intercambio con universidades nacionales y extranjeras.</v>
      </c>
      <c r="E462" s="61" t="s">
        <v>64</v>
      </c>
      <c r="F462" s="61" t="s">
        <v>64</v>
      </c>
      <c r="G462" s="204" t="s">
        <v>64</v>
      </c>
      <c r="H462" s="204" t="s">
        <v>64</v>
      </c>
      <c r="I462" s="204" t="s">
        <v>64</v>
      </c>
      <c r="J462" s="204" t="s">
        <v>64</v>
      </c>
      <c r="K462" s="204" t="s">
        <v>64</v>
      </c>
      <c r="L462" s="204" t="s">
        <v>64</v>
      </c>
      <c r="M462" s="94" t="s">
        <v>64</v>
      </c>
      <c r="N462" s="94" t="s">
        <v>64</v>
      </c>
      <c r="O462" s="94" t="s">
        <v>64</v>
      </c>
      <c r="P462" s="324" t="s">
        <v>64</v>
      </c>
      <c r="Q462" s="325"/>
      <c r="R462" s="17" t="str">
        <f t="shared" si="59"/>
        <v>NA</v>
      </c>
      <c r="S462" s="17" t="str">
        <f t="shared" si="60"/>
        <v>NA</v>
      </c>
      <c r="T462" s="17" t="str">
        <f t="shared" si="61"/>
        <v>NA</v>
      </c>
      <c r="U462" s="327" t="str">
        <f>IF(((P462&gt;=$Z$4)*AND(P462&lt;=$AA$4)),$Y$4,IF(((P462&gt;$AA$4)*AND(P462&lt;=$AA$5)),$Y$5,IF(((P462&gt;$AA$5)*AND(P462&lt;=$AA$6)),$Y$6,IF(((P462&gt;$AA$6)*AND(P462&lt;=$AA$7)),$Y$7,IF(((P462&gt;$AA$7)*AND(P462&lt;=$AA$8)),$Y$8,IF(EXACT(P462,$Y$9),$Z$9))))))</f>
        <v>NA</v>
      </c>
      <c r="V462" s="328"/>
    </row>
    <row r="463" spans="1:22" ht="24" x14ac:dyDescent="0.25">
      <c r="A463" s="343"/>
      <c r="B463" s="343"/>
      <c r="C463" s="58" t="str">
        <f>Final!E170</f>
        <v>b</v>
      </c>
      <c r="D463" s="59" t="str">
        <f>Final!F170</f>
        <v>Número de estudiantes extranjeros en el proyecto curricular en los últimos 5 años.</v>
      </c>
      <c r="E463" s="61" t="s">
        <v>64</v>
      </c>
      <c r="F463" s="61" t="s">
        <v>64</v>
      </c>
      <c r="G463" s="204" t="s">
        <v>64</v>
      </c>
      <c r="H463" s="204" t="s">
        <v>64</v>
      </c>
      <c r="I463" s="204" t="s">
        <v>64</v>
      </c>
      <c r="J463" s="204" t="s">
        <v>64</v>
      </c>
      <c r="K463" s="204" t="s">
        <v>64</v>
      </c>
      <c r="L463" s="204" t="s">
        <v>64</v>
      </c>
      <c r="M463" s="94" t="s">
        <v>64</v>
      </c>
      <c r="N463" s="94" t="s">
        <v>64</v>
      </c>
      <c r="O463" s="94" t="s">
        <v>64</v>
      </c>
      <c r="P463" s="325"/>
      <c r="Q463" s="325"/>
      <c r="R463" s="17" t="str">
        <f t="shared" si="59"/>
        <v>NA</v>
      </c>
      <c r="S463" s="17" t="str">
        <f t="shared" si="60"/>
        <v>NA</v>
      </c>
      <c r="T463" s="17" t="str">
        <f t="shared" si="61"/>
        <v>NA</v>
      </c>
      <c r="U463" s="328"/>
      <c r="V463" s="328"/>
    </row>
    <row r="464" spans="1:22" ht="36" x14ac:dyDescent="0.25">
      <c r="A464" s="343"/>
      <c r="B464" s="343"/>
      <c r="C464" s="58" t="str">
        <f>Final!E171</f>
        <v>c</v>
      </c>
      <c r="D464" s="59" t="str">
        <f>Final!F171</f>
        <v>Experiencias de homologación de cursos realizados en otros programas nacionales o extranjeros.</v>
      </c>
      <c r="E464" s="61" t="s">
        <v>64</v>
      </c>
      <c r="F464" s="61" t="s">
        <v>64</v>
      </c>
      <c r="G464" s="204" t="s">
        <v>64</v>
      </c>
      <c r="H464" s="204" t="s">
        <v>64</v>
      </c>
      <c r="I464" s="204" t="s">
        <v>64</v>
      </c>
      <c r="J464" s="204" t="s">
        <v>64</v>
      </c>
      <c r="K464" s="204" t="s">
        <v>64</v>
      </c>
      <c r="L464" s="204" t="s">
        <v>64</v>
      </c>
      <c r="M464" s="94" t="s">
        <v>64</v>
      </c>
      <c r="N464" s="94" t="s">
        <v>64</v>
      </c>
      <c r="O464" s="94" t="s">
        <v>64</v>
      </c>
      <c r="P464" s="325"/>
      <c r="Q464" s="325"/>
      <c r="R464" s="17" t="str">
        <f t="shared" si="59"/>
        <v>NA</v>
      </c>
      <c r="S464" s="17" t="str">
        <f t="shared" si="60"/>
        <v>NA</v>
      </c>
      <c r="T464" s="17" t="str">
        <f t="shared" si="61"/>
        <v>NA</v>
      </c>
      <c r="U464" s="328"/>
      <c r="V464" s="328"/>
    </row>
    <row r="465" spans="1:22" ht="48" x14ac:dyDescent="0.25">
      <c r="A465" s="343"/>
      <c r="B465" s="343"/>
      <c r="C465" s="58" t="str">
        <f>Final!E172</f>
        <v>d</v>
      </c>
      <c r="D465" s="59" t="str">
        <f>Final!F172</f>
        <v>Profesores o expertos visitantes nacionales y extranjeros que ha recibido el proyecto curricular en los últimos cinco años (objetivos, duración y resultados de su estadía).</v>
      </c>
      <c r="E465" s="61" t="s">
        <v>64</v>
      </c>
      <c r="F465" s="61" t="s">
        <v>64</v>
      </c>
      <c r="G465" s="204" t="s">
        <v>64</v>
      </c>
      <c r="H465" s="204" t="s">
        <v>64</v>
      </c>
      <c r="I465" s="204" t="s">
        <v>64</v>
      </c>
      <c r="J465" s="204" t="s">
        <v>64</v>
      </c>
      <c r="K465" s="204" t="s">
        <v>64</v>
      </c>
      <c r="L465" s="204" t="s">
        <v>64</v>
      </c>
      <c r="M465" s="94" t="s">
        <v>64</v>
      </c>
      <c r="N465" s="94" t="s">
        <v>64</v>
      </c>
      <c r="O465" s="94" t="s">
        <v>64</v>
      </c>
      <c r="P465" s="325"/>
      <c r="Q465" s="325"/>
      <c r="R465" s="17" t="str">
        <f t="shared" si="59"/>
        <v>NA</v>
      </c>
      <c r="S465" s="17" t="str">
        <f t="shared" si="60"/>
        <v>NA</v>
      </c>
      <c r="T465" s="17" t="str">
        <f t="shared" si="61"/>
        <v>NA</v>
      </c>
      <c r="U465" s="328"/>
      <c r="V465" s="328"/>
    </row>
    <row r="466" spans="1:22" ht="192" x14ac:dyDescent="0.25">
      <c r="A466" s="343"/>
      <c r="B466" s="343"/>
      <c r="C466" s="143" t="str">
        <f>Final!E173</f>
        <v>e</v>
      </c>
      <c r="D466" s="142" t="str">
        <f>Final!F173</f>
        <v>Profesores y estudiantes adscritos al proyecto curricular que en los últimos cinco años han participado en actividades de cooperación académica y profesional con programas nacionales e internacionales de reconocido liderazgo en el área (semestre académico de intercambio, pasantía o práctica, rotación médica, curso corto, misión, profesor visitante/conferencia, estancia de investigación, estudios de postgrado, profesor en programa de pregrado y/o postgrado, congresos, foros, seminarios, simposios, educación continuada, par académico, parques tecnológicos, incubadoras de empresas, mesas y ruedas de negociación económica y tecnológica, entre otros).</v>
      </c>
      <c r="E466" s="61" t="s">
        <v>64</v>
      </c>
      <c r="F466" s="61" t="s">
        <v>64</v>
      </c>
      <c r="G466" s="204" t="s">
        <v>64</v>
      </c>
      <c r="H466" s="204" t="s">
        <v>64</v>
      </c>
      <c r="I466" s="204" t="s">
        <v>64</v>
      </c>
      <c r="J466" s="204" t="s">
        <v>64</v>
      </c>
      <c r="K466" s="204" t="s">
        <v>64</v>
      </c>
      <c r="L466" s="204" t="s">
        <v>64</v>
      </c>
      <c r="M466" s="146" t="s">
        <v>64</v>
      </c>
      <c r="N466" s="146" t="s">
        <v>64</v>
      </c>
      <c r="O466" s="146" t="s">
        <v>64</v>
      </c>
      <c r="P466" s="325"/>
      <c r="Q466" s="325"/>
      <c r="R466" s="17" t="str">
        <f t="shared" si="59"/>
        <v>NA</v>
      </c>
      <c r="S466" s="17" t="str">
        <f t="shared" si="60"/>
        <v>NA</v>
      </c>
      <c r="T466" s="144" t="str">
        <f t="shared" si="61"/>
        <v>NA</v>
      </c>
      <c r="U466" s="328"/>
      <c r="V466" s="328"/>
    </row>
    <row r="467" spans="1:22" ht="48" x14ac:dyDescent="0.25">
      <c r="A467" s="343"/>
      <c r="B467" s="343"/>
      <c r="C467" s="58" t="str">
        <f>Final!E174</f>
        <v>f</v>
      </c>
      <c r="D467" s="59" t="str">
        <f>Final!F174</f>
        <v>Resultados efectivos de la participación de profesores y estudiantes adscritos al proyecto curricular en actividades de cooperación académica.</v>
      </c>
      <c r="E467" s="61" t="s">
        <v>64</v>
      </c>
      <c r="F467" s="61" t="s">
        <v>64</v>
      </c>
      <c r="G467" s="204" t="s">
        <v>64</v>
      </c>
      <c r="H467" s="204" t="s">
        <v>64</v>
      </c>
      <c r="I467" s="204" t="s">
        <v>64</v>
      </c>
      <c r="J467" s="204" t="s">
        <v>64</v>
      </c>
      <c r="K467" s="204" t="s">
        <v>64</v>
      </c>
      <c r="L467" s="204" t="s">
        <v>64</v>
      </c>
      <c r="M467" s="146" t="s">
        <v>64</v>
      </c>
      <c r="N467" s="146" t="s">
        <v>64</v>
      </c>
      <c r="O467" s="146" t="s">
        <v>64</v>
      </c>
      <c r="P467" s="325"/>
      <c r="Q467" s="325"/>
      <c r="R467" s="17" t="str">
        <f t="shared" si="59"/>
        <v>NA</v>
      </c>
      <c r="S467" s="17" t="str">
        <f t="shared" si="60"/>
        <v>NA</v>
      </c>
      <c r="T467" s="17" t="str">
        <f t="shared" si="61"/>
        <v>NA</v>
      </c>
      <c r="U467" s="328"/>
      <c r="V467" s="328"/>
    </row>
    <row r="468" spans="1:22" ht="72" x14ac:dyDescent="0.25">
      <c r="A468" s="343"/>
      <c r="B468" s="343"/>
      <c r="C468" s="58" t="str">
        <f>Final!E175</f>
        <v>g</v>
      </c>
      <c r="D468" s="59" t="str">
        <f>Final!F175</f>
        <v>Participación de profesores adscritos al proyecto curricular en redes académicas, culturales, artísticas, científicas, técnicas y tecnológicas, económicas, a nivel nacional e internacional, de acuerdo con el tipo y modalidad del proyecto curricular.</v>
      </c>
      <c r="E468" s="61" t="s">
        <v>64</v>
      </c>
      <c r="F468" s="61" t="s">
        <v>64</v>
      </c>
      <c r="G468" s="204" t="s">
        <v>64</v>
      </c>
      <c r="H468" s="204" t="s">
        <v>64</v>
      </c>
      <c r="I468" s="204" t="s">
        <v>64</v>
      </c>
      <c r="J468" s="204" t="s">
        <v>64</v>
      </c>
      <c r="K468" s="204" t="s">
        <v>64</v>
      </c>
      <c r="L468" s="204" t="s">
        <v>64</v>
      </c>
      <c r="M468" s="146" t="s">
        <v>64</v>
      </c>
      <c r="N468" s="146" t="s">
        <v>64</v>
      </c>
      <c r="O468" s="146" t="s">
        <v>64</v>
      </c>
      <c r="P468" s="325"/>
      <c r="Q468" s="325"/>
      <c r="R468" s="17" t="str">
        <f t="shared" si="59"/>
        <v>NA</v>
      </c>
      <c r="S468" s="17" t="str">
        <f t="shared" si="60"/>
        <v>NA</v>
      </c>
      <c r="T468" s="17" t="str">
        <f t="shared" si="61"/>
        <v>NA</v>
      </c>
      <c r="U468" s="328"/>
      <c r="V468" s="328"/>
    </row>
    <row r="469" spans="1:22" ht="60" x14ac:dyDescent="0.25">
      <c r="A469" s="344"/>
      <c r="B469" s="344"/>
      <c r="C469" s="58" t="str">
        <f>Final!E176</f>
        <v>h</v>
      </c>
      <c r="D469" s="59" t="str">
        <f>Final!F176</f>
        <v>Inversión efectiva (directa o indirecta) destinada por la Universidad Distrital para financiar los proyectos de movilidad en doble vía, realizados por los estudiantes y profesores adscritos al proyecto curricular en los últimos cinco años.</v>
      </c>
      <c r="E469" s="61" t="s">
        <v>64</v>
      </c>
      <c r="F469" s="61" t="s">
        <v>64</v>
      </c>
      <c r="G469" s="204" t="s">
        <v>64</v>
      </c>
      <c r="H469" s="204" t="s">
        <v>64</v>
      </c>
      <c r="I469" s="204" t="s">
        <v>64</v>
      </c>
      <c r="J469" s="204" t="s">
        <v>64</v>
      </c>
      <c r="K469" s="204" t="s">
        <v>64</v>
      </c>
      <c r="L469" s="204" t="s">
        <v>64</v>
      </c>
      <c r="M469" s="94" t="s">
        <v>64</v>
      </c>
      <c r="N469" s="94" t="s">
        <v>64</v>
      </c>
      <c r="O469" s="94" t="s">
        <v>64</v>
      </c>
      <c r="P469" s="326"/>
      <c r="Q469" s="326"/>
      <c r="R469" s="17" t="str">
        <f t="shared" si="59"/>
        <v>NA</v>
      </c>
      <c r="S469" s="17" t="str">
        <f t="shared" si="60"/>
        <v>NA</v>
      </c>
      <c r="T469" s="17" t="str">
        <f t="shared" si="61"/>
        <v>NA</v>
      </c>
      <c r="U469" s="329"/>
      <c r="V469" s="329"/>
    </row>
    <row r="470" spans="1:22" ht="33.75" customHeight="1" x14ac:dyDescent="0.25">
      <c r="A470" s="342">
        <v>6</v>
      </c>
      <c r="B470" s="342">
        <v>29</v>
      </c>
      <c r="C470" s="333" t="str">
        <f>Final!E177</f>
        <v>a</v>
      </c>
      <c r="D470" s="330" t="str">
        <f>Final!F177</f>
        <v>Criterios, estrategias y actividades del programa orientado a promover la capacidad de indagación y búsqueda, y la formación de un espíritu investigativo, creativo e innovador en los estudiantes.</v>
      </c>
      <c r="E470" s="11" t="str">
        <f>Apreciación!A76</f>
        <v>Estudiantes</v>
      </c>
      <c r="F470" s="11" t="str">
        <f>Apreciación!E76</f>
        <v>Cuenta de 53. Mi programa académico promueve la participación en proyectos de investigación.</v>
      </c>
      <c r="G470" s="203">
        <f>Apreciación!F76</f>
        <v>8.9820359281437126E-2</v>
      </c>
      <c r="H470" s="203">
        <f>Apreciación!G76</f>
        <v>7.7844311377245512E-2</v>
      </c>
      <c r="I470" s="203">
        <f>Apreciación!H76</f>
        <v>0.27544910179640719</v>
      </c>
      <c r="J470" s="203">
        <f>Apreciación!I76</f>
        <v>0.32335329341317365</v>
      </c>
      <c r="K470" s="203">
        <f>Apreciación!J76</f>
        <v>0.19760479041916168</v>
      </c>
      <c r="L470" s="203">
        <f>Apreciación!K76</f>
        <v>3.5928143712574849E-2</v>
      </c>
      <c r="M470" s="18">
        <f t="shared" ref="M470:M486" si="62">(G470*$G$2)+(H470*$H$2)+(I470*$I$2)+(J470*$J$2)+(K470*$K$2)+(L470*$L$2)</f>
        <v>3.6982035928143713</v>
      </c>
      <c r="N470" s="63">
        <f>AVERAGE(M470)</f>
        <v>3.6982035928143713</v>
      </c>
      <c r="O470" s="324">
        <f>(N470*$AE$5)+(N474*$AE$4)+(AVERAGE(N470:N475)*$AE$6)+(AVERAGE(N470:N475)*$AE$8)+(N471*$AE$7)</f>
        <v>3.6742795889702076</v>
      </c>
      <c r="P470" s="324">
        <f>AVERAGE(O470:O486)</f>
        <v>3.4689882580517981</v>
      </c>
      <c r="Q470" s="324">
        <f>(P470*Ponderación!D30)+(P487*Ponderación!D31)</f>
        <v>3.3133223737709763</v>
      </c>
      <c r="R470" s="17" t="str">
        <f t="shared" si="59"/>
        <v>C</v>
      </c>
      <c r="S470" s="17" t="str">
        <f t="shared" si="60"/>
        <v>C</v>
      </c>
      <c r="T470" s="327" t="str">
        <f t="shared" si="61"/>
        <v>C</v>
      </c>
      <c r="U470" s="327" t="str">
        <f>IF(((P470&gt;=$Z$4)*AND(P470&lt;=$AA$4)),$Y$4,IF(((P470&gt;$AA$4)*AND(P470&lt;=$AA$5)),$Y$5,IF(((P470&gt;$AA$5)*AND(P470&lt;=$AA$6)),$Y$6,IF(((P470&gt;$AA$6)*AND(P470&lt;=$AA$7)),$Y$7,IF(((P470&gt;$AA$7)*AND(P470&lt;=$AA$8)),$Y$8,IF(EXACT(P470,$Y$9),$Z$9))))))</f>
        <v>D</v>
      </c>
      <c r="V470" s="327" t="str">
        <f>IF(((Q470&gt;=$Z$4)*AND(Q470&lt;=$AA$4)),$Y$4,IF(((Q470&gt;$AA$4)*AND(Q470&lt;=$AA$5)),$Y$5,IF(((Q470&gt;$AA$5)*AND(Q470&lt;=$AA$6)),$Y$6,IF(((Q470&gt;$AA$6)*AND(Q470&lt;=$AA$7)),$Y$7,IF(((Q470&gt;$AA$7)*AND(Q470&lt;=$AA$8)),$Y$8,IF(EXACT(Q470,$Y$9),$Z$9))))))</f>
        <v>D</v>
      </c>
    </row>
    <row r="471" spans="1:22" ht="24" x14ac:dyDescent="0.25">
      <c r="A471" s="343"/>
      <c r="B471" s="343"/>
      <c r="C471" s="334"/>
      <c r="D471" s="331"/>
      <c r="E471" s="73" t="str">
        <f>Apreciación!A279</f>
        <v>Directivos</v>
      </c>
      <c r="F471" s="133" t="str">
        <f>Apreciación!E279</f>
        <v>Conoce las líneas y proyectos de investigación que se desarrollan actualmente</v>
      </c>
      <c r="G471" s="204">
        <f>Apreciación!F279</f>
        <v>0</v>
      </c>
      <c r="H471" s="204">
        <f>Apreciación!G279</f>
        <v>6.6666666666666666E-2</v>
      </c>
      <c r="I471" s="204">
        <f>Apreciación!H279</f>
        <v>0.2</v>
      </c>
      <c r="J471" s="204">
        <f>Apreciación!I279</f>
        <v>0.13333333333333333</v>
      </c>
      <c r="K471" s="204">
        <f>Apreciación!J279</f>
        <v>0.46666666666666667</v>
      </c>
      <c r="L471" s="204">
        <f>Apreciación!K279</f>
        <v>0.13333333333333333</v>
      </c>
      <c r="M471" s="94">
        <f t="shared" si="62"/>
        <v>3.7133333333333338</v>
      </c>
      <c r="N471" s="324">
        <f>AVERAGE(M471:M473)</f>
        <v>3.6144444444444446</v>
      </c>
      <c r="O471" s="325"/>
      <c r="P471" s="325"/>
      <c r="Q471" s="325"/>
      <c r="R471" s="17" t="str">
        <f>IF(((M471&gt;=$Z$4)*AND(M471&lt;=$AA$4)),$Y$4,IF(((M471&gt;$AA$4)*AND(M471&lt;=$AA$5)),$Y$5,IF(((M471&gt;$AA$5)*AND(M471&lt;=$AA$6)),$Y$6,IF(((M471&gt;$AA$6)*AND(M471&lt;=$AA$7)),$Y$7,IF(((M471&gt;$AA$7)*AND(M471&lt;=$AA$8)),$Y$8,IF(EXACT(M471,$Y$9),$Z$9))))))</f>
        <v>C</v>
      </c>
      <c r="S471" s="327" t="str">
        <f>IF(((N471&gt;=$Z$4)*AND(N471&lt;=$AA$4)),$Y$4,IF(((N471&gt;$AA$4)*AND(N471&lt;=$AA$5)),$Y$5,IF(((N471&gt;$AA$5)*AND(N471&lt;=$AA$6)),$Y$6,IF(((N471&gt;$AA$6)*AND(N471&lt;=$AA$7)),$Y$7,IF(((N471&gt;$AA$7)*AND(N471&lt;=$AA$8)),$Y$8,IF(EXACT(N471,$Y$9),$Z$9))))))</f>
        <v>C</v>
      </c>
      <c r="T471" s="328"/>
      <c r="U471" s="328"/>
      <c r="V471" s="328"/>
    </row>
    <row r="472" spans="1:22" ht="36" x14ac:dyDescent="0.25">
      <c r="A472" s="343"/>
      <c r="B472" s="343"/>
      <c r="C472" s="334"/>
      <c r="D472" s="331"/>
      <c r="E472" s="73" t="str">
        <f>Apreciación!A280</f>
        <v>Directivos</v>
      </c>
      <c r="F472" s="133" t="str">
        <f>Apreciación!E280</f>
        <v>Conoce la prospectiva de presentación de proyectos de investigación en el proyecto curricular y a qué línea le apuntan</v>
      </c>
      <c r="G472" s="204">
        <f>Apreciación!F280</f>
        <v>0</v>
      </c>
      <c r="H472" s="204">
        <f>Apreciación!G280</f>
        <v>0.13333333333333333</v>
      </c>
      <c r="I472" s="204">
        <f>Apreciación!H280</f>
        <v>0</v>
      </c>
      <c r="J472" s="204">
        <f>Apreciación!I280</f>
        <v>0.46666666666666667</v>
      </c>
      <c r="K472" s="204">
        <f>Apreciación!J280</f>
        <v>0.26666666666666666</v>
      </c>
      <c r="L472" s="204">
        <f>Apreciación!K280</f>
        <v>0.13333333333333333</v>
      </c>
      <c r="M472" s="146">
        <f t="shared" si="62"/>
        <v>3.62</v>
      </c>
      <c r="N472" s="325"/>
      <c r="O472" s="325"/>
      <c r="P472" s="325"/>
      <c r="Q472" s="325"/>
      <c r="R472" s="17" t="str">
        <f>IF(((M472&gt;=$Z$4)*AND(M472&lt;=$AA$4)),$Y$4,IF(((M472&gt;$AA$4)*AND(M472&lt;=$AA$5)),$Y$5,IF(((M472&gt;$AA$5)*AND(M472&lt;=$AA$6)),$Y$6,IF(((M472&gt;$AA$6)*AND(M472&lt;=$AA$7)),$Y$7,IF(((M472&gt;$AA$7)*AND(M472&lt;=$AA$8)),$Y$8,IF(EXACT(M472,$Y$9),$Z$9))))))</f>
        <v>C</v>
      </c>
      <c r="S472" s="328"/>
      <c r="T472" s="328"/>
      <c r="U472" s="328"/>
      <c r="V472" s="328"/>
    </row>
    <row r="473" spans="1:22" ht="36" x14ac:dyDescent="0.25">
      <c r="A473" s="343"/>
      <c r="B473" s="343"/>
      <c r="C473" s="334"/>
      <c r="D473" s="331"/>
      <c r="E473" s="73" t="str">
        <f>Apreciación!A281</f>
        <v>Directivos</v>
      </c>
      <c r="F473" s="133" t="str">
        <f>Apreciación!E281</f>
        <v>Menciona las líneas a las que apuntan los proyectos de investigación en el proyecto curricular</v>
      </c>
      <c r="G473" s="204">
        <f>Apreciación!F281</f>
        <v>0</v>
      </c>
      <c r="H473" s="204">
        <f>Apreciación!G281</f>
        <v>0.2</v>
      </c>
      <c r="I473" s="204">
        <f>Apreciación!H281</f>
        <v>0.2</v>
      </c>
      <c r="J473" s="204">
        <f>Apreciación!I281</f>
        <v>6.6666666666666666E-2</v>
      </c>
      <c r="K473" s="204">
        <f>Apreciación!J281</f>
        <v>0.4</v>
      </c>
      <c r="L473" s="204">
        <f>Apreciación!K281</f>
        <v>0.13333333333333333</v>
      </c>
      <c r="M473" s="146">
        <f t="shared" si="62"/>
        <v>3.5100000000000002</v>
      </c>
      <c r="N473" s="326"/>
      <c r="O473" s="325"/>
      <c r="P473" s="325"/>
      <c r="Q473" s="325"/>
      <c r="R473" s="17" t="str">
        <f>IF(((M473&gt;=$Z$4)*AND(M473&lt;=$AA$4)),$Y$4,IF(((M473&gt;$AA$4)*AND(M473&lt;=$AA$5)),$Y$5,IF(((M473&gt;$AA$5)*AND(M473&lt;=$AA$6)),$Y$6,IF(((M473&gt;$AA$6)*AND(M473&lt;=$AA$7)),$Y$7,IF(((M473&gt;$AA$7)*AND(M473&lt;=$AA$8)),$Y$8,IF(EXACT(M473,$Y$9),$Z$9))))))</f>
        <v>C</v>
      </c>
      <c r="S473" s="329"/>
      <c r="T473" s="328"/>
      <c r="U473" s="328"/>
      <c r="V473" s="328"/>
    </row>
    <row r="474" spans="1:22" ht="36" x14ac:dyDescent="0.25">
      <c r="A474" s="343"/>
      <c r="B474" s="343"/>
      <c r="C474" s="334"/>
      <c r="D474" s="331"/>
      <c r="E474" s="73" t="str">
        <f>Apreciación!A148</f>
        <v>Docentes</v>
      </c>
      <c r="F474" s="133" t="str">
        <f>Apreciación!E148</f>
        <v>Cuenta de 45. El programa académico al cual pertenezco incentiva el desarrollo de trabajos de aula con contenido investigativo.</v>
      </c>
      <c r="G474" s="204">
        <f>Apreciación!F148</f>
        <v>3.7037037037037035E-2</v>
      </c>
      <c r="H474" s="204">
        <f>Apreciación!G148</f>
        <v>3.7037037037037035E-2</v>
      </c>
      <c r="I474" s="204">
        <f>Apreciación!H148</f>
        <v>0.1111111111111111</v>
      </c>
      <c r="J474" s="204">
        <f>Apreciación!I148</f>
        <v>0.59259259259259256</v>
      </c>
      <c r="K474" s="204">
        <f>Apreciación!J148</f>
        <v>0.18518518518518517</v>
      </c>
      <c r="L474" s="204">
        <f>Apreciación!K148</f>
        <v>3.7037037037037035E-2</v>
      </c>
      <c r="M474" s="146">
        <f t="shared" si="62"/>
        <v>3.9518518518518517</v>
      </c>
      <c r="N474" s="324">
        <f>AVERAGE(M474:M475)</f>
        <v>3.6768518518518514</v>
      </c>
      <c r="O474" s="325"/>
      <c r="P474" s="325"/>
      <c r="Q474" s="325"/>
      <c r="R474" s="17" t="str">
        <f>IF(((M474&gt;=$Z$4)*AND(M474&lt;=$AA$4)),$Y$4,IF(((M474&gt;$AA$4)*AND(M474&lt;=$AA$5)),$Y$5,IF(((M474&gt;$AA$5)*AND(M474&lt;=$AA$6)),$Y$6,IF(((M474&gt;$AA$6)*AND(M474&lt;=$AA$7)),$Y$7,IF(((M474&gt;$AA$7)*AND(M474&lt;=$AA$8)),$Y$8,IF(EXACT(M474,$Y$9),$Z$9))))))</f>
        <v>C</v>
      </c>
      <c r="S474" s="327" t="str">
        <f>IF(((N474&gt;=$Z$4)*AND(N474&lt;=$AA$4)),$Y$4,IF(((N474&gt;$AA$4)*AND(N474&lt;=$AA$5)),$Y$5,IF(((N474&gt;$AA$5)*AND(N474&lt;=$AA$6)),$Y$6,IF(((N474&gt;$AA$6)*AND(N474&lt;=$AA$7)),$Y$7,IF(((N474&gt;$AA$7)*AND(N474&lt;=$AA$8)),$Y$8,IF(EXACT(N474,$Y$9),$Z$9))))))</f>
        <v>C</v>
      </c>
      <c r="T474" s="328"/>
      <c r="U474" s="328"/>
      <c r="V474" s="328"/>
    </row>
    <row r="475" spans="1:22" ht="36" x14ac:dyDescent="0.25">
      <c r="A475" s="343"/>
      <c r="B475" s="343"/>
      <c r="C475" s="335"/>
      <c r="D475" s="332"/>
      <c r="E475" s="73" t="str">
        <f>Apreciación!A172</f>
        <v>Docentes</v>
      </c>
      <c r="F475" s="133" t="str">
        <f>Apreciación!E172</f>
        <v xml:space="preserve">Cuenta de 56. Considero que el programa académico al cual pertenezco promueve la participación en grupos de investigación. </v>
      </c>
      <c r="G475" s="204">
        <f>Apreciación!F172</f>
        <v>0.18518518518518517</v>
      </c>
      <c r="H475" s="204">
        <f>Apreciación!G172</f>
        <v>7.407407407407407E-2</v>
      </c>
      <c r="I475" s="204">
        <f>Apreciación!H172</f>
        <v>0.14814814814814814</v>
      </c>
      <c r="J475" s="204">
        <f>Apreciación!I172</f>
        <v>0.25925925925925924</v>
      </c>
      <c r="K475" s="204">
        <f>Apreciación!J172</f>
        <v>0.25925925925925924</v>
      </c>
      <c r="L475" s="204">
        <f>Apreciación!K172</f>
        <v>7.407407407407407E-2</v>
      </c>
      <c r="M475" s="146">
        <f t="shared" si="62"/>
        <v>3.4018518518518515</v>
      </c>
      <c r="N475" s="326"/>
      <c r="O475" s="326"/>
      <c r="P475" s="325"/>
      <c r="Q475" s="325"/>
      <c r="R475" s="17" t="str">
        <f>IF(((M475&gt;=$Z$4)*AND(M475&lt;=$AA$4)),$Y$4,IF(((M475&gt;$AA$4)*AND(M475&lt;=$AA$5)),$Y$5,IF(((M475&gt;$AA$5)*AND(M475&lt;=$AA$6)),$Y$6,IF(((M475&gt;$AA$6)*AND(M475&lt;=$AA$7)),$Y$7,IF(((M475&gt;$AA$7)*AND(M475&lt;=$AA$8)),$Y$8,IF(EXACT(M475,$Y$9),$Z$9))))))</f>
        <v>D</v>
      </c>
      <c r="S475" s="329"/>
      <c r="T475" s="329"/>
      <c r="U475" s="328"/>
      <c r="V475" s="328"/>
    </row>
    <row r="476" spans="1:22" ht="84" customHeight="1" x14ac:dyDescent="0.25">
      <c r="A476" s="343"/>
      <c r="B476" s="343"/>
      <c r="C476" s="333" t="str">
        <f>Final!E178</f>
        <v>b</v>
      </c>
      <c r="D476" s="330" t="str">
        <f>Final!F178</f>
        <v>Existencia y utilización de mecanismos por parte de los profesores adscritos al programa para incentivar en los estudiantes la generación de ideas y problemas de investigación, la identificación de problemas en el ámbito empresarial susceptibles de resolver mediante la aplicación del conocimiento y la innovación.</v>
      </c>
      <c r="E476" s="73" t="str">
        <f>Apreciación!A76</f>
        <v>Estudiantes</v>
      </c>
      <c r="F476" s="133" t="str">
        <f>Apreciación!E76</f>
        <v>Cuenta de 53. Mi programa académico promueve la participación en proyectos de investigación.</v>
      </c>
      <c r="G476" s="204">
        <f>Apreciación!F76</f>
        <v>8.9820359281437126E-2</v>
      </c>
      <c r="H476" s="204">
        <f>Apreciación!G76</f>
        <v>7.7844311377245512E-2</v>
      </c>
      <c r="I476" s="204">
        <f>Apreciación!H76</f>
        <v>0.27544910179640719</v>
      </c>
      <c r="J476" s="204">
        <f>Apreciación!I76</f>
        <v>0.32335329341317365</v>
      </c>
      <c r="K476" s="204">
        <f>Apreciación!J76</f>
        <v>0.19760479041916168</v>
      </c>
      <c r="L476" s="204">
        <f>Apreciación!K76</f>
        <v>3.5928143712574849E-2</v>
      </c>
      <c r="M476" s="18">
        <f t="shared" si="62"/>
        <v>3.6982035928143713</v>
      </c>
      <c r="N476" s="63">
        <f>AVERAGE(M476)</f>
        <v>3.6982035928143713</v>
      </c>
      <c r="O476" s="324">
        <f>(N476*$AE$5)+(N477*$AE$4)+(AVERAGE(N476:N477)*$AE$6)+(AVERAGE(N476:N477)*$AE$8)+(AVERAGE(N476:N477)*$AE$7)</f>
        <v>3.8377101352849858</v>
      </c>
      <c r="P476" s="325"/>
      <c r="Q476" s="325"/>
      <c r="R476" s="17" t="str">
        <f t="shared" si="59"/>
        <v>C</v>
      </c>
      <c r="S476" s="17" t="str">
        <f t="shared" si="60"/>
        <v>C</v>
      </c>
      <c r="T476" s="327" t="str">
        <f t="shared" si="61"/>
        <v>C</v>
      </c>
      <c r="U476" s="328"/>
      <c r="V476" s="328"/>
    </row>
    <row r="477" spans="1:22" ht="36" x14ac:dyDescent="0.25">
      <c r="A477" s="343"/>
      <c r="B477" s="343"/>
      <c r="C477" s="335"/>
      <c r="D477" s="332"/>
      <c r="E477" s="73" t="str">
        <f>Apreciación!A148</f>
        <v>Docentes</v>
      </c>
      <c r="F477" s="133" t="str">
        <f>Apreciación!E148</f>
        <v>Cuenta de 45. El programa académico al cual pertenezco incentiva el desarrollo de trabajos de aula con contenido investigativo.</v>
      </c>
      <c r="G477" s="204">
        <f>Apreciación!F148</f>
        <v>3.7037037037037035E-2</v>
      </c>
      <c r="H477" s="204">
        <f>Apreciación!G148</f>
        <v>3.7037037037037035E-2</v>
      </c>
      <c r="I477" s="204">
        <f>Apreciación!H148</f>
        <v>0.1111111111111111</v>
      </c>
      <c r="J477" s="204">
        <f>Apreciación!I148</f>
        <v>0.59259259259259256</v>
      </c>
      <c r="K477" s="204">
        <f>Apreciación!J148</f>
        <v>0.18518518518518517</v>
      </c>
      <c r="L477" s="204">
        <f>Apreciación!K148</f>
        <v>3.7037037037037035E-2</v>
      </c>
      <c r="M477" s="146">
        <f>(G477*$G$2)+(H477*$H$2)+(I477*$I$2)+(J477*$J$2)+(K477*$K$2)+(L477*$L$2)</f>
        <v>3.9518518518518517</v>
      </c>
      <c r="N477" s="141">
        <f>AVERAGE(M477)</f>
        <v>3.9518518518518517</v>
      </c>
      <c r="O477" s="326"/>
      <c r="P477" s="325"/>
      <c r="Q477" s="325"/>
      <c r="R477" s="17" t="str">
        <f>IF(((M477&gt;=$Z$4)*AND(M477&lt;=$AA$4)),$Y$4,IF(((M477&gt;$AA$4)*AND(M477&lt;=$AA$5)),$Y$5,IF(((M477&gt;$AA$5)*AND(M477&lt;=$AA$6)),$Y$6,IF(((M477&gt;$AA$6)*AND(M477&lt;=$AA$7)),$Y$7,IF(((M477&gt;$AA$7)*AND(M477&lt;=$AA$8)),$Y$8,IF(EXACT(M477,$Y$9),$Z$9))))))</f>
        <v>C</v>
      </c>
      <c r="S477" s="17" t="str">
        <f>IF(((N477&gt;=$Z$4)*AND(N477&lt;=$AA$4)),$Y$4,IF(((N477&gt;$AA$4)*AND(N477&lt;=$AA$5)),$Y$5,IF(((N477&gt;$AA$5)*AND(N477&lt;=$AA$6)),$Y$6,IF(((N477&gt;$AA$6)*AND(N477&lt;=$AA$7)),$Y$7,IF(((N477&gt;$AA$7)*AND(N477&lt;=$AA$8)),$Y$8,IF(EXACT(N477,$Y$9),$Z$9))))))</f>
        <v>C</v>
      </c>
      <c r="T477" s="329"/>
      <c r="U477" s="328"/>
      <c r="V477" s="328"/>
    </row>
    <row r="478" spans="1:22" ht="48" x14ac:dyDescent="0.25">
      <c r="A478" s="343"/>
      <c r="B478" s="343"/>
      <c r="C478" s="58" t="str">
        <f>Final!E179</f>
        <v>c</v>
      </c>
      <c r="D478" s="59" t="str">
        <f>Final!F179</f>
        <v>Estudiantes que están vinculados como monitores, auxiliares de investigación e integrantes de semilleros y/o grupos de investigación.</v>
      </c>
      <c r="E478" s="61" t="s">
        <v>64</v>
      </c>
      <c r="F478" s="61" t="s">
        <v>64</v>
      </c>
      <c r="G478" s="204" t="s">
        <v>64</v>
      </c>
      <c r="H478" s="204" t="s">
        <v>64</v>
      </c>
      <c r="I478" s="204" t="s">
        <v>64</v>
      </c>
      <c r="J478" s="204" t="s">
        <v>64</v>
      </c>
      <c r="K478" s="204" t="s">
        <v>64</v>
      </c>
      <c r="L478" s="204" t="s">
        <v>64</v>
      </c>
      <c r="M478" s="146" t="s">
        <v>64</v>
      </c>
      <c r="N478" s="146" t="s">
        <v>64</v>
      </c>
      <c r="O478" s="146" t="s">
        <v>64</v>
      </c>
      <c r="P478" s="325"/>
      <c r="Q478" s="325"/>
      <c r="R478" s="17" t="str">
        <f t="shared" si="59"/>
        <v>NA</v>
      </c>
      <c r="S478" s="17" t="str">
        <f t="shared" si="60"/>
        <v>NA</v>
      </c>
      <c r="T478" s="17" t="str">
        <f t="shared" si="61"/>
        <v>NA</v>
      </c>
      <c r="U478" s="328"/>
      <c r="V478" s="328"/>
    </row>
    <row r="479" spans="1:22" ht="36" x14ac:dyDescent="0.25">
      <c r="A479" s="343"/>
      <c r="B479" s="343"/>
      <c r="C479" s="143" t="str">
        <f>Final!E180</f>
        <v>d</v>
      </c>
      <c r="D479" s="142" t="str">
        <f>Final!F180</f>
        <v>Grupos y semilleros de investigación del programa en los que participan estudiantes de acuerdo con su tipo y modalidad.</v>
      </c>
      <c r="E479" s="61" t="s">
        <v>64</v>
      </c>
      <c r="F479" s="61" t="s">
        <v>64</v>
      </c>
      <c r="G479" s="204" t="s">
        <v>64</v>
      </c>
      <c r="H479" s="204" t="s">
        <v>64</v>
      </c>
      <c r="I479" s="204" t="s">
        <v>64</v>
      </c>
      <c r="J479" s="204" t="s">
        <v>64</v>
      </c>
      <c r="K479" s="204" t="s">
        <v>64</v>
      </c>
      <c r="L479" s="204" t="s">
        <v>64</v>
      </c>
      <c r="M479" s="146" t="s">
        <v>64</v>
      </c>
      <c r="N479" s="146" t="s">
        <v>64</v>
      </c>
      <c r="O479" s="146" t="s">
        <v>64</v>
      </c>
      <c r="P479" s="325"/>
      <c r="Q479" s="325"/>
      <c r="R479" s="17" t="str">
        <f t="shared" si="59"/>
        <v>NA</v>
      </c>
      <c r="S479" s="17" t="str">
        <f t="shared" si="60"/>
        <v>NA</v>
      </c>
      <c r="T479" s="144" t="str">
        <f t="shared" si="61"/>
        <v>NA</v>
      </c>
      <c r="U479" s="328"/>
      <c r="V479" s="328"/>
    </row>
    <row r="480" spans="1:22" ht="60" x14ac:dyDescent="0.25">
      <c r="A480" s="343"/>
      <c r="B480" s="343"/>
      <c r="C480" s="143" t="str">
        <f>Final!E181</f>
        <v>e</v>
      </c>
      <c r="D480" s="142" t="str">
        <f>Final!F181</f>
        <v>Actividades académicas –cursos electivos, seminarios, pasantías, eventos– derivados de líneas de investigación y/o de espacios académicos vinculados a la investigación en los últimos cinco años.</v>
      </c>
      <c r="E480" s="61" t="s">
        <v>64</v>
      </c>
      <c r="F480" s="61" t="s">
        <v>64</v>
      </c>
      <c r="G480" s="204" t="s">
        <v>64</v>
      </c>
      <c r="H480" s="204" t="s">
        <v>64</v>
      </c>
      <c r="I480" s="204" t="s">
        <v>64</v>
      </c>
      <c r="J480" s="204" t="s">
        <v>64</v>
      </c>
      <c r="K480" s="204" t="s">
        <v>64</v>
      </c>
      <c r="L480" s="204" t="s">
        <v>64</v>
      </c>
      <c r="M480" s="146" t="s">
        <v>64</v>
      </c>
      <c r="N480" s="146" t="s">
        <v>64</v>
      </c>
      <c r="O480" s="146" t="s">
        <v>64</v>
      </c>
      <c r="P480" s="325"/>
      <c r="Q480" s="325"/>
      <c r="R480" s="17" t="str">
        <f t="shared" si="59"/>
        <v>NA</v>
      </c>
      <c r="S480" s="17" t="str">
        <f t="shared" si="60"/>
        <v>NA</v>
      </c>
      <c r="T480" s="144" t="str">
        <f t="shared" si="61"/>
        <v>NA</v>
      </c>
      <c r="U480" s="328"/>
      <c r="V480" s="328"/>
    </row>
    <row r="481" spans="1:22" ht="72" x14ac:dyDescent="0.25">
      <c r="A481" s="343"/>
      <c r="B481" s="343"/>
      <c r="C481" s="143" t="str">
        <f>Final!E182</f>
        <v>f</v>
      </c>
      <c r="D481" s="142" t="str">
        <f>Final!F182</f>
        <v>Actividades académicas – pasantías, talleres, actividades conjuntas- relacionadas con la realidad profesional en diversos ámbitos, organizadas desde los primeros semestres con una lógica enfocada en la comprensión de los grados de complejidad.</v>
      </c>
      <c r="E481" s="61" t="s">
        <v>64</v>
      </c>
      <c r="F481" s="61" t="s">
        <v>64</v>
      </c>
      <c r="G481" s="204" t="s">
        <v>64</v>
      </c>
      <c r="H481" s="204" t="s">
        <v>64</v>
      </c>
      <c r="I481" s="204" t="s">
        <v>64</v>
      </c>
      <c r="J481" s="204" t="s">
        <v>64</v>
      </c>
      <c r="K481" s="204" t="s">
        <v>64</v>
      </c>
      <c r="L481" s="204" t="s">
        <v>64</v>
      </c>
      <c r="M481" s="146" t="s">
        <v>64</v>
      </c>
      <c r="N481" s="146" t="s">
        <v>64</v>
      </c>
      <c r="O481" s="146" t="s">
        <v>64</v>
      </c>
      <c r="P481" s="325"/>
      <c r="Q481" s="325"/>
      <c r="R481" s="17" t="str">
        <f t="shared" si="59"/>
        <v>NA</v>
      </c>
      <c r="S481" s="17" t="str">
        <f t="shared" si="60"/>
        <v>NA</v>
      </c>
      <c r="T481" s="144" t="str">
        <f t="shared" si="61"/>
        <v>NA</v>
      </c>
      <c r="U481" s="328"/>
      <c r="V481" s="328"/>
    </row>
    <row r="482" spans="1:22" ht="108" x14ac:dyDescent="0.25">
      <c r="A482" s="343"/>
      <c r="B482" s="343"/>
      <c r="C482" s="143" t="str">
        <f>Final!E183</f>
        <v>g</v>
      </c>
      <c r="D482" s="142" t="str">
        <f>Final!F183</f>
        <v>Existencia dentro del plan de estudios de espacios académicos y de vinculación con el sector productivo o con ámbitos de desarrollo y desempeño profesional según naturaleza del programa donde se analiza la naturaleza de la investigación científica, técnica y tecnológica, la innovación, sus objetos de indagación, sus problemas, oportunidades y sus resultados y soluciones.</v>
      </c>
      <c r="E482" s="61" t="s">
        <v>64</v>
      </c>
      <c r="F482" s="61" t="s">
        <v>64</v>
      </c>
      <c r="G482" s="204" t="s">
        <v>64</v>
      </c>
      <c r="H482" s="204" t="s">
        <v>64</v>
      </c>
      <c r="I482" s="204" t="s">
        <v>64</v>
      </c>
      <c r="J482" s="204" t="s">
        <v>64</v>
      </c>
      <c r="K482" s="204" t="s">
        <v>64</v>
      </c>
      <c r="L482" s="204" t="s">
        <v>64</v>
      </c>
      <c r="M482" s="146" t="s">
        <v>64</v>
      </c>
      <c r="N482" s="146" t="s">
        <v>64</v>
      </c>
      <c r="O482" s="146" t="s">
        <v>64</v>
      </c>
      <c r="P482" s="325"/>
      <c r="Q482" s="325"/>
      <c r="R482" s="17" t="str">
        <f t="shared" si="59"/>
        <v>NA</v>
      </c>
      <c r="S482" s="17" t="str">
        <f t="shared" si="60"/>
        <v>NA</v>
      </c>
      <c r="T482" s="144" t="str">
        <f t="shared" si="61"/>
        <v>NA</v>
      </c>
      <c r="U482" s="328"/>
      <c r="V482" s="328"/>
    </row>
    <row r="483" spans="1:22" ht="36" x14ac:dyDescent="0.25">
      <c r="A483" s="343"/>
      <c r="B483" s="343"/>
      <c r="C483" s="58" t="str">
        <f>Final!E184</f>
        <v>h</v>
      </c>
      <c r="D483" s="59" t="str">
        <f>Final!F184</f>
        <v>Participación de los estudiantes en los programas institucionales de jóvenes investigadores.</v>
      </c>
      <c r="E483" s="61" t="s">
        <v>64</v>
      </c>
      <c r="F483" s="61" t="s">
        <v>64</v>
      </c>
      <c r="G483" s="204" t="s">
        <v>64</v>
      </c>
      <c r="H483" s="204" t="s">
        <v>64</v>
      </c>
      <c r="I483" s="204" t="s">
        <v>64</v>
      </c>
      <c r="J483" s="204" t="s">
        <v>64</v>
      </c>
      <c r="K483" s="204" t="s">
        <v>64</v>
      </c>
      <c r="L483" s="204" t="s">
        <v>64</v>
      </c>
      <c r="M483" s="146" t="s">
        <v>64</v>
      </c>
      <c r="N483" s="146" t="s">
        <v>64</v>
      </c>
      <c r="O483" s="146" t="s">
        <v>64</v>
      </c>
      <c r="P483" s="325"/>
      <c r="Q483" s="325"/>
      <c r="R483" s="17" t="str">
        <f t="shared" si="59"/>
        <v>NA</v>
      </c>
      <c r="S483" s="17" t="str">
        <f t="shared" si="60"/>
        <v>NA</v>
      </c>
      <c r="T483" s="17" t="str">
        <f t="shared" si="61"/>
        <v>NA</v>
      </c>
      <c r="U483" s="328"/>
      <c r="V483" s="328"/>
    </row>
    <row r="484" spans="1:22" ht="36" x14ac:dyDescent="0.25">
      <c r="A484" s="343"/>
      <c r="B484" s="343"/>
      <c r="C484" s="143" t="str">
        <f>Final!E185</f>
        <v>i</v>
      </c>
      <c r="D484" s="142" t="str">
        <f>Final!F185</f>
        <v>Participación de los estudiantes en proyectos Universidad Empresa Estado que adelante la Institución.</v>
      </c>
      <c r="E484" s="61" t="s">
        <v>64</v>
      </c>
      <c r="F484" s="61" t="s">
        <v>64</v>
      </c>
      <c r="G484" s="204" t="s">
        <v>64</v>
      </c>
      <c r="H484" s="204" t="s">
        <v>64</v>
      </c>
      <c r="I484" s="204" t="s">
        <v>64</v>
      </c>
      <c r="J484" s="204" t="s">
        <v>64</v>
      </c>
      <c r="K484" s="204" t="s">
        <v>64</v>
      </c>
      <c r="L484" s="204" t="s">
        <v>64</v>
      </c>
      <c r="M484" s="146" t="s">
        <v>64</v>
      </c>
      <c r="N484" s="146" t="s">
        <v>64</v>
      </c>
      <c r="O484" s="146" t="s">
        <v>64</v>
      </c>
      <c r="P484" s="325"/>
      <c r="Q484" s="325"/>
      <c r="R484" s="17" t="str">
        <f t="shared" si="59"/>
        <v>NA</v>
      </c>
      <c r="S484" s="17" t="str">
        <f t="shared" si="60"/>
        <v>NA</v>
      </c>
      <c r="T484" s="144" t="str">
        <f t="shared" si="61"/>
        <v>NA</v>
      </c>
      <c r="U484" s="328"/>
      <c r="V484" s="328"/>
    </row>
    <row r="485" spans="1:22" ht="36" customHeight="1" x14ac:dyDescent="0.25">
      <c r="A485" s="343"/>
      <c r="B485" s="343"/>
      <c r="C485" s="333" t="str">
        <f>Final!E186</f>
        <v>j</v>
      </c>
      <c r="D485" s="330" t="str">
        <f>Final!F186</f>
        <v>Participación de los estudiantes en programas de innovación como: transferencia de conocimiento, emprendimiento y creatividad.</v>
      </c>
      <c r="E485" s="11" t="str">
        <f>Apreciación!A78</f>
        <v>Estudiantes</v>
      </c>
      <c r="F485" s="11" t="str">
        <f>Apreciación!E78</f>
        <v>Cuenta de 55. Participo o he participado en grupos y redes académicas externas a la Universidad Distrital Francisco José de Caldas.</v>
      </c>
      <c r="G485" s="203">
        <f>Apreciación!F78</f>
        <v>0.39520958083832336</v>
      </c>
      <c r="H485" s="203">
        <f>Apreciación!G78</f>
        <v>0.1377245508982036</v>
      </c>
      <c r="I485" s="203">
        <f>Apreciación!H78</f>
        <v>0.15568862275449102</v>
      </c>
      <c r="J485" s="203">
        <f>Apreciación!I78</f>
        <v>0.11377245508982035</v>
      </c>
      <c r="K485" s="203">
        <f>Apreciación!J78</f>
        <v>7.7844311377245512E-2</v>
      </c>
      <c r="L485" s="203">
        <f>Apreciación!K78</f>
        <v>0.11976047904191617</v>
      </c>
      <c r="M485" s="18">
        <f t="shared" si="62"/>
        <v>2.5017964071856289</v>
      </c>
      <c r="N485" s="63">
        <f>AVERAGE(M485)</f>
        <v>2.5017964071856289</v>
      </c>
      <c r="O485" s="324">
        <f>(N485*$AE$5)+(N486*$AE$4)+(AVERAGE(N485:N486)*$AE$6)+(AVERAGE(N485:N486)*$AE$8)+(AVERAGE(N485:N486)*$AE$7)</f>
        <v>2.8949750499002</v>
      </c>
      <c r="P485" s="325"/>
      <c r="Q485" s="325"/>
      <c r="R485" s="17" t="str">
        <f t="shared" si="59"/>
        <v>D</v>
      </c>
      <c r="S485" s="17" t="str">
        <f t="shared" si="60"/>
        <v>D</v>
      </c>
      <c r="T485" s="327" t="str">
        <f t="shared" si="61"/>
        <v>D</v>
      </c>
      <c r="U485" s="328"/>
      <c r="V485" s="328"/>
    </row>
    <row r="486" spans="1:22" ht="36" x14ac:dyDescent="0.25">
      <c r="A486" s="343"/>
      <c r="B486" s="344"/>
      <c r="C486" s="335"/>
      <c r="D486" s="332"/>
      <c r="E486" s="11" t="str">
        <f>Apreciación!A173</f>
        <v>Docentes</v>
      </c>
      <c r="F486" s="11" t="str">
        <f>Apreciación!E173</f>
        <v xml:space="preserve">Cuenta de 57. El programa académico al cual pertenezco muestra una dinámica de integración a redes académicas externas. </v>
      </c>
      <c r="G486" s="203">
        <f>Apreciación!F173</f>
        <v>0.14814814814814814</v>
      </c>
      <c r="H486" s="203">
        <f>Apreciación!G173</f>
        <v>0.1111111111111111</v>
      </c>
      <c r="I486" s="203">
        <f>Apreciación!H173</f>
        <v>0.40740740740740738</v>
      </c>
      <c r="J486" s="203">
        <f>Apreciación!I173</f>
        <v>0.18518518518518517</v>
      </c>
      <c r="K486" s="203">
        <f>Apreciación!J173</f>
        <v>7.407407407407407E-2</v>
      </c>
      <c r="L486" s="203">
        <f>Apreciación!K173</f>
        <v>7.407407407407407E-2</v>
      </c>
      <c r="M486" s="94">
        <f t="shared" si="62"/>
        <v>3.2166666666666668</v>
      </c>
      <c r="N486" s="93">
        <f>AVERAGE(M486)</f>
        <v>3.2166666666666668</v>
      </c>
      <c r="O486" s="326"/>
      <c r="P486" s="326"/>
      <c r="Q486" s="325"/>
      <c r="R486" s="17" t="str">
        <f>IF(((M486&gt;=$Z$4)*AND(M486&lt;=$AA$4)),$Y$4,IF(((M486&gt;$AA$4)*AND(M486&lt;=$AA$5)),$Y$5,IF(((M486&gt;$AA$5)*AND(M486&lt;=$AA$6)),$Y$6,IF(((M486&gt;$AA$6)*AND(M486&lt;=$AA$7)),$Y$7,IF(((M486&gt;$AA$7)*AND(M486&lt;=$AA$8)),$Y$8,IF(EXACT(M486,$Y$9),$Z$9))))))</f>
        <v>D</v>
      </c>
      <c r="S486" s="17" t="str">
        <f>IF(((N486&gt;=$Z$4)*AND(N486&lt;=$AA$4)),$Y$4,IF(((N486&gt;$AA$4)*AND(N486&lt;=$AA$5)),$Y$5,IF(((N486&gt;$AA$5)*AND(N486&lt;=$AA$6)),$Y$6,IF(((N486&gt;$AA$6)*AND(N486&lt;=$AA$7)),$Y$7,IF(((N486&gt;$AA$7)*AND(N486&lt;=$AA$8)),$Y$8,IF(EXACT(N486,$Y$9),$Z$9))))))</f>
        <v>D</v>
      </c>
      <c r="T486" s="329"/>
      <c r="U486" s="329"/>
      <c r="V486" s="328"/>
    </row>
    <row r="487" spans="1:22" ht="108" x14ac:dyDescent="0.25">
      <c r="A487" s="343"/>
      <c r="B487" s="342">
        <v>30</v>
      </c>
      <c r="C487" s="58" t="str">
        <f>Final!E187</f>
        <v>a</v>
      </c>
      <c r="D487" s="59" t="str">
        <f>Final!F187</f>
        <v xml:space="preserve">Criterios, estrategias y políticas institucionales en materia de investigación, innovación y creación artística y cultural que se evidencie en mecanismos efectivos que estimulen el desarrollo de los procesos investigativos, de innovación y creativos, y establezcan criterios de evaluación de su calidad y pertinencia, ampliamente difundidos y aceptados por la comunidad académica. </v>
      </c>
      <c r="E487" s="61" t="s">
        <v>64</v>
      </c>
      <c r="F487" s="61" t="s">
        <v>64</v>
      </c>
      <c r="G487" s="204" t="s">
        <v>64</v>
      </c>
      <c r="H487" s="204" t="s">
        <v>64</v>
      </c>
      <c r="I487" s="204" t="s">
        <v>64</v>
      </c>
      <c r="J487" s="204" t="s">
        <v>64</v>
      </c>
      <c r="K487" s="204" t="s">
        <v>64</v>
      </c>
      <c r="L487" s="204" t="s">
        <v>64</v>
      </c>
      <c r="M487" s="146" t="s">
        <v>64</v>
      </c>
      <c r="N487" s="146" t="s">
        <v>64</v>
      </c>
      <c r="O487" s="146" t="s">
        <v>64</v>
      </c>
      <c r="P487" s="324">
        <f>AVERAGE(O487:O494)</f>
        <v>3.2005988023952097</v>
      </c>
      <c r="Q487" s="325"/>
      <c r="R487" s="17" t="str">
        <f t="shared" si="59"/>
        <v>NA</v>
      </c>
      <c r="S487" s="17" t="str">
        <f t="shared" si="60"/>
        <v>NA</v>
      </c>
      <c r="T487" s="17" t="str">
        <f t="shared" si="61"/>
        <v>NA</v>
      </c>
      <c r="U487" s="327" t="str">
        <f>IF(((P487&gt;=$Z$4)*AND(P487&lt;=$AA$4)),$Y$4,IF(((P487&gt;$AA$4)*AND(P487&lt;=$AA$5)),$Y$5,IF(((P487&gt;$AA$5)*AND(P487&lt;=$AA$6)),$Y$6,IF(((P487&gt;$AA$6)*AND(P487&lt;=$AA$7)),$Y$7,IF(((P487&gt;$AA$7)*AND(P487&lt;=$AA$8)),$Y$8,IF(EXACT(P487,$Y$9),$Z$9))))))</f>
        <v>D</v>
      </c>
      <c r="V487" s="328"/>
    </row>
    <row r="488" spans="1:22" ht="60" x14ac:dyDescent="0.25">
      <c r="A488" s="343"/>
      <c r="B488" s="343"/>
      <c r="C488" s="58" t="str">
        <f>Final!E188</f>
        <v>b</v>
      </c>
      <c r="D488" s="59" t="str">
        <f>Final!F188</f>
        <v>Correspondencia entre el número y el nivel de formación de los profesores adscritos al proyecto curricular con la intensidad de la actividad investigativa y de innovación y creación artística y cultural.</v>
      </c>
      <c r="E488" s="61" t="s">
        <v>64</v>
      </c>
      <c r="F488" s="61" t="s">
        <v>64</v>
      </c>
      <c r="G488" s="204" t="s">
        <v>64</v>
      </c>
      <c r="H488" s="204" t="s">
        <v>64</v>
      </c>
      <c r="I488" s="204" t="s">
        <v>64</v>
      </c>
      <c r="J488" s="204" t="s">
        <v>64</v>
      </c>
      <c r="K488" s="204" t="s">
        <v>64</v>
      </c>
      <c r="L488" s="204" t="s">
        <v>64</v>
      </c>
      <c r="M488" s="94" t="s">
        <v>64</v>
      </c>
      <c r="N488" s="94" t="s">
        <v>64</v>
      </c>
      <c r="O488" s="94" t="s">
        <v>64</v>
      </c>
      <c r="P488" s="325"/>
      <c r="Q488" s="325"/>
      <c r="R488" s="17" t="str">
        <f t="shared" si="59"/>
        <v>NA</v>
      </c>
      <c r="S488" s="17" t="str">
        <f t="shared" si="60"/>
        <v>NA</v>
      </c>
      <c r="T488" s="17" t="str">
        <f t="shared" si="61"/>
        <v>NA</v>
      </c>
      <c r="U488" s="328"/>
      <c r="V488" s="328"/>
    </row>
    <row r="489" spans="1:22" ht="60" x14ac:dyDescent="0.25">
      <c r="A489" s="343"/>
      <c r="B489" s="343"/>
      <c r="C489" s="58" t="str">
        <f>Final!E189</f>
        <v>c</v>
      </c>
      <c r="D489" s="59" t="str">
        <f>Final!F189</f>
        <v>Talento humano y recursos logísticos y financieros con que cuenta el proyecto curricular, asociados a proyectos y a otras actividades de investigación, innovación y creación artística y cultural.</v>
      </c>
      <c r="E489" s="11" t="str">
        <f>Apreciación!A77</f>
        <v>Estudiantes</v>
      </c>
      <c r="F489" s="11" t="str">
        <f>Apreciación!E77</f>
        <v xml:space="preserve">Cuenta de 54. Mi programa académico dispone de los recursos que necesito para desarrollar mis trabajos de investigación. </v>
      </c>
      <c r="G489" s="203">
        <f>Apreciación!F77</f>
        <v>8.9820359281437126E-2</v>
      </c>
      <c r="H489" s="203">
        <f>Apreciación!G77</f>
        <v>8.9820359281437126E-2</v>
      </c>
      <c r="I489" s="203">
        <f>Apreciación!H77</f>
        <v>0.29341317365269459</v>
      </c>
      <c r="J489" s="203">
        <f>Apreciación!I77</f>
        <v>0.27544910179640719</v>
      </c>
      <c r="K489" s="203">
        <f>Apreciación!J77</f>
        <v>0.11377245508982035</v>
      </c>
      <c r="L489" s="203">
        <f>Apreciación!K77</f>
        <v>0.1377245508982036</v>
      </c>
      <c r="M489" s="18">
        <f>(G489*$G$2)+(H489*$H$2)+(I489*$I$2)+(J489*$J$2)+(K489*$K$2)+(L489*$L$2)</f>
        <v>3.2005988023952097</v>
      </c>
      <c r="N489" s="63">
        <f>AVERAGE(M489)</f>
        <v>3.2005988023952097</v>
      </c>
      <c r="O489" s="18">
        <f>AVERAGE(N489)</f>
        <v>3.2005988023952097</v>
      </c>
      <c r="P489" s="325"/>
      <c r="Q489" s="325"/>
      <c r="R489" s="17" t="str">
        <f t="shared" si="59"/>
        <v>D</v>
      </c>
      <c r="S489" s="17" t="str">
        <f t="shared" si="60"/>
        <v>D</v>
      </c>
      <c r="T489" s="17" t="str">
        <f t="shared" si="61"/>
        <v>D</v>
      </c>
      <c r="U489" s="328"/>
      <c r="V489" s="328"/>
    </row>
    <row r="490" spans="1:22" ht="48" x14ac:dyDescent="0.25">
      <c r="A490" s="343"/>
      <c r="B490" s="343"/>
      <c r="C490" s="143" t="str">
        <f>Final!E190</f>
        <v>d</v>
      </c>
      <c r="D490" s="142" t="str">
        <f>Final!F190</f>
        <v>Grupos de investigación conformados por profesores y estudiantes adscritos al proyecto curricular reconocidos por COLCIENCIAS o por otra entidad reconocida.</v>
      </c>
      <c r="E490" s="61" t="s">
        <v>64</v>
      </c>
      <c r="F490" s="61" t="s">
        <v>64</v>
      </c>
      <c r="G490" s="204" t="s">
        <v>64</v>
      </c>
      <c r="H490" s="204" t="s">
        <v>64</v>
      </c>
      <c r="I490" s="204" t="s">
        <v>64</v>
      </c>
      <c r="J490" s="204" t="s">
        <v>64</v>
      </c>
      <c r="K490" s="204" t="s">
        <v>64</v>
      </c>
      <c r="L490" s="204" t="s">
        <v>64</v>
      </c>
      <c r="M490" s="146" t="s">
        <v>64</v>
      </c>
      <c r="N490" s="146" t="s">
        <v>64</v>
      </c>
      <c r="O490" s="146" t="s">
        <v>64</v>
      </c>
      <c r="P490" s="325"/>
      <c r="Q490" s="325"/>
      <c r="R490" s="17" t="str">
        <f t="shared" si="59"/>
        <v>NA</v>
      </c>
      <c r="S490" s="144" t="str">
        <f t="shared" si="60"/>
        <v>NA</v>
      </c>
      <c r="T490" s="144" t="str">
        <f t="shared" si="61"/>
        <v>NA</v>
      </c>
      <c r="U490" s="328"/>
      <c r="V490" s="328"/>
    </row>
    <row r="491" spans="1:22" ht="48" x14ac:dyDescent="0.25">
      <c r="A491" s="343"/>
      <c r="B491" s="343"/>
      <c r="C491" s="58" t="str">
        <f>Final!E191</f>
        <v>e</v>
      </c>
      <c r="D491" s="59" t="str">
        <f>Final!F191</f>
        <v>Impacto a nivel regional, nacional e internacional de la investigación, la innovación y la creación artística y cultural del proyecto curricular, de acuerdo con su naturaleza.</v>
      </c>
      <c r="E491" s="61" t="s">
        <v>64</v>
      </c>
      <c r="F491" s="61" t="s">
        <v>64</v>
      </c>
      <c r="G491" s="204" t="s">
        <v>64</v>
      </c>
      <c r="H491" s="204" t="s">
        <v>64</v>
      </c>
      <c r="I491" s="204" t="s">
        <v>64</v>
      </c>
      <c r="J491" s="204" t="s">
        <v>64</v>
      </c>
      <c r="K491" s="204" t="s">
        <v>64</v>
      </c>
      <c r="L491" s="204" t="s">
        <v>64</v>
      </c>
      <c r="M491" s="94" t="s">
        <v>64</v>
      </c>
      <c r="N491" s="94" t="s">
        <v>64</v>
      </c>
      <c r="O491" s="94" t="s">
        <v>64</v>
      </c>
      <c r="P491" s="325"/>
      <c r="Q491" s="325"/>
      <c r="R491" s="17" t="str">
        <f t="shared" si="59"/>
        <v>NA</v>
      </c>
      <c r="S491" s="17" t="str">
        <f t="shared" si="60"/>
        <v>NA</v>
      </c>
      <c r="T491" s="17" t="str">
        <f t="shared" si="61"/>
        <v>NA</v>
      </c>
      <c r="U491" s="328"/>
      <c r="V491" s="328"/>
    </row>
    <row r="492" spans="1:22" ht="168" x14ac:dyDescent="0.25">
      <c r="A492" s="343"/>
      <c r="B492" s="343"/>
      <c r="C492" s="143" t="str">
        <f>Final!E192</f>
        <v>f</v>
      </c>
      <c r="D492" s="142" t="str">
        <f>Final!F192</f>
        <v>Publicaciones en revistas indexadas y especializadas nacionales e internacionales, innovaciones, patentes, productos o procesos técnicos y tecnológicos patentables o no patentables o protegidas por secreto industrial, libros, capítulos de libros, dirección de trabajos de grado de maestría y doctorado, paquetes tecnológicos, normas resultado de investigación, producción artística y cultural, productos de apropiación social del conocimiento, productos asociados a servicios técnicos o consultoría cualificada, elaborados por profesores adscritos al proyecto curricular, de acuerdo con su tipo y naturaleza.</v>
      </c>
      <c r="E492" s="61" t="s">
        <v>64</v>
      </c>
      <c r="F492" s="61" t="s">
        <v>64</v>
      </c>
      <c r="G492" s="204" t="s">
        <v>64</v>
      </c>
      <c r="H492" s="204" t="s">
        <v>64</v>
      </c>
      <c r="I492" s="204" t="s">
        <v>64</v>
      </c>
      <c r="J492" s="204" t="s">
        <v>64</v>
      </c>
      <c r="K492" s="204" t="s">
        <v>64</v>
      </c>
      <c r="L492" s="204" t="s">
        <v>64</v>
      </c>
      <c r="M492" s="146" t="s">
        <v>64</v>
      </c>
      <c r="N492" s="146" t="s">
        <v>64</v>
      </c>
      <c r="O492" s="146" t="s">
        <v>64</v>
      </c>
      <c r="P492" s="325"/>
      <c r="Q492" s="325"/>
      <c r="R492" s="17" t="str">
        <f t="shared" si="59"/>
        <v>NA</v>
      </c>
      <c r="S492" s="17" t="str">
        <f t="shared" si="60"/>
        <v>NA</v>
      </c>
      <c r="T492" s="144" t="str">
        <f t="shared" si="61"/>
        <v>NA</v>
      </c>
      <c r="U492" s="328"/>
      <c r="V492" s="328"/>
    </row>
    <row r="493" spans="1:22" ht="108" x14ac:dyDescent="0.25">
      <c r="A493" s="343"/>
      <c r="B493" s="343"/>
      <c r="C493" s="58" t="str">
        <f>Final!E193</f>
        <v>g</v>
      </c>
      <c r="D493" s="59" t="str">
        <f>Final!F193</f>
        <v>En el caso de las artes, los reconocimientos en libros de arte y revistas especializadas, presentación, exposición o ejecución de obras en instituciones de reconocido prestigio, participación en eventos organizados por comunidades artísticas y académicas. Cuando existen productos literarios, publicación por editoriales reconocidas en el ámbito literario e incluidas en antologías, entre otras.</v>
      </c>
      <c r="E493" s="61" t="s">
        <v>64</v>
      </c>
      <c r="F493" s="61" t="s">
        <v>64</v>
      </c>
      <c r="G493" s="204" t="s">
        <v>64</v>
      </c>
      <c r="H493" s="204" t="s">
        <v>64</v>
      </c>
      <c r="I493" s="204" t="s">
        <v>64</v>
      </c>
      <c r="J493" s="204" t="s">
        <v>64</v>
      </c>
      <c r="K493" s="204" t="s">
        <v>64</v>
      </c>
      <c r="L493" s="204" t="s">
        <v>64</v>
      </c>
      <c r="M493" s="94" t="s">
        <v>64</v>
      </c>
      <c r="N493" s="94" t="s">
        <v>64</v>
      </c>
      <c r="O493" s="94" t="s">
        <v>64</v>
      </c>
      <c r="P493" s="325"/>
      <c r="Q493" s="325"/>
      <c r="R493" s="17" t="str">
        <f t="shared" si="59"/>
        <v>NA</v>
      </c>
      <c r="S493" s="17" t="str">
        <f t="shared" si="60"/>
        <v>NA</v>
      </c>
      <c r="T493" s="17" t="str">
        <f t="shared" si="61"/>
        <v>NA</v>
      </c>
      <c r="U493" s="328"/>
      <c r="V493" s="328"/>
    </row>
    <row r="494" spans="1:22" ht="168" x14ac:dyDescent="0.25">
      <c r="A494" s="344"/>
      <c r="B494" s="344"/>
      <c r="C494" s="58" t="str">
        <f>Final!E194</f>
        <v>h</v>
      </c>
      <c r="D494" s="59" t="str">
        <f>Final!F194</f>
        <v>Apoyo administrativo, formativo y financiero para el desarrollo y gestión de la investigación, la gestión del conocimiento (vigilancia tecnológica), la creación de empresas y de planes de negocios (como los centros de incubación y financiación empresarial, oficinas de transferencia de resultados de investigación, centros de investigación y desarrollo tecnológico, entre otros), proyectos de innovación en conjunto con empresas o entidades que promuevan el desarrollo de proyectos o iniciativas y la creación artística y cultural, la gestión y producción artística y cultural, y la investigación-creación de acuerdo con la naturaleza del proyecto curricular.</v>
      </c>
      <c r="E494" s="61" t="s">
        <v>64</v>
      </c>
      <c r="F494" s="61" t="s">
        <v>64</v>
      </c>
      <c r="G494" s="204" t="s">
        <v>64</v>
      </c>
      <c r="H494" s="204" t="s">
        <v>64</v>
      </c>
      <c r="I494" s="204" t="s">
        <v>64</v>
      </c>
      <c r="J494" s="204" t="s">
        <v>64</v>
      </c>
      <c r="K494" s="204" t="s">
        <v>64</v>
      </c>
      <c r="L494" s="204" t="s">
        <v>64</v>
      </c>
      <c r="M494" s="146" t="s">
        <v>64</v>
      </c>
      <c r="N494" s="146" t="s">
        <v>64</v>
      </c>
      <c r="O494" s="146" t="s">
        <v>64</v>
      </c>
      <c r="P494" s="326"/>
      <c r="Q494" s="326"/>
      <c r="R494" s="17" t="str">
        <f t="shared" si="59"/>
        <v>NA</v>
      </c>
      <c r="S494" s="17" t="str">
        <f t="shared" si="60"/>
        <v>NA</v>
      </c>
      <c r="T494" s="17" t="str">
        <f t="shared" si="61"/>
        <v>NA</v>
      </c>
      <c r="U494" s="329"/>
      <c r="V494" s="329"/>
    </row>
    <row r="495" spans="1:22" ht="72" x14ac:dyDescent="0.25">
      <c r="A495" s="342">
        <v>7</v>
      </c>
      <c r="B495" s="342">
        <v>31</v>
      </c>
      <c r="C495" s="58" t="str">
        <f>Final!E195</f>
        <v>a</v>
      </c>
      <c r="D495" s="59" t="str">
        <f>Final!F195</f>
        <v>Existencia y aplicación de las políticas sobre bienestar institucional suficientemente conocidas que propician el desarrollo integral de la comunidad institucional, reconocen el valor y la diversidad y orientan la prestación de los servicios de bienestar.</v>
      </c>
      <c r="E495" s="61" t="s">
        <v>64</v>
      </c>
      <c r="F495" s="61" t="s">
        <v>64</v>
      </c>
      <c r="G495" s="204" t="s">
        <v>64</v>
      </c>
      <c r="H495" s="204" t="s">
        <v>64</v>
      </c>
      <c r="I495" s="204" t="s">
        <v>64</v>
      </c>
      <c r="J495" s="204" t="s">
        <v>64</v>
      </c>
      <c r="K495" s="204" t="s">
        <v>64</v>
      </c>
      <c r="L495" s="204" t="s">
        <v>64</v>
      </c>
      <c r="M495" s="94" t="s">
        <v>64</v>
      </c>
      <c r="N495" s="94" t="s">
        <v>64</v>
      </c>
      <c r="O495" s="94" t="s">
        <v>64</v>
      </c>
      <c r="P495" s="324">
        <f>AVERAGE(O495:O513)</f>
        <v>3.46613280262088</v>
      </c>
      <c r="Q495" s="324">
        <f>P495</f>
        <v>3.46613280262088</v>
      </c>
      <c r="R495" s="17" t="str">
        <f t="shared" si="59"/>
        <v>NA</v>
      </c>
      <c r="S495" s="17" t="str">
        <f t="shared" si="60"/>
        <v>NA</v>
      </c>
      <c r="T495" s="17" t="str">
        <f t="shared" si="61"/>
        <v>NA</v>
      </c>
      <c r="U495" s="327" t="str">
        <f>IF(((P495&gt;=$Z$4)*AND(P495&lt;=$AA$4)),$Y$4,IF(((P495&gt;$AA$4)*AND(P495&lt;=$AA$5)),$Y$5,IF(((P495&gt;$AA$5)*AND(P495&lt;=$AA$6)),$Y$6,IF(((P495&gt;$AA$6)*AND(P495&lt;=$AA$7)),$Y$7,IF(((P495&gt;$AA$7)*AND(P495&lt;=$AA$8)),$Y$8,IF(EXACT(P495,$Y$9),$Z$9))))))</f>
        <v>D</v>
      </c>
      <c r="V495" s="327" t="str">
        <f>IF(((Q495&gt;=$Z$4)*AND(Q495&lt;=$AA$4)),$Y$4,IF(((Q495&gt;$AA$4)*AND(Q495&lt;=$AA$5)),$Y$5,IF(((Q495&gt;$AA$5)*AND(Q495&lt;=$AA$6)),$Y$6,IF(((Q495&gt;$AA$6)*AND(Q495&lt;=$AA$7)),$Y$7,IF(((Q495&gt;$AA$7)*AND(Q495&lt;=$AA$8)),$Y$8,IF(EXACT(Q495,$Y$9),$Z$9))))))</f>
        <v>D</v>
      </c>
    </row>
    <row r="496" spans="1:22" ht="48" x14ac:dyDescent="0.25">
      <c r="A496" s="343"/>
      <c r="B496" s="343"/>
      <c r="C496" s="58" t="str">
        <f>Final!E196</f>
        <v>b</v>
      </c>
      <c r="D496" s="59" t="str">
        <f>Final!F196</f>
        <v xml:space="preserve">Estrategias que propicien un clima institucional adecuado que favorezca el desarrollo humano y promueva una cultura que reconozca el valor de la diversidad. </v>
      </c>
      <c r="E496" s="61" t="s">
        <v>64</v>
      </c>
      <c r="F496" s="61" t="s">
        <v>64</v>
      </c>
      <c r="G496" s="204" t="s">
        <v>64</v>
      </c>
      <c r="H496" s="204" t="s">
        <v>64</v>
      </c>
      <c r="I496" s="204" t="s">
        <v>64</v>
      </c>
      <c r="J496" s="204" t="s">
        <v>64</v>
      </c>
      <c r="K496" s="204" t="s">
        <v>64</v>
      </c>
      <c r="L496" s="204" t="s">
        <v>64</v>
      </c>
      <c r="M496" s="94" t="s">
        <v>64</v>
      </c>
      <c r="N496" s="94" t="s">
        <v>64</v>
      </c>
      <c r="O496" s="94" t="s">
        <v>64</v>
      </c>
      <c r="P496" s="325"/>
      <c r="Q496" s="325"/>
      <c r="R496" s="17" t="str">
        <f t="shared" si="59"/>
        <v>NA</v>
      </c>
      <c r="S496" s="17" t="str">
        <f t="shared" si="60"/>
        <v>NA</v>
      </c>
      <c r="T496" s="17" t="str">
        <f t="shared" si="61"/>
        <v>NA</v>
      </c>
      <c r="U496" s="328"/>
      <c r="V496" s="328"/>
    </row>
    <row r="497" spans="1:22" ht="24" customHeight="1" x14ac:dyDescent="0.25">
      <c r="A497" s="343"/>
      <c r="B497" s="343"/>
      <c r="C497" s="143" t="str">
        <f>Final!E197</f>
        <v>c</v>
      </c>
      <c r="D497" s="142" t="str">
        <f>Final!F197</f>
        <v>Programas, servicios y actividades de bienestar dirigidos a los profesores, estudiantes y personal administrativo del proyecto curricular.</v>
      </c>
      <c r="E497" s="61" t="s">
        <v>64</v>
      </c>
      <c r="F497" s="61" t="s">
        <v>64</v>
      </c>
      <c r="G497" s="204" t="s">
        <v>64</v>
      </c>
      <c r="H497" s="204" t="s">
        <v>64</v>
      </c>
      <c r="I497" s="204" t="s">
        <v>64</v>
      </c>
      <c r="J497" s="204" t="s">
        <v>64</v>
      </c>
      <c r="K497" s="204" t="s">
        <v>64</v>
      </c>
      <c r="L497" s="204" t="s">
        <v>64</v>
      </c>
      <c r="M497" s="146" t="s">
        <v>64</v>
      </c>
      <c r="N497" s="146" t="s">
        <v>64</v>
      </c>
      <c r="O497" s="146" t="s">
        <v>64</v>
      </c>
      <c r="P497" s="325"/>
      <c r="Q497" s="325"/>
      <c r="R497" s="17" t="str">
        <f t="shared" si="59"/>
        <v>NA</v>
      </c>
      <c r="S497" s="144" t="str">
        <f t="shared" si="60"/>
        <v>NA</v>
      </c>
      <c r="T497" s="144" t="str">
        <f t="shared" si="61"/>
        <v>NA</v>
      </c>
      <c r="U497" s="328"/>
      <c r="V497" s="328"/>
    </row>
    <row r="498" spans="1:22" ht="60" x14ac:dyDescent="0.25">
      <c r="A498" s="343"/>
      <c r="B498" s="343"/>
      <c r="C498" s="58" t="str">
        <f>Final!E198</f>
        <v>d</v>
      </c>
      <c r="D498" s="59" t="str">
        <f>Final!F198</f>
        <v>Participación de directivos, profesores, estudiantes y personal administrativo del proyecto curricular en los programas, los servicios y las actividades de bienestar institucional.</v>
      </c>
      <c r="E498" s="61" t="s">
        <v>64</v>
      </c>
      <c r="F498" s="61" t="s">
        <v>64</v>
      </c>
      <c r="G498" s="204" t="s">
        <v>64</v>
      </c>
      <c r="H498" s="204" t="s">
        <v>64</v>
      </c>
      <c r="I498" s="204" t="s">
        <v>64</v>
      </c>
      <c r="J498" s="204" t="s">
        <v>64</v>
      </c>
      <c r="K498" s="204" t="s">
        <v>64</v>
      </c>
      <c r="L498" s="204" t="s">
        <v>64</v>
      </c>
      <c r="M498" s="94" t="s">
        <v>64</v>
      </c>
      <c r="N498" s="94" t="s">
        <v>64</v>
      </c>
      <c r="O498" s="94" t="s">
        <v>64</v>
      </c>
      <c r="P498" s="325"/>
      <c r="Q498" s="325"/>
      <c r="R498" s="17" t="str">
        <f t="shared" si="59"/>
        <v>NA</v>
      </c>
      <c r="S498" s="17" t="str">
        <f t="shared" si="60"/>
        <v>NA</v>
      </c>
      <c r="T498" s="17" t="str">
        <f t="shared" si="61"/>
        <v>NA</v>
      </c>
      <c r="U498" s="328"/>
      <c r="V498" s="328"/>
    </row>
    <row r="499" spans="1:22" ht="36" customHeight="1" x14ac:dyDescent="0.25">
      <c r="A499" s="343"/>
      <c r="B499" s="343"/>
      <c r="C499" s="333" t="str">
        <f>Final!E199</f>
        <v>e</v>
      </c>
      <c r="D499" s="347" t="str">
        <f>Final!F199</f>
        <v>Apreciación de directivos, profesores, estudiantes y personal administrativo del proyecto curricular sobre la calidad y pertinencia de los servicios y las actividades de bienestar y sobre su contribución a su desarrollo personal.</v>
      </c>
      <c r="E499" s="73" t="str">
        <f>Apreciación!A79</f>
        <v>Estudiantes</v>
      </c>
      <c r="F499" s="73" t="str">
        <f>Apreciación!E79</f>
        <v>Cuenta de 56. Considero que los servicios o actividades ofrecidas por Bienestar Institucional contribuyen a mi desarrollo personal y profesional.</v>
      </c>
      <c r="G499" s="203">
        <f>Apreciación!F79</f>
        <v>8.3832335329341312E-2</v>
      </c>
      <c r="H499" s="203">
        <f>Apreciación!G79</f>
        <v>6.5868263473053898E-2</v>
      </c>
      <c r="I499" s="203">
        <f>Apreciación!H79</f>
        <v>0.25748502994011974</v>
      </c>
      <c r="J499" s="203">
        <f>Apreciación!I79</f>
        <v>0.3473053892215569</v>
      </c>
      <c r="K499" s="203">
        <f>Apreciación!J79</f>
        <v>0.19760479041916168</v>
      </c>
      <c r="L499" s="203">
        <f>Apreciación!K79</f>
        <v>4.790419161676647E-2</v>
      </c>
      <c r="M499" s="18">
        <f>(G499*$G$2)+(H499*$H$2)+(I499*$I$2)+(J499*$J$2)+(K499*$K$2)+(L499*$L$2)</f>
        <v>3.6868263473053888</v>
      </c>
      <c r="N499" s="324">
        <f>AVERAGE(M499:M502)</f>
        <v>3.5781437125748505</v>
      </c>
      <c r="O499" s="324">
        <f>(N499*$AE$5)+(N503*$AE$4)+(AVERAGE(N499:N509)*$AE$6)+(N506*$AE$8)+(AVERAGE(N499:N509)*$AE$7)</f>
        <v>3.46613280262088</v>
      </c>
      <c r="P499" s="325"/>
      <c r="Q499" s="325"/>
      <c r="R499" s="17" t="str">
        <f t="shared" si="59"/>
        <v>C</v>
      </c>
      <c r="S499" s="327" t="str">
        <f t="shared" si="60"/>
        <v>C</v>
      </c>
      <c r="T499" s="327" t="str">
        <f t="shared" si="61"/>
        <v>D</v>
      </c>
      <c r="U499" s="328"/>
      <c r="V499" s="328"/>
    </row>
    <row r="500" spans="1:22" ht="24" x14ac:dyDescent="0.25">
      <c r="A500" s="343"/>
      <c r="B500" s="343"/>
      <c r="C500" s="334"/>
      <c r="D500" s="348"/>
      <c r="E500" s="73" t="str">
        <f>Apreciación!A80</f>
        <v>Estudiantes</v>
      </c>
      <c r="F500" s="73" t="str">
        <f>Apreciación!E80</f>
        <v>Cuenta de 57.1. Considero que los servicios de bienestar son: SUFICIENTE.</v>
      </c>
      <c r="G500" s="203">
        <f>Apreciación!F80</f>
        <v>0.1317365269461078</v>
      </c>
      <c r="H500" s="203">
        <f>Apreciación!G80</f>
        <v>0.12574850299401197</v>
      </c>
      <c r="I500" s="203">
        <f>Apreciación!H80</f>
        <v>0.33532934131736525</v>
      </c>
      <c r="J500" s="203">
        <f>Apreciación!I80</f>
        <v>0.23952095808383234</v>
      </c>
      <c r="K500" s="203">
        <f>Apreciación!J80</f>
        <v>0.11377245508982035</v>
      </c>
      <c r="L500" s="203">
        <f>Apreciación!K80</f>
        <v>5.3892215568862277E-2</v>
      </c>
      <c r="M500" s="94">
        <f t="shared" ref="M500:M509" si="63">(G500*$G$2)+(H500*$H$2)+(I500*$I$2)+(J500*$J$2)+(K500*$K$2)+(L500*$L$2)</f>
        <v>3.3820359281437127</v>
      </c>
      <c r="N500" s="325"/>
      <c r="O500" s="325"/>
      <c r="P500" s="325"/>
      <c r="Q500" s="325"/>
      <c r="R500" s="17" t="str">
        <f t="shared" ref="R500:R509" si="64">IF(((M500&gt;=$Z$4)*AND(M500&lt;=$AA$4)),$Y$4,IF(((M500&gt;$AA$4)*AND(M500&lt;=$AA$5)),$Y$5,IF(((M500&gt;$AA$5)*AND(M500&lt;=$AA$6)),$Y$6,IF(((M500&gt;$AA$6)*AND(M500&lt;=$AA$7)),$Y$7,IF(((M500&gt;$AA$7)*AND(M500&lt;=$AA$8)),$Y$8,IF(EXACT(M500,$Y$9),$Z$9))))))</f>
        <v>D</v>
      </c>
      <c r="S500" s="328"/>
      <c r="T500" s="328"/>
      <c r="U500" s="328"/>
      <c r="V500" s="328"/>
    </row>
    <row r="501" spans="1:22" ht="24" x14ac:dyDescent="0.25">
      <c r="A501" s="343"/>
      <c r="B501" s="343"/>
      <c r="C501" s="334"/>
      <c r="D501" s="348"/>
      <c r="E501" s="73" t="str">
        <f>Apreciación!A81</f>
        <v>Estudiantes</v>
      </c>
      <c r="F501" s="73" t="str">
        <f>Apreciación!E81</f>
        <v>Cuenta de 57.2. Considero que los servicios de bienestar son: ADECUADO.</v>
      </c>
      <c r="G501" s="203">
        <f>Apreciación!F81</f>
        <v>8.3832335329341312E-2</v>
      </c>
      <c r="H501" s="203">
        <f>Apreciación!G81</f>
        <v>6.5868263473053898E-2</v>
      </c>
      <c r="I501" s="203">
        <f>Apreciación!H81</f>
        <v>0.33532934131736525</v>
      </c>
      <c r="J501" s="203">
        <f>Apreciación!I81</f>
        <v>0.32335329341317365</v>
      </c>
      <c r="K501" s="203">
        <f>Apreciación!J81</f>
        <v>0.1377245508982036</v>
      </c>
      <c r="L501" s="203">
        <f>Apreciación!K81</f>
        <v>5.3892215568862277E-2</v>
      </c>
      <c r="M501" s="94">
        <f t="shared" si="63"/>
        <v>3.5898203592814371</v>
      </c>
      <c r="N501" s="325"/>
      <c r="O501" s="325"/>
      <c r="P501" s="325"/>
      <c r="Q501" s="325"/>
      <c r="R501" s="17" t="str">
        <f t="shared" si="64"/>
        <v>C</v>
      </c>
      <c r="S501" s="328"/>
      <c r="T501" s="328"/>
      <c r="U501" s="328"/>
      <c r="V501" s="328"/>
    </row>
    <row r="502" spans="1:22" ht="24" x14ac:dyDescent="0.25">
      <c r="A502" s="343"/>
      <c r="B502" s="343"/>
      <c r="C502" s="334"/>
      <c r="D502" s="348"/>
      <c r="E502" s="73" t="str">
        <f>Apreciación!A82</f>
        <v>Estudiantes</v>
      </c>
      <c r="F502" s="73" t="str">
        <f>Apreciación!E82</f>
        <v>Cuenta de 57.3. Considero que los servicios de bienestar son: ACCESIBLES.</v>
      </c>
      <c r="G502" s="203">
        <f>Apreciación!F82</f>
        <v>9.580838323353294E-2</v>
      </c>
      <c r="H502" s="203">
        <f>Apreciación!G82</f>
        <v>9.580838323353294E-2</v>
      </c>
      <c r="I502" s="203">
        <f>Apreciación!H82</f>
        <v>0.26946107784431139</v>
      </c>
      <c r="J502" s="203">
        <f>Apreciación!I82</f>
        <v>0.32335329341317365</v>
      </c>
      <c r="K502" s="203">
        <f>Apreciación!J82</f>
        <v>0.17964071856287425</v>
      </c>
      <c r="L502" s="203">
        <f>Apreciación!K82</f>
        <v>3.5928143712574849E-2</v>
      </c>
      <c r="M502" s="94">
        <f t="shared" si="63"/>
        <v>3.6538922155688622</v>
      </c>
      <c r="N502" s="326"/>
      <c r="O502" s="325"/>
      <c r="P502" s="325"/>
      <c r="Q502" s="325"/>
      <c r="R502" s="17" t="str">
        <f t="shared" si="64"/>
        <v>C</v>
      </c>
      <c r="S502" s="329"/>
      <c r="T502" s="328"/>
      <c r="U502" s="328"/>
      <c r="V502" s="328"/>
    </row>
    <row r="503" spans="1:22" ht="24" x14ac:dyDescent="0.25">
      <c r="A503" s="343"/>
      <c r="B503" s="343"/>
      <c r="C503" s="334"/>
      <c r="D503" s="348"/>
      <c r="E503" s="73" t="str">
        <f>Apreciación!A174</f>
        <v>Docentes</v>
      </c>
      <c r="F503" s="133" t="str">
        <f>Apreciación!E174</f>
        <v>Cuenta de 58.1. Considero que los servicios de Bienestar Universitario son: SUFICIENTES</v>
      </c>
      <c r="G503" s="203">
        <f>Apreciación!F174</f>
        <v>0.22222222222222221</v>
      </c>
      <c r="H503" s="203">
        <f>Apreciación!G174</f>
        <v>7.407407407407407E-2</v>
      </c>
      <c r="I503" s="203">
        <f>Apreciación!H174</f>
        <v>0.29629629629629628</v>
      </c>
      <c r="J503" s="203">
        <f>Apreciación!I174</f>
        <v>0.33333333333333331</v>
      </c>
      <c r="K503" s="203">
        <f>Apreciación!J174</f>
        <v>3.7037037037037035E-2</v>
      </c>
      <c r="L503" s="203">
        <f>Apreciación!K174</f>
        <v>3.7037037037037035E-2</v>
      </c>
      <c r="M503" s="94">
        <f t="shared" si="63"/>
        <v>3.2685185185185186</v>
      </c>
      <c r="N503" s="324">
        <f>AVERAGE(M503:M505)</f>
        <v>3.3962962962962968</v>
      </c>
      <c r="O503" s="325"/>
      <c r="P503" s="325"/>
      <c r="Q503" s="325"/>
      <c r="R503" s="17" t="str">
        <f t="shared" si="64"/>
        <v>D</v>
      </c>
      <c r="S503" s="327" t="str">
        <f>IF(((N503&gt;=$Z$4)*AND(N503&lt;=$AA$4)),$Y$4,IF(((N503&gt;$AA$4)*AND(N503&lt;=$AA$5)),$Y$5,IF(((N503&gt;$AA$5)*AND(N503&lt;=$AA$6)),$Y$6,IF(((N503&gt;$AA$6)*AND(N503&lt;=$AA$7)),$Y$7,IF(((N503&gt;$AA$7)*AND(N503&lt;=$AA$8)),$Y$8,IF(EXACT(N503,$Y$9),$Z$9))))))</f>
        <v>D</v>
      </c>
      <c r="T503" s="328"/>
      <c r="U503" s="328"/>
      <c r="V503" s="328"/>
    </row>
    <row r="504" spans="1:22" ht="24" x14ac:dyDescent="0.25">
      <c r="A504" s="343"/>
      <c r="B504" s="343"/>
      <c r="C504" s="334"/>
      <c r="D504" s="348"/>
      <c r="E504" s="73" t="str">
        <f>Apreciación!A175</f>
        <v>Docentes</v>
      </c>
      <c r="F504" s="133" t="str">
        <f>Apreciación!E175</f>
        <v>Cuenta de 58.2. Considero que los servicios de Bienestar Universitario son: ADECUADOS</v>
      </c>
      <c r="G504" s="203">
        <f>Apreciación!F175</f>
        <v>0.18518518518518517</v>
      </c>
      <c r="H504" s="203">
        <f>Apreciación!G175</f>
        <v>7.407407407407407E-2</v>
      </c>
      <c r="I504" s="203">
        <f>Apreciación!H175</f>
        <v>0.18518518518518517</v>
      </c>
      <c r="J504" s="203">
        <f>Apreciación!I175</f>
        <v>0.44444444444444442</v>
      </c>
      <c r="K504" s="203">
        <f>Apreciación!J175</f>
        <v>7.407407407407407E-2</v>
      </c>
      <c r="L504" s="203">
        <f>Apreciación!K175</f>
        <v>3.7037037037037035E-2</v>
      </c>
      <c r="M504" s="94">
        <f t="shared" si="63"/>
        <v>3.4370370370370376</v>
      </c>
      <c r="N504" s="325"/>
      <c r="O504" s="325"/>
      <c r="P504" s="325"/>
      <c r="Q504" s="325"/>
      <c r="R504" s="17" t="str">
        <f t="shared" si="64"/>
        <v>D</v>
      </c>
      <c r="S504" s="328"/>
      <c r="T504" s="328"/>
      <c r="U504" s="328"/>
      <c r="V504" s="328"/>
    </row>
    <row r="505" spans="1:22" ht="24" x14ac:dyDescent="0.25">
      <c r="A505" s="343"/>
      <c r="B505" s="343"/>
      <c r="C505" s="334"/>
      <c r="D505" s="348"/>
      <c r="E505" s="73" t="str">
        <f>Apreciación!A176</f>
        <v>Docentes</v>
      </c>
      <c r="F505" s="133" t="str">
        <f>Apreciación!E176</f>
        <v>Cuenta de 58.3. Considero que los servicios de Bienestar Universitario son: ACCESIBLES</v>
      </c>
      <c r="G505" s="203">
        <f>Apreciación!F176</f>
        <v>0.1111111111111111</v>
      </c>
      <c r="H505" s="203">
        <f>Apreciación!G176</f>
        <v>0.18518518518518517</v>
      </c>
      <c r="I505" s="203">
        <f>Apreciación!H176</f>
        <v>0.18518518518518517</v>
      </c>
      <c r="J505" s="203">
        <f>Apreciación!I176</f>
        <v>0.40740740740740738</v>
      </c>
      <c r="K505" s="203">
        <f>Apreciación!J176</f>
        <v>7.407407407407407E-2</v>
      </c>
      <c r="L505" s="203">
        <f>Apreciación!K176</f>
        <v>3.7037037037037035E-2</v>
      </c>
      <c r="M505" s="94">
        <f t="shared" si="63"/>
        <v>3.4833333333333334</v>
      </c>
      <c r="N505" s="326"/>
      <c r="O505" s="325"/>
      <c r="P505" s="325"/>
      <c r="Q505" s="325"/>
      <c r="R505" s="17" t="str">
        <f t="shared" si="64"/>
        <v>D</v>
      </c>
      <c r="S505" s="329"/>
      <c r="T505" s="328"/>
      <c r="U505" s="328"/>
      <c r="V505" s="328"/>
    </row>
    <row r="506" spans="1:22" ht="33" customHeight="1" x14ac:dyDescent="0.25">
      <c r="A506" s="343"/>
      <c r="B506" s="343"/>
      <c r="C506" s="334"/>
      <c r="D506" s="348"/>
      <c r="E506" s="73" t="str">
        <f>Apreciación!A240</f>
        <v>Administrativos</v>
      </c>
      <c r="F506" s="133" t="str">
        <f>Apreciación!E240</f>
        <v>Cuenta de 12.1. Considero que los servicios de Bienestar Universitario son: SUFICIENTES.</v>
      </c>
      <c r="G506" s="203">
        <f>Apreciación!F240</f>
        <v>8.771929824561403E-2</v>
      </c>
      <c r="H506" s="203">
        <f>Apreciación!G240</f>
        <v>0.16666666666666666</v>
      </c>
      <c r="I506" s="203">
        <f>Apreciación!H240</f>
        <v>0.39473684210526316</v>
      </c>
      <c r="J506" s="203">
        <f>Apreciación!I240</f>
        <v>0.21929824561403508</v>
      </c>
      <c r="K506" s="203">
        <f>Apreciación!J240</f>
        <v>3.5087719298245612E-2</v>
      </c>
      <c r="L506" s="203">
        <f>Apreciación!K240</f>
        <v>9.6491228070175433E-2</v>
      </c>
      <c r="M506" s="94">
        <f t="shared" si="63"/>
        <v>3.1890350877192981</v>
      </c>
      <c r="N506" s="324">
        <f>AVERAGE(M506:M509)</f>
        <v>3.3972587719298248</v>
      </c>
      <c r="O506" s="325"/>
      <c r="P506" s="325"/>
      <c r="Q506" s="325"/>
      <c r="R506" s="17" t="str">
        <f t="shared" si="64"/>
        <v>D</v>
      </c>
      <c r="S506" s="327" t="str">
        <f>IF(((N506&gt;=$Z$4)*AND(N506&lt;=$AA$4)),$Y$4,IF(((N506&gt;$AA$4)*AND(N506&lt;=$AA$5)),$Y$5,IF(((N506&gt;$AA$5)*AND(N506&lt;=$AA$6)),$Y$6,IF(((N506&gt;$AA$6)*AND(N506&lt;=$AA$7)),$Y$7,IF(((N506&gt;$AA$7)*AND(N506&lt;=$AA$8)),$Y$8,IF(EXACT(N506,$Y$9),$Z$9))))))</f>
        <v>D</v>
      </c>
      <c r="T506" s="328"/>
      <c r="U506" s="328"/>
      <c r="V506" s="328"/>
    </row>
    <row r="507" spans="1:22" ht="24" x14ac:dyDescent="0.25">
      <c r="A507" s="343"/>
      <c r="B507" s="343"/>
      <c r="C507" s="334"/>
      <c r="D507" s="348"/>
      <c r="E507" s="73" t="str">
        <f>Apreciación!A241</f>
        <v>Administrativos</v>
      </c>
      <c r="F507" s="133" t="str">
        <f>Apreciación!E241</f>
        <v>Cuenta de 12.2. Considero que los servicios de Bienestar Universitario son:  ADECUADOS</v>
      </c>
      <c r="G507" s="203">
        <f>Apreciación!F241</f>
        <v>7.0175438596491224E-2</v>
      </c>
      <c r="H507" s="203">
        <f>Apreciación!G241</f>
        <v>0.12280701754385964</v>
      </c>
      <c r="I507" s="203">
        <f>Apreciación!H241</f>
        <v>0.33333333333333331</v>
      </c>
      <c r="J507" s="203">
        <f>Apreciación!I241</f>
        <v>0.33333333333333331</v>
      </c>
      <c r="K507" s="203">
        <f>Apreciación!J241</f>
        <v>7.0175438596491224E-2</v>
      </c>
      <c r="L507" s="203">
        <f>Apreciación!K241</f>
        <v>7.0175438596491224E-2</v>
      </c>
      <c r="M507" s="94">
        <f t="shared" si="63"/>
        <v>3.4482456140350881</v>
      </c>
      <c r="N507" s="325"/>
      <c r="O507" s="325"/>
      <c r="P507" s="325"/>
      <c r="Q507" s="325"/>
      <c r="R507" s="17" t="str">
        <f t="shared" si="64"/>
        <v>D</v>
      </c>
      <c r="S507" s="328"/>
      <c r="T507" s="328"/>
      <c r="U507" s="328"/>
      <c r="V507" s="328"/>
    </row>
    <row r="508" spans="1:22" ht="24" x14ac:dyDescent="0.25">
      <c r="A508" s="343"/>
      <c r="B508" s="343"/>
      <c r="C508" s="334"/>
      <c r="D508" s="348"/>
      <c r="E508" s="73" t="str">
        <f>Apreciación!A242</f>
        <v>Administrativos</v>
      </c>
      <c r="F508" s="133" t="str">
        <f>Apreciación!E242</f>
        <v>Cuenta de 12.3. Considero que los servicios de Bienestar Universitario son: ACCESIBLES.</v>
      </c>
      <c r="G508" s="203">
        <f>Apreciación!F242</f>
        <v>7.8947368421052627E-2</v>
      </c>
      <c r="H508" s="203">
        <f>Apreciación!G242</f>
        <v>9.6491228070175433E-2</v>
      </c>
      <c r="I508" s="203">
        <f>Apreciación!H242</f>
        <v>0.24561403508771928</v>
      </c>
      <c r="J508" s="203">
        <f>Apreciación!I242</f>
        <v>0.40350877192982454</v>
      </c>
      <c r="K508" s="203">
        <f>Apreciación!J242</f>
        <v>0.12280701754385964</v>
      </c>
      <c r="L508" s="203">
        <f>Apreciación!K242</f>
        <v>5.2631578947368418E-2</v>
      </c>
      <c r="M508" s="94">
        <f t="shared" si="63"/>
        <v>3.6057017543859651</v>
      </c>
      <c r="N508" s="325"/>
      <c r="O508" s="325"/>
      <c r="P508" s="325"/>
      <c r="Q508" s="325"/>
      <c r="R508" s="17" t="str">
        <f t="shared" si="64"/>
        <v>C</v>
      </c>
      <c r="S508" s="328"/>
      <c r="T508" s="328"/>
      <c r="U508" s="328"/>
      <c r="V508" s="328"/>
    </row>
    <row r="509" spans="1:22" ht="36" x14ac:dyDescent="0.25">
      <c r="A509" s="343"/>
      <c r="B509" s="343"/>
      <c r="C509" s="335"/>
      <c r="D509" s="349"/>
      <c r="E509" s="73" t="str">
        <f>Apreciación!A243</f>
        <v>Administrativos</v>
      </c>
      <c r="F509" s="133" t="str">
        <f>Apreciación!E243</f>
        <v>Cuenta de 13. Considero que las actividades de Bienestar Universitario contribuyen a mi desarrollo personal.</v>
      </c>
      <c r="G509" s="203">
        <f>Apreciación!F243</f>
        <v>0.10526315789473684</v>
      </c>
      <c r="H509" s="203">
        <f>Apreciación!G243</f>
        <v>0.12280701754385964</v>
      </c>
      <c r="I509" s="203">
        <f>Apreciación!H243</f>
        <v>0.26315789473684209</v>
      </c>
      <c r="J509" s="203">
        <f>Apreciación!I243</f>
        <v>0.30701754385964913</v>
      </c>
      <c r="K509" s="203">
        <f>Apreciación!J243</f>
        <v>0.11403508771929824</v>
      </c>
      <c r="L509" s="203">
        <f>Apreciación!K243</f>
        <v>8.771929824561403E-2</v>
      </c>
      <c r="M509" s="94">
        <f t="shared" si="63"/>
        <v>3.3460526315789472</v>
      </c>
      <c r="N509" s="326"/>
      <c r="O509" s="326"/>
      <c r="P509" s="325"/>
      <c r="Q509" s="325"/>
      <c r="R509" s="17" t="str">
        <f t="shared" si="64"/>
        <v>D</v>
      </c>
      <c r="S509" s="329"/>
      <c r="T509" s="329"/>
      <c r="U509" s="328"/>
      <c r="V509" s="328"/>
    </row>
    <row r="510" spans="1:22" ht="48" x14ac:dyDescent="0.25">
      <c r="A510" s="343"/>
      <c r="B510" s="343"/>
      <c r="C510" s="58" t="str">
        <f>Final!E200</f>
        <v>f</v>
      </c>
      <c r="D510" s="59" t="str">
        <f>Final!F200</f>
        <v>Programas y estrategias de seguimiento integral a la comunidad institucional y acciones derivadas que conduzcan al desarrollo humano y el respeto a la diferencia.</v>
      </c>
      <c r="E510" s="61" t="s">
        <v>64</v>
      </c>
      <c r="F510" s="61" t="s">
        <v>64</v>
      </c>
      <c r="G510" s="204" t="s">
        <v>64</v>
      </c>
      <c r="H510" s="204" t="s">
        <v>64</v>
      </c>
      <c r="I510" s="204" t="s">
        <v>64</v>
      </c>
      <c r="J510" s="204" t="s">
        <v>64</v>
      </c>
      <c r="K510" s="204" t="s">
        <v>64</v>
      </c>
      <c r="L510" s="204" t="s">
        <v>64</v>
      </c>
      <c r="M510" s="94" t="s">
        <v>64</v>
      </c>
      <c r="N510" s="94" t="s">
        <v>64</v>
      </c>
      <c r="O510" s="94" t="s">
        <v>64</v>
      </c>
      <c r="P510" s="325"/>
      <c r="Q510" s="325"/>
      <c r="R510" s="17" t="str">
        <f t="shared" si="59"/>
        <v>NA</v>
      </c>
      <c r="S510" s="17" t="str">
        <f t="shared" si="60"/>
        <v>NA</v>
      </c>
      <c r="T510" s="17" t="str">
        <f t="shared" si="61"/>
        <v>NA</v>
      </c>
      <c r="U510" s="328"/>
      <c r="V510" s="328"/>
    </row>
    <row r="511" spans="1:22" ht="36" x14ac:dyDescent="0.25">
      <c r="A511" s="343"/>
      <c r="B511" s="343"/>
      <c r="C511" s="58" t="str">
        <f>Final!E201</f>
        <v>g</v>
      </c>
      <c r="D511" s="59" t="str">
        <f>Final!F201</f>
        <v>Investigación permanente de la problemática social del entorno que incide en la comunidad institucional.</v>
      </c>
      <c r="E511" s="61" t="s">
        <v>64</v>
      </c>
      <c r="F511" s="61" t="s">
        <v>64</v>
      </c>
      <c r="G511" s="204" t="s">
        <v>64</v>
      </c>
      <c r="H511" s="204" t="s">
        <v>64</v>
      </c>
      <c r="I511" s="204" t="s">
        <v>64</v>
      </c>
      <c r="J511" s="204" t="s">
        <v>64</v>
      </c>
      <c r="K511" s="204" t="s">
        <v>64</v>
      </c>
      <c r="L511" s="204" t="s">
        <v>64</v>
      </c>
      <c r="M511" s="94" t="s">
        <v>64</v>
      </c>
      <c r="N511" s="94" t="s">
        <v>64</v>
      </c>
      <c r="O511" s="94" t="s">
        <v>64</v>
      </c>
      <c r="P511" s="325"/>
      <c r="Q511" s="325"/>
      <c r="R511" s="17" t="str">
        <f t="shared" si="59"/>
        <v>NA</v>
      </c>
      <c r="S511" s="17" t="str">
        <f t="shared" si="60"/>
        <v>NA</v>
      </c>
      <c r="T511" s="17" t="str">
        <f t="shared" si="61"/>
        <v>NA</v>
      </c>
      <c r="U511" s="328"/>
      <c r="V511" s="328"/>
    </row>
    <row r="512" spans="1:22" ht="36" x14ac:dyDescent="0.25">
      <c r="A512" s="343"/>
      <c r="B512" s="343"/>
      <c r="C512" s="58" t="str">
        <f>Final!E202</f>
        <v>h</v>
      </c>
      <c r="D512" s="59" t="str">
        <f>Final!F202</f>
        <v>Estrategias que permitan a los estudiantes vincularse a redes de apoyo orientadas a contrarrestar las situaciones de vulnerabilidad.</v>
      </c>
      <c r="E512" s="61" t="s">
        <v>64</v>
      </c>
      <c r="F512" s="61" t="s">
        <v>64</v>
      </c>
      <c r="G512" s="204" t="s">
        <v>64</v>
      </c>
      <c r="H512" s="204" t="s">
        <v>64</v>
      </c>
      <c r="I512" s="204" t="s">
        <v>64</v>
      </c>
      <c r="J512" s="204" t="s">
        <v>64</v>
      </c>
      <c r="K512" s="204" t="s">
        <v>64</v>
      </c>
      <c r="L512" s="204" t="s">
        <v>64</v>
      </c>
      <c r="M512" s="94" t="s">
        <v>64</v>
      </c>
      <c r="N512" s="94" t="s">
        <v>64</v>
      </c>
      <c r="O512" s="94" t="s">
        <v>64</v>
      </c>
      <c r="P512" s="325"/>
      <c r="Q512" s="325"/>
      <c r="R512" s="17" t="str">
        <f t="shared" si="59"/>
        <v>NA</v>
      </c>
      <c r="S512" s="17" t="str">
        <f t="shared" si="60"/>
        <v>NA</v>
      </c>
      <c r="T512" s="17" t="str">
        <f t="shared" si="61"/>
        <v>NA</v>
      </c>
      <c r="U512" s="328"/>
      <c r="V512" s="328"/>
    </row>
    <row r="513" spans="1:22" ht="48" x14ac:dyDescent="0.25">
      <c r="A513" s="343"/>
      <c r="B513" s="344"/>
      <c r="C513" s="58" t="str">
        <f>Final!E203</f>
        <v>i</v>
      </c>
      <c r="D513" s="59" t="str">
        <f>Final!F203</f>
        <v>En los programas de salud, donde sea pertinente, evidenciar estrategias de bienestar adecuadas para los estudiantes en prácticas (lockers, camarotes, dormitorios) entre otros-.</v>
      </c>
      <c r="E513" s="61" t="s">
        <v>64</v>
      </c>
      <c r="F513" s="61" t="s">
        <v>64</v>
      </c>
      <c r="G513" s="204" t="s">
        <v>64</v>
      </c>
      <c r="H513" s="204" t="s">
        <v>64</v>
      </c>
      <c r="I513" s="204" t="s">
        <v>64</v>
      </c>
      <c r="J513" s="204" t="s">
        <v>64</v>
      </c>
      <c r="K513" s="204" t="s">
        <v>64</v>
      </c>
      <c r="L513" s="204" t="s">
        <v>64</v>
      </c>
      <c r="M513" s="94" t="s">
        <v>64</v>
      </c>
      <c r="N513" s="94" t="s">
        <v>64</v>
      </c>
      <c r="O513" s="94" t="s">
        <v>64</v>
      </c>
      <c r="P513" s="326"/>
      <c r="Q513" s="325"/>
      <c r="R513" s="17" t="str">
        <f t="shared" si="59"/>
        <v>NA</v>
      </c>
      <c r="S513" s="17" t="str">
        <f t="shared" si="60"/>
        <v>NA</v>
      </c>
      <c r="T513" s="17" t="str">
        <f t="shared" si="61"/>
        <v>NA</v>
      </c>
      <c r="U513" s="329"/>
      <c r="V513" s="328"/>
    </row>
    <row r="514" spans="1:22" ht="48" x14ac:dyDescent="0.25">
      <c r="A514" s="343"/>
      <c r="B514" s="342">
        <v>32</v>
      </c>
      <c r="C514" s="58" t="str">
        <f>Final!E204</f>
        <v>a</v>
      </c>
      <c r="D514" s="59" t="str">
        <f>Final!F204</f>
        <v>Tasas de deserción estudiantil acumulada y por períodos académicos, acorde con los reportes efectuados al Sistema para la Prevención de la Deserción de la Educación Superior – SPADIES–.</v>
      </c>
      <c r="E514" s="61" t="s">
        <v>64</v>
      </c>
      <c r="F514" s="61" t="s">
        <v>64</v>
      </c>
      <c r="G514" s="204" t="s">
        <v>64</v>
      </c>
      <c r="H514" s="204" t="s">
        <v>64</v>
      </c>
      <c r="I514" s="204" t="s">
        <v>64</v>
      </c>
      <c r="J514" s="204" t="s">
        <v>64</v>
      </c>
      <c r="K514" s="204" t="s">
        <v>64</v>
      </c>
      <c r="L514" s="204" t="s">
        <v>64</v>
      </c>
      <c r="M514" s="94" t="s">
        <v>64</v>
      </c>
      <c r="N514" s="94" t="s">
        <v>64</v>
      </c>
      <c r="O514" s="94" t="s">
        <v>64</v>
      </c>
      <c r="P514" s="324" t="s">
        <v>64</v>
      </c>
      <c r="Q514" s="325"/>
      <c r="R514" s="17" t="str">
        <f t="shared" si="59"/>
        <v>NA</v>
      </c>
      <c r="S514" s="17" t="str">
        <f t="shared" si="60"/>
        <v>NA</v>
      </c>
      <c r="T514" s="17" t="str">
        <f t="shared" si="61"/>
        <v>NA</v>
      </c>
      <c r="U514" s="327" t="str">
        <f>IF(((P514&gt;=$Z$4)*AND(P514&lt;=$AA$4)),$Y$4,IF(((P514&gt;$AA$4)*AND(P514&lt;=$AA$5)),$Y$5,IF(((P514&gt;$AA$5)*AND(P514&lt;=$AA$6)),$Y$6,IF(((P514&gt;$AA$6)*AND(P514&lt;=$AA$7)),$Y$7,IF(((P514&gt;$AA$7)*AND(P514&lt;=$AA$8)),$Y$8,IF(EXACT(P514,$Y$9),$Z$9))))))</f>
        <v>NA</v>
      </c>
      <c r="V514" s="328"/>
    </row>
    <row r="515" spans="1:22" ht="36" x14ac:dyDescent="0.25">
      <c r="A515" s="343"/>
      <c r="B515" s="343"/>
      <c r="C515" s="58" t="str">
        <f>Final!E205</f>
        <v>b</v>
      </c>
      <c r="D515" s="59" t="str">
        <f>Final!F205</f>
        <v>Registros periódicos de la caracterización de los estudiantes teniendo en cuenta variables de vulnerabilidad.</v>
      </c>
      <c r="E515" s="61" t="s">
        <v>64</v>
      </c>
      <c r="F515" s="61" t="s">
        <v>64</v>
      </c>
      <c r="G515" s="204" t="s">
        <v>64</v>
      </c>
      <c r="H515" s="204" t="s">
        <v>64</v>
      </c>
      <c r="I515" s="204" t="s">
        <v>64</v>
      </c>
      <c r="J515" s="204" t="s">
        <v>64</v>
      </c>
      <c r="K515" s="204" t="s">
        <v>64</v>
      </c>
      <c r="L515" s="204" t="s">
        <v>64</v>
      </c>
      <c r="M515" s="94" t="s">
        <v>64</v>
      </c>
      <c r="N515" s="94" t="s">
        <v>64</v>
      </c>
      <c r="O515" s="94" t="s">
        <v>64</v>
      </c>
      <c r="P515" s="325"/>
      <c r="Q515" s="325"/>
      <c r="R515" s="17" t="str">
        <f t="shared" si="59"/>
        <v>NA</v>
      </c>
      <c r="S515" s="17" t="str">
        <f t="shared" si="60"/>
        <v>NA</v>
      </c>
      <c r="T515" s="17" t="str">
        <f t="shared" si="61"/>
        <v>NA</v>
      </c>
      <c r="U515" s="328"/>
      <c r="V515" s="328"/>
    </row>
    <row r="516" spans="1:22" ht="84" x14ac:dyDescent="0.25">
      <c r="A516" s="344"/>
      <c r="B516" s="344"/>
      <c r="C516" s="58" t="str">
        <f>Final!E206</f>
        <v>c</v>
      </c>
      <c r="D516" s="59" t="str">
        <f>Final!F206</f>
        <v>Existencia de proyectos que establezcan estrategias pedagógicas y actividades extracurriculares  orientadas a optimizar las tasas de retención y de graduación de estudiantes en los tiempos previstos, manteniendo la calidad académica del proyecto curricular.</v>
      </c>
      <c r="E516" s="61" t="s">
        <v>64</v>
      </c>
      <c r="F516" s="61" t="s">
        <v>64</v>
      </c>
      <c r="G516" s="204" t="s">
        <v>64</v>
      </c>
      <c r="H516" s="204" t="s">
        <v>64</v>
      </c>
      <c r="I516" s="204" t="s">
        <v>64</v>
      </c>
      <c r="J516" s="204" t="s">
        <v>64</v>
      </c>
      <c r="K516" s="204" t="s">
        <v>64</v>
      </c>
      <c r="L516" s="204" t="s">
        <v>64</v>
      </c>
      <c r="M516" s="94" t="s">
        <v>64</v>
      </c>
      <c r="N516" s="94" t="s">
        <v>64</v>
      </c>
      <c r="O516" s="94" t="s">
        <v>64</v>
      </c>
      <c r="P516" s="326"/>
      <c r="Q516" s="326"/>
      <c r="R516" s="17" t="str">
        <f t="shared" si="59"/>
        <v>NA</v>
      </c>
      <c r="S516" s="17" t="str">
        <f t="shared" si="60"/>
        <v>NA</v>
      </c>
      <c r="T516" s="17" t="str">
        <f t="shared" si="61"/>
        <v>NA</v>
      </c>
      <c r="U516" s="329"/>
      <c r="V516" s="329"/>
    </row>
    <row r="517" spans="1:22" ht="48" customHeight="1" x14ac:dyDescent="0.25">
      <c r="A517" s="342">
        <v>8</v>
      </c>
      <c r="B517" s="342">
        <v>33</v>
      </c>
      <c r="C517" s="333" t="str">
        <f>Final!E207</f>
        <v>a</v>
      </c>
      <c r="D517" s="330" t="str">
        <f>Final!F207</f>
        <v>Correspondencia entre la organización, administración y gestión del proyecto curricular, y los fines de la docencia, la investigación, la innovación o creación artística y cultural, la extensión o proyección social y la cooperación nacional e internacional.</v>
      </c>
      <c r="E517" s="11" t="str">
        <f>Apreciación!A87</f>
        <v>Estudiantes</v>
      </c>
      <c r="F517" s="12" t="str">
        <f>Apreciación!E87</f>
        <v>Cuenta de 62.1. La organización, administración y gestión de mi programa académico permite cumplir los objetivos de: DESARROLLO REGULAR DE LOS ESPACIOS Y DE LOS SEMESTRES ACADÉMICOS.</v>
      </c>
      <c r="G517" s="203">
        <f>Apreciación!F87</f>
        <v>9.580838323353294E-2</v>
      </c>
      <c r="H517" s="203">
        <f>Apreciación!G87</f>
        <v>3.5928143712574849E-2</v>
      </c>
      <c r="I517" s="203">
        <f>Apreciación!H87</f>
        <v>0.28742514970059879</v>
      </c>
      <c r="J517" s="203">
        <f>Apreciación!I87</f>
        <v>0.39520958083832336</v>
      </c>
      <c r="K517" s="203">
        <f>Apreciación!J87</f>
        <v>0.1317365269461078</v>
      </c>
      <c r="L517" s="203">
        <f>Apreciación!K87</f>
        <v>5.3892215568862277E-2</v>
      </c>
      <c r="M517" s="18">
        <f t="shared" ref="M517:M530" si="65">(G517*$G$2)+(H517*$H$2)+(I517*$I$2)+(J517*$J$2)+(K517*$K$2)+(L517*$L$2)</f>
        <v>3.6179640718562873</v>
      </c>
      <c r="N517" s="324">
        <f>AVERAGE(M517:M519)</f>
        <v>3.5330339321357287</v>
      </c>
      <c r="O517" s="324">
        <f>(N517*$AE$5)+(N520*$AE$4)+(AVERAGE(N517:N522)*$AE$6)+(AVERAGE(N517:N522)*$AE$8)+(AVERAGE(N517:N522)*$AE$7)</f>
        <v>3.8278899608191024</v>
      </c>
      <c r="P517" s="324">
        <f>AVERAGE(O517:O545)</f>
        <v>3.739697391579115</v>
      </c>
      <c r="Q517" s="324">
        <f>(P517*Ponderación!D34)+(P546*Ponderación!D35)+(P565*Ponderación!D36)</f>
        <v>3.750606416795252</v>
      </c>
      <c r="R517" s="17" t="str">
        <f t="shared" si="59"/>
        <v>C</v>
      </c>
      <c r="S517" s="327" t="str">
        <f t="shared" si="60"/>
        <v>C</v>
      </c>
      <c r="T517" s="327" t="str">
        <f t="shared" si="61"/>
        <v>C</v>
      </c>
      <c r="U517" s="327" t="str">
        <f>IF(((P517&gt;=$Z$4)*AND(P517&lt;=$AA$4)),$Y$4,IF(((P517&gt;$AA$4)*AND(P517&lt;=$AA$5)),$Y$5,IF(((P517&gt;$AA$5)*AND(P517&lt;=$AA$6)),$Y$6,IF(((P517&gt;$AA$6)*AND(P517&lt;=$AA$7)),$Y$7,IF(((P517&gt;$AA$7)*AND(P517&lt;=$AA$8)),$Y$8,IF(EXACT(P517,$Y$9),$Z$9))))))</f>
        <v>C</v>
      </c>
      <c r="V517" s="327" t="str">
        <f>IF(((Q517&gt;=$Z$4)*AND(Q517&lt;=$AA$4)),$Y$4,IF(((Q517&gt;$AA$4)*AND(Q517&lt;=$AA$5)),$Y$5,IF(((Q517&gt;$AA$5)*AND(Q517&lt;=$AA$6)),$Y$6,IF(((Q517&gt;$AA$6)*AND(Q517&lt;=$AA$7)),$Y$7,IF(((Q517&gt;$AA$7)*AND(Q517&lt;=$AA$8)),$Y$8,IF(EXACT(Q517,$Y$9),$Z$9))))))</f>
        <v>C</v>
      </c>
    </row>
    <row r="518" spans="1:22" ht="48" x14ac:dyDescent="0.25">
      <c r="A518" s="343"/>
      <c r="B518" s="343"/>
      <c r="C518" s="334"/>
      <c r="D518" s="331"/>
      <c r="E518" s="11" t="str">
        <f>Apreciación!A88</f>
        <v>Estudiantes</v>
      </c>
      <c r="F518" s="12" t="str">
        <f>Apreciación!E88</f>
        <v>Cuenta de 62.2. La organización, administración y gestión de mi programa académico permite cumplir los objetivos de: PROMOCIÓN DE LA CULTURA DE LA INVESTIGACIÓN.</v>
      </c>
      <c r="G518" s="203">
        <f>Apreciación!F88</f>
        <v>8.3832335329341312E-2</v>
      </c>
      <c r="H518" s="203">
        <f>Apreciación!G88</f>
        <v>0.10179640718562874</v>
      </c>
      <c r="I518" s="203">
        <f>Apreciación!H88</f>
        <v>0.29341317365269459</v>
      </c>
      <c r="J518" s="203">
        <f>Apreciación!I88</f>
        <v>0.3592814371257485</v>
      </c>
      <c r="K518" s="203">
        <f>Apreciación!J88</f>
        <v>0.11377245508982035</v>
      </c>
      <c r="L518" s="203">
        <f>Apreciación!K88</f>
        <v>4.790419161676647E-2</v>
      </c>
      <c r="M518" s="96">
        <f t="shared" si="65"/>
        <v>3.5778443113772456</v>
      </c>
      <c r="N518" s="325"/>
      <c r="O518" s="325"/>
      <c r="P518" s="325"/>
      <c r="Q518" s="325"/>
      <c r="R518" s="17" t="str">
        <f>IF(((M518&gt;=$Z$4)*AND(M518&lt;=$AA$4)),$Y$4,IF(((M518&gt;$AA$4)*AND(M518&lt;=$AA$5)),$Y$5,IF(((M518&gt;$AA$5)*AND(M518&lt;=$AA$6)),$Y$6,IF(((M518&gt;$AA$6)*AND(M518&lt;=$AA$7)),$Y$7,IF(((M518&gt;$AA$7)*AND(M518&lt;=$AA$8)),$Y$8,IF(EXACT(M518,$Y$9),$Z$9))))))</f>
        <v>C</v>
      </c>
      <c r="S518" s="328"/>
      <c r="T518" s="328"/>
      <c r="U518" s="328"/>
      <c r="V518" s="328"/>
    </row>
    <row r="519" spans="1:22" ht="48" x14ac:dyDescent="0.25">
      <c r="A519" s="343"/>
      <c r="B519" s="343"/>
      <c r="C519" s="334"/>
      <c r="D519" s="331"/>
      <c r="E519" s="11" t="str">
        <f>Apreciación!A89</f>
        <v>Estudiantes</v>
      </c>
      <c r="F519" s="12" t="str">
        <f>Apreciación!E89</f>
        <v>Cuenta de 62.3. La organización, administración y gestión de mi programa académico permite cumplir los objetivos de: INTEGRACIÓN CON LA COMUNIDAD Y CON EL ENTORNO.</v>
      </c>
      <c r="G519" s="203">
        <f>Apreciación!F89</f>
        <v>8.9820359281437126E-2</v>
      </c>
      <c r="H519" s="203">
        <f>Apreciación!G89</f>
        <v>0.1377245508982036</v>
      </c>
      <c r="I519" s="203">
        <f>Apreciación!H89</f>
        <v>0.22754491017964071</v>
      </c>
      <c r="J519" s="203">
        <f>Apreciación!I89</f>
        <v>0.3413173652694611</v>
      </c>
      <c r="K519" s="203">
        <f>Apreciación!J89</f>
        <v>0.11976047904191617</v>
      </c>
      <c r="L519" s="203">
        <f>Apreciación!K89</f>
        <v>8.3832335329341312E-2</v>
      </c>
      <c r="M519" s="96">
        <f t="shared" si="65"/>
        <v>3.4032934131736532</v>
      </c>
      <c r="N519" s="326"/>
      <c r="O519" s="325"/>
      <c r="P519" s="325"/>
      <c r="Q519" s="325"/>
      <c r="R519" s="17" t="str">
        <f>IF(((M519&gt;=$Z$4)*AND(M519&lt;=$AA$4)),$Y$4,IF(((M519&gt;$AA$4)*AND(M519&lt;=$AA$5)),$Y$5,IF(((M519&gt;$AA$5)*AND(M519&lt;=$AA$6)),$Y$6,IF(((M519&gt;$AA$6)*AND(M519&lt;=$AA$7)),$Y$7,IF(((M519&gt;$AA$7)*AND(M519&lt;=$AA$8)),$Y$8,IF(EXACT(M519,$Y$9),$Z$9))))))</f>
        <v>D</v>
      </c>
      <c r="S519" s="329"/>
      <c r="T519" s="328"/>
      <c r="U519" s="328"/>
      <c r="V519" s="328"/>
    </row>
    <row r="520" spans="1:22" ht="60" x14ac:dyDescent="0.25">
      <c r="A520" s="343"/>
      <c r="B520" s="343"/>
      <c r="C520" s="334"/>
      <c r="D520" s="331"/>
      <c r="E520" s="11" t="str">
        <f>Apreciación!A178</f>
        <v>Docentes</v>
      </c>
      <c r="F520" s="12" t="str">
        <f>Apreciación!E178</f>
        <v>Cuenta de 60.1. La organización, administración y gestión del programa académico al cual pertenezco permite cumplir los objetivos de: DESARROLLO REGULAR DE LOS ESPACIOS Y DE LOS SEMESTRES ACADÉMICOS.</v>
      </c>
      <c r="G520" s="203">
        <f>Apreciación!F178</f>
        <v>0</v>
      </c>
      <c r="H520" s="203">
        <f>Apreciación!G178</f>
        <v>0</v>
      </c>
      <c r="I520" s="203">
        <f>Apreciación!H178</f>
        <v>3.7037037037037035E-2</v>
      </c>
      <c r="J520" s="203">
        <f>Apreciación!I178</f>
        <v>0.25925925925925924</v>
      </c>
      <c r="K520" s="203">
        <f>Apreciación!J178</f>
        <v>0.70370370370370372</v>
      </c>
      <c r="L520" s="203">
        <f>Apreciación!K178</f>
        <v>0</v>
      </c>
      <c r="M520" s="146">
        <f t="shared" si="65"/>
        <v>4.568518518518518</v>
      </c>
      <c r="N520" s="324">
        <f>AVERAGE(M520:M522)</f>
        <v>4.0691358024691349</v>
      </c>
      <c r="O520" s="325"/>
      <c r="P520" s="325"/>
      <c r="Q520" s="325"/>
      <c r="R520" s="17" t="str">
        <f>IF(((M520&gt;=$Z$4)*AND(M520&lt;=$AA$4)),$Y$4,IF(((M520&gt;$AA$4)*AND(M520&lt;=$AA$5)),$Y$5,IF(((M520&gt;$AA$5)*AND(M520&lt;=$AA$6)),$Y$6,IF(((M520&gt;$AA$6)*AND(M520&lt;=$AA$7)),$Y$7,IF(((M520&gt;$AA$7)*AND(M520&lt;=$AA$8)),$Y$8,IF(EXACT(M520,$Y$9),$Z$9))))))</f>
        <v>A</v>
      </c>
      <c r="S520" s="327" t="str">
        <f>IF(((N520&gt;=$Z$4)*AND(N520&lt;=$AA$4)),$Y$4,IF(((N520&gt;$AA$4)*AND(N520&lt;=$AA$5)),$Y$5,IF(((N520&gt;$AA$5)*AND(N520&lt;=$AA$6)),$Y$6,IF(((N520&gt;$AA$6)*AND(N520&lt;=$AA$7)),$Y$7,IF(((N520&gt;$AA$7)*AND(N520&lt;=$AA$8)),$Y$8,IF(EXACT(N520,$Y$9),$Z$9))))))</f>
        <v>B</v>
      </c>
      <c r="T520" s="328"/>
      <c r="U520" s="328"/>
      <c r="V520" s="328"/>
    </row>
    <row r="521" spans="1:22" ht="48" x14ac:dyDescent="0.25">
      <c r="A521" s="343"/>
      <c r="B521" s="343"/>
      <c r="C521" s="334"/>
      <c r="D521" s="331"/>
      <c r="E521" s="11" t="str">
        <f>Apreciación!A179</f>
        <v>Docentes</v>
      </c>
      <c r="F521" s="12" t="str">
        <f>Apreciación!E179</f>
        <v>Cuenta de 60.2. La organización, administración y gestión del programa académico al cual pertenezco permite cumplir los objetivos de: PROMOCIÓN DE LA CULTURA DE LA INVESTIGACIÓN</v>
      </c>
      <c r="G521" s="203">
        <f>Apreciación!F179</f>
        <v>0.1111111111111111</v>
      </c>
      <c r="H521" s="203">
        <f>Apreciación!G179</f>
        <v>3.7037037037037035E-2</v>
      </c>
      <c r="I521" s="203">
        <f>Apreciación!H179</f>
        <v>7.407407407407407E-2</v>
      </c>
      <c r="J521" s="203">
        <f>Apreciación!I179</f>
        <v>0.44444444444444442</v>
      </c>
      <c r="K521" s="203">
        <f>Apreciación!J179</f>
        <v>0.29629629629629628</v>
      </c>
      <c r="L521" s="203">
        <f>Apreciación!K179</f>
        <v>3.7037037037037035E-2</v>
      </c>
      <c r="M521" s="146">
        <f t="shared" si="65"/>
        <v>3.8462962962962965</v>
      </c>
      <c r="N521" s="325"/>
      <c r="O521" s="325"/>
      <c r="P521" s="325"/>
      <c r="Q521" s="325"/>
      <c r="R521" s="17" t="str">
        <f>IF(((M521&gt;=$Z$4)*AND(M521&lt;=$AA$4)),$Y$4,IF(((M521&gt;$AA$4)*AND(M521&lt;=$AA$5)),$Y$5,IF(((M521&gt;$AA$5)*AND(M521&lt;=$AA$6)),$Y$6,IF(((M521&gt;$AA$6)*AND(M521&lt;=$AA$7)),$Y$7,IF(((M521&gt;$AA$7)*AND(M521&lt;=$AA$8)),$Y$8,IF(EXACT(M521,$Y$9),$Z$9))))))</f>
        <v>C</v>
      </c>
      <c r="S521" s="328"/>
      <c r="T521" s="328"/>
      <c r="U521" s="328"/>
      <c r="V521" s="328"/>
    </row>
    <row r="522" spans="1:22" ht="60" x14ac:dyDescent="0.25">
      <c r="A522" s="343"/>
      <c r="B522" s="343"/>
      <c r="C522" s="335"/>
      <c r="D522" s="332"/>
      <c r="E522" s="11" t="str">
        <f>Apreciación!A180</f>
        <v>Docentes</v>
      </c>
      <c r="F522" s="12" t="str">
        <f>Apreciación!E180</f>
        <v>Cuenta de 60.3. La organización, administración y gestión del programa académico al cual pertenezco permite cumplir los objetivos de: INTEGRACIÓN CON LA COMUNIDAD Y CON EL ENTORNO.</v>
      </c>
      <c r="G522" s="203">
        <f>Apreciación!F180</f>
        <v>0.1111111111111111</v>
      </c>
      <c r="H522" s="203">
        <f>Apreciación!G180</f>
        <v>3.7037037037037035E-2</v>
      </c>
      <c r="I522" s="203">
        <f>Apreciación!H180</f>
        <v>0.22222222222222221</v>
      </c>
      <c r="J522" s="203">
        <f>Apreciación!I180</f>
        <v>0.25925925925925924</v>
      </c>
      <c r="K522" s="203">
        <f>Apreciación!J180</f>
        <v>0.33333333333333331</v>
      </c>
      <c r="L522" s="203">
        <f>Apreciación!K180</f>
        <v>3.7037037037037035E-2</v>
      </c>
      <c r="M522" s="146">
        <f t="shared" si="65"/>
        <v>3.7925925925925918</v>
      </c>
      <c r="N522" s="326"/>
      <c r="O522" s="326"/>
      <c r="P522" s="325"/>
      <c r="Q522" s="325"/>
      <c r="R522" s="17" t="str">
        <f>IF(((M522&gt;=$Z$4)*AND(M522&lt;=$AA$4)),$Y$4,IF(((M522&gt;$AA$4)*AND(M522&lt;=$AA$5)),$Y$5,IF(((M522&gt;$AA$5)*AND(M522&lt;=$AA$6)),$Y$6,IF(((M522&gt;$AA$6)*AND(M522&lt;=$AA$7)),$Y$7,IF(((M522&gt;$AA$7)*AND(M522&lt;=$AA$8)),$Y$8,IF(EXACT(M522,$Y$9),$Z$9))))))</f>
        <v>C</v>
      </c>
      <c r="S522" s="329"/>
      <c r="T522" s="329"/>
      <c r="U522" s="328"/>
      <c r="V522" s="328"/>
    </row>
    <row r="523" spans="1:22" ht="48" customHeight="1" x14ac:dyDescent="0.25">
      <c r="A523" s="343"/>
      <c r="B523" s="343"/>
      <c r="C523" s="333" t="str">
        <f>Final!E208</f>
        <v>b</v>
      </c>
      <c r="D523" s="330" t="str">
        <f>Final!F208</f>
        <v>Correspondencia entre la organización, administración y gestión del proyecto curricular y los objetivos definidos en sus planes de desarrollo y mejoramiento</v>
      </c>
      <c r="E523" s="73" t="str">
        <f>Apreciación!A91</f>
        <v>Estudiantes</v>
      </c>
      <c r="F523" s="133" t="str">
        <f>Apreciación!E91</f>
        <v>Cuenta de 64. Considero que la representación estudiantil cumple su papel de comunicación entre los directivos y los estudiantes.</v>
      </c>
      <c r="G523" s="204">
        <f>Apreciación!F91</f>
        <v>0.15568862275449102</v>
      </c>
      <c r="H523" s="204">
        <f>Apreciación!G91</f>
        <v>0.1377245508982036</v>
      </c>
      <c r="I523" s="204">
        <f>Apreciación!H91</f>
        <v>0.24550898203592814</v>
      </c>
      <c r="J523" s="204">
        <f>Apreciación!I91</f>
        <v>0.18562874251497005</v>
      </c>
      <c r="K523" s="204">
        <f>Apreciación!J91</f>
        <v>0.12574850299401197</v>
      </c>
      <c r="L523" s="204">
        <f>Apreciación!K91</f>
        <v>0.1497005988023952</v>
      </c>
      <c r="M523" s="18">
        <f t="shared" si="65"/>
        <v>2.9562874251497004</v>
      </c>
      <c r="N523" s="324">
        <f>AVERAGE(M523:M524)</f>
        <v>2.7928143712574851</v>
      </c>
      <c r="O523" s="324">
        <f>(N523*$AE$5)+(N525*$AE$4)+(N526*$AE$6)+(N527*$AE$8)+(AVERAGE(N523:N527)*$AE$7)</f>
        <v>3.3275455560987783</v>
      </c>
      <c r="P523" s="325"/>
      <c r="Q523" s="325"/>
      <c r="R523" s="17" t="str">
        <f t="shared" si="59"/>
        <v>D</v>
      </c>
      <c r="S523" s="327" t="str">
        <f t="shared" si="60"/>
        <v>D</v>
      </c>
      <c r="T523" s="327" t="str">
        <f t="shared" si="61"/>
        <v>D</v>
      </c>
      <c r="U523" s="328"/>
      <c r="V523" s="328"/>
    </row>
    <row r="524" spans="1:22" ht="36" x14ac:dyDescent="0.25">
      <c r="A524" s="343"/>
      <c r="B524" s="343"/>
      <c r="C524" s="334"/>
      <c r="D524" s="331"/>
      <c r="E524" s="73" t="str">
        <f>Apreciación!A92</f>
        <v>Estudiantes</v>
      </c>
      <c r="F524" s="133" t="str">
        <f>Apreciación!E92</f>
        <v xml:space="preserve">Cuenta de 65. Los representantes estudiantiles han liderado propuestas para el mejoramiento de mi programa académico. </v>
      </c>
      <c r="G524" s="204">
        <f>Apreciación!F92</f>
        <v>0.1497005988023952</v>
      </c>
      <c r="H524" s="204">
        <f>Apreciación!G92</f>
        <v>9.580838323353294E-2</v>
      </c>
      <c r="I524" s="204">
        <f>Apreciación!H92</f>
        <v>0.25748502994011974</v>
      </c>
      <c r="J524" s="204">
        <f>Apreciación!I92</f>
        <v>0.20359281437125748</v>
      </c>
      <c r="K524" s="204">
        <f>Apreciación!J92</f>
        <v>5.9880239520958084E-2</v>
      </c>
      <c r="L524" s="204">
        <f>Apreciación!K92</f>
        <v>0.23353293413173654</v>
      </c>
      <c r="M524" s="146">
        <f t="shared" si="65"/>
        <v>2.6293413173652693</v>
      </c>
      <c r="N524" s="326"/>
      <c r="O524" s="325"/>
      <c r="P524" s="325"/>
      <c r="Q524" s="325"/>
      <c r="R524" s="17" t="str">
        <f t="shared" ref="R524:R530" si="66">IF(((M524&gt;=$Z$4)*AND(M524&lt;=$AA$4)),$Y$4,IF(((M524&gt;$AA$4)*AND(M524&lt;=$AA$5)),$Y$5,IF(((M524&gt;$AA$5)*AND(M524&lt;=$AA$6)),$Y$6,IF(((M524&gt;$AA$6)*AND(M524&lt;=$AA$7)),$Y$7,IF(((M524&gt;$AA$7)*AND(M524&lt;=$AA$8)),$Y$8,IF(EXACT(M524,$Y$9),$Z$9))))))</f>
        <v>D</v>
      </c>
      <c r="S524" s="329"/>
      <c r="T524" s="328"/>
      <c r="U524" s="328"/>
      <c r="V524" s="328"/>
    </row>
    <row r="525" spans="1:22" ht="36" x14ac:dyDescent="0.25">
      <c r="A525" s="343"/>
      <c r="B525" s="343"/>
      <c r="C525" s="334"/>
      <c r="D525" s="331"/>
      <c r="E525" s="73" t="str">
        <f>Apreciación!A181</f>
        <v>Docentes</v>
      </c>
      <c r="F525" s="133" t="str">
        <f>Apreciación!E181</f>
        <v>Cuenta de 61. Considero que la representación docente cumple su papel de comunicación entre los directivos y los docentes.</v>
      </c>
      <c r="G525" s="204">
        <f>Apreciación!F181</f>
        <v>0.14814814814814814</v>
      </c>
      <c r="H525" s="204">
        <f>Apreciación!G181</f>
        <v>7.407407407407407E-2</v>
      </c>
      <c r="I525" s="204">
        <f>Apreciación!H181</f>
        <v>0.22222222222222221</v>
      </c>
      <c r="J525" s="204">
        <f>Apreciación!I181</f>
        <v>0.33333333333333331</v>
      </c>
      <c r="K525" s="204">
        <f>Apreciación!J181</f>
        <v>0.14814814814814814</v>
      </c>
      <c r="L525" s="204">
        <f>Apreciación!K181</f>
        <v>7.407407407407407E-2</v>
      </c>
      <c r="M525" s="146">
        <f t="shared" si="65"/>
        <v>3.3962962962962959</v>
      </c>
      <c r="N525" s="141">
        <f t="shared" ref="N525:N530" si="67">AVERAGE(M525)</f>
        <v>3.3962962962962959</v>
      </c>
      <c r="O525" s="325"/>
      <c r="P525" s="325"/>
      <c r="Q525" s="325"/>
      <c r="R525" s="17" t="str">
        <f t="shared" si="66"/>
        <v>D</v>
      </c>
      <c r="S525" s="17" t="str">
        <f t="shared" ref="S525:S530" si="68">IF(((N525&gt;=$Z$4)*AND(N525&lt;=$AA$4)),$Y$4,IF(((N525&gt;$AA$4)*AND(N525&lt;=$AA$5)),$Y$5,IF(((N525&gt;$AA$5)*AND(N525&lt;=$AA$6)),$Y$6,IF(((N525&gt;$AA$6)*AND(N525&lt;=$AA$7)),$Y$7,IF(((N525&gt;$AA$7)*AND(N525&lt;=$AA$8)),$Y$8,IF(EXACT(N525,$Y$9),$Z$9))))))</f>
        <v>D</v>
      </c>
      <c r="T525" s="328"/>
      <c r="U525" s="328"/>
      <c r="V525" s="328"/>
    </row>
    <row r="526" spans="1:22" ht="36" x14ac:dyDescent="0.25">
      <c r="A526" s="343"/>
      <c r="B526" s="343"/>
      <c r="C526" s="334"/>
      <c r="D526" s="331"/>
      <c r="E526" s="6" t="str">
        <f>Apreciación!A213</f>
        <v>Egresados</v>
      </c>
      <c r="F526" s="180" t="str">
        <f>Apreciación!E213</f>
        <v>Cuenta de 11.3. Mi paso por la Facultad Tecnológica de la Universidad Distrital me ayudó a: HACER CONSULTAS BIBLIOGRÁFICAS EFECTIVAS</v>
      </c>
      <c r="G526" s="204">
        <f>Apreciación!F213</f>
        <v>2.564102564102564E-2</v>
      </c>
      <c r="H526" s="204">
        <f>Apreciación!G213</f>
        <v>3.8461538461538464E-2</v>
      </c>
      <c r="I526" s="204">
        <f>Apreciación!H213</f>
        <v>0.16666666666666666</v>
      </c>
      <c r="J526" s="204">
        <f>Apreciación!I213</f>
        <v>0.4358974358974359</v>
      </c>
      <c r="K526" s="204">
        <f>Apreciación!J213</f>
        <v>0.32051282051282054</v>
      </c>
      <c r="L526" s="204">
        <f>Apreciación!K213</f>
        <v>1.282051282051282E-2</v>
      </c>
      <c r="M526" s="146">
        <f t="shared" si="65"/>
        <v>4.1269230769230774</v>
      </c>
      <c r="N526" s="141">
        <f t="shared" si="67"/>
        <v>4.1269230769230774</v>
      </c>
      <c r="O526" s="325"/>
      <c r="P526" s="325"/>
      <c r="Q526" s="325"/>
      <c r="R526" s="17" t="str">
        <f t="shared" si="66"/>
        <v>B</v>
      </c>
      <c r="S526" s="17" t="str">
        <f t="shared" si="68"/>
        <v>B</v>
      </c>
      <c r="T526" s="328"/>
      <c r="U526" s="328"/>
      <c r="V526" s="328"/>
    </row>
    <row r="527" spans="1:22" ht="36" customHeight="1" x14ac:dyDescent="0.25">
      <c r="A527" s="343"/>
      <c r="B527" s="343"/>
      <c r="C527" s="334"/>
      <c r="D527" s="331"/>
      <c r="E527" s="73" t="str">
        <f>Apreciación!A248</f>
        <v>Administrativos</v>
      </c>
      <c r="F527" s="133" t="str">
        <f>Apreciación!E248</f>
        <v>Cuenta de 18. Considero que la representación de los administrativos cumple su papel de comunicación entre los directivos y el personal administrativo.</v>
      </c>
      <c r="G527" s="204">
        <f>Apreciación!F248</f>
        <v>8.771929824561403E-2</v>
      </c>
      <c r="H527" s="204">
        <f>Apreciación!G248</f>
        <v>0.12280701754385964</v>
      </c>
      <c r="I527" s="204">
        <f>Apreciación!H248</f>
        <v>0.26315789473684209</v>
      </c>
      <c r="J527" s="204">
        <f>Apreciación!I248</f>
        <v>0.32456140350877194</v>
      </c>
      <c r="K527" s="204">
        <f>Apreciación!J248</f>
        <v>0.11403508771929824</v>
      </c>
      <c r="L527" s="204">
        <f>Apreciación!K248</f>
        <v>8.771929824561403E-2</v>
      </c>
      <c r="M527" s="146">
        <f t="shared" si="65"/>
        <v>3.3899122807017545</v>
      </c>
      <c r="N527" s="141">
        <f t="shared" si="67"/>
        <v>3.3899122807017545</v>
      </c>
      <c r="O527" s="326"/>
      <c r="P527" s="325"/>
      <c r="Q527" s="325"/>
      <c r="R527" s="17" t="str">
        <f t="shared" si="66"/>
        <v>D</v>
      </c>
      <c r="S527" s="17" t="str">
        <f t="shared" si="68"/>
        <v>D</v>
      </c>
      <c r="T527" s="329"/>
      <c r="U527" s="328"/>
      <c r="V527" s="328"/>
    </row>
    <row r="528" spans="1:22" ht="36" customHeight="1" x14ac:dyDescent="0.25">
      <c r="A528" s="343"/>
      <c r="B528" s="343"/>
      <c r="C528" s="333" t="str">
        <f>Final!E209</f>
        <v>c1</v>
      </c>
      <c r="D528" s="330" t="str">
        <f>Final!F209</f>
        <v>Información verificable sobre mecanismos orientados al mejoramiento de la calidad de los procesos en el proyecto curricular.</v>
      </c>
      <c r="E528" s="73" t="str">
        <f>Apreciación!A54</f>
        <v>Estudiantes</v>
      </c>
      <c r="F528" s="133" t="str">
        <f>Apreciación!E54</f>
        <v>Cuenta de 44. Puedo identificar mejoras realizadas  en mi programa académico durante el último año.</v>
      </c>
      <c r="G528" s="204">
        <f>Apreciación!F54</f>
        <v>0.11377245508982035</v>
      </c>
      <c r="H528" s="204">
        <f>Apreciación!G54</f>
        <v>0.11976047904191617</v>
      </c>
      <c r="I528" s="204">
        <f>Apreciación!H54</f>
        <v>0.26347305389221559</v>
      </c>
      <c r="J528" s="204">
        <f>Apreciación!I54</f>
        <v>0.19760479041916168</v>
      </c>
      <c r="K528" s="204">
        <f>Apreciación!J54</f>
        <v>0.1497005988023952</v>
      </c>
      <c r="L528" s="204">
        <f>Apreciación!K54</f>
        <v>0.15568862275449102</v>
      </c>
      <c r="M528" s="18">
        <f t="shared" si="65"/>
        <v>3.0625748502994012</v>
      </c>
      <c r="N528" s="63">
        <f t="shared" si="67"/>
        <v>3.0625748502994012</v>
      </c>
      <c r="O528" s="324">
        <f>(N528*$AE$5)+(N529*$AE$4)+(AVERAGE(N528:N530)*$AE$6)+(N530*$AE$8)+(AVERAGE(N528:N530)*$AE$7)</f>
        <v>3.5325737705874802</v>
      </c>
      <c r="P528" s="325"/>
      <c r="Q528" s="325"/>
      <c r="R528" s="17" t="str">
        <f t="shared" si="66"/>
        <v>D</v>
      </c>
      <c r="S528" s="17" t="str">
        <f t="shared" si="68"/>
        <v>D</v>
      </c>
      <c r="T528" s="327" t="str">
        <f>IF(((O528&gt;=$Z$4)*AND(O528&lt;=$AA$4)),$Y$4,IF(((O528&gt;$AA$4)*AND(O528&lt;=$AA$5)),$Y$5,IF(((O528&gt;$AA$5)*AND(O528&lt;=$AA$6)),$Y$6,IF(((O528&gt;$AA$6)*AND(O528&lt;=$AA$7)),$Y$7,IF(((O528&gt;$AA$7)*AND(O528&lt;=$AA$8)),$Y$8,IF(EXACT(O528,$Y$9),$Z$9))))))</f>
        <v>C</v>
      </c>
      <c r="U528" s="328"/>
      <c r="V528" s="328"/>
    </row>
    <row r="529" spans="1:22" ht="36" x14ac:dyDescent="0.25">
      <c r="A529" s="343"/>
      <c r="B529" s="343"/>
      <c r="C529" s="334"/>
      <c r="D529" s="331"/>
      <c r="E529" s="73" t="str">
        <f>Apreciación!A151</f>
        <v>Docentes</v>
      </c>
      <c r="F529" s="133" t="str">
        <f>Apreciación!E151</f>
        <v>Cuenta de 48. Puedo identificar mejoras realizadas en el programa académico al cual pertenezco durante el último año.</v>
      </c>
      <c r="G529" s="204">
        <f>Apreciación!F151</f>
        <v>7.407407407407407E-2</v>
      </c>
      <c r="H529" s="204">
        <f>Apreciación!G151</f>
        <v>0</v>
      </c>
      <c r="I529" s="204">
        <f>Apreciación!H151</f>
        <v>0.18518518518518517</v>
      </c>
      <c r="J529" s="204">
        <f>Apreciación!I151</f>
        <v>0.25925925925925924</v>
      </c>
      <c r="K529" s="204">
        <f>Apreciación!J151</f>
        <v>0.44444444444444442</v>
      </c>
      <c r="L529" s="204">
        <f>Apreciación!K151</f>
        <v>3.7037037037037035E-2</v>
      </c>
      <c r="M529" s="146">
        <f t="shared" si="65"/>
        <v>4.0111111111111111</v>
      </c>
      <c r="N529" s="141">
        <f t="shared" si="67"/>
        <v>4.0111111111111111</v>
      </c>
      <c r="O529" s="325"/>
      <c r="P529" s="325"/>
      <c r="Q529" s="325"/>
      <c r="R529" s="17" t="str">
        <f t="shared" si="66"/>
        <v>B</v>
      </c>
      <c r="S529" s="17" t="str">
        <f t="shared" si="68"/>
        <v>B</v>
      </c>
      <c r="T529" s="328"/>
      <c r="U529" s="328"/>
      <c r="V529" s="328"/>
    </row>
    <row r="530" spans="1:22" ht="48" customHeight="1" x14ac:dyDescent="0.25">
      <c r="A530" s="343"/>
      <c r="B530" s="343"/>
      <c r="C530" s="335"/>
      <c r="D530" s="332"/>
      <c r="E530" s="73" t="str">
        <f>Apreciación!A249</f>
        <v>Administrativos</v>
      </c>
      <c r="F530" s="133" t="str">
        <f>Apreciación!E249</f>
        <v>Cuenta de 19. Considero que los representantes administrativos han liderado propuestas para el mejoramiento de los programas académicos con los cuales me he relacionado.</v>
      </c>
      <c r="G530" s="204">
        <f>Apreciación!F249</f>
        <v>8.771929824561403E-2</v>
      </c>
      <c r="H530" s="204">
        <f>Apreciación!G249</f>
        <v>0.12280701754385964</v>
      </c>
      <c r="I530" s="204">
        <f>Apreciación!H249</f>
        <v>0.21929824561403508</v>
      </c>
      <c r="J530" s="204">
        <f>Apreciación!I249</f>
        <v>0.31578947368421051</v>
      </c>
      <c r="K530" s="204">
        <f>Apreciación!J249</f>
        <v>0.10526315789473684</v>
      </c>
      <c r="L530" s="204">
        <f>Apreciación!K249</f>
        <v>0.14912280701754385</v>
      </c>
      <c r="M530" s="146">
        <f t="shared" si="65"/>
        <v>3.1491228070175437</v>
      </c>
      <c r="N530" s="141">
        <f t="shared" si="67"/>
        <v>3.1491228070175437</v>
      </c>
      <c r="O530" s="326"/>
      <c r="P530" s="325"/>
      <c r="Q530" s="325"/>
      <c r="R530" s="17" t="str">
        <f t="shared" si="66"/>
        <v>D</v>
      </c>
      <c r="S530" s="17" t="str">
        <f t="shared" si="68"/>
        <v>D</v>
      </c>
      <c r="T530" s="329"/>
      <c r="U530" s="328"/>
      <c r="V530" s="328"/>
    </row>
    <row r="531" spans="1:22" ht="60" x14ac:dyDescent="0.25">
      <c r="A531" s="343"/>
      <c r="B531" s="343"/>
      <c r="C531" s="58" t="str">
        <f>Final!E210</f>
        <v>c2</v>
      </c>
      <c r="D531" s="59" t="str">
        <f>Final!F210</f>
        <v>Criterios institucionales para la toma de decisiones sobre asignación de cargos, responsabilidades y procedimientos en los diferentes proyectos curriculares. Evidencia sobre la aplicación de estos criterios.</v>
      </c>
      <c r="E531" s="61" t="s">
        <v>64</v>
      </c>
      <c r="F531" s="61" t="s">
        <v>64</v>
      </c>
      <c r="G531" s="204" t="s">
        <v>64</v>
      </c>
      <c r="H531" s="204" t="s">
        <v>64</v>
      </c>
      <c r="I531" s="204" t="s">
        <v>64</v>
      </c>
      <c r="J531" s="204" t="s">
        <v>64</v>
      </c>
      <c r="K531" s="204" t="s">
        <v>64</v>
      </c>
      <c r="L531" s="204" t="s">
        <v>64</v>
      </c>
      <c r="M531" s="96" t="s">
        <v>64</v>
      </c>
      <c r="N531" s="96" t="s">
        <v>64</v>
      </c>
      <c r="O531" s="96" t="s">
        <v>64</v>
      </c>
      <c r="P531" s="325"/>
      <c r="Q531" s="325"/>
      <c r="R531" s="17" t="str">
        <f t="shared" si="59"/>
        <v>NA</v>
      </c>
      <c r="S531" s="17" t="str">
        <f t="shared" si="60"/>
        <v>NA</v>
      </c>
      <c r="T531" s="17" t="str">
        <f t="shared" si="61"/>
        <v>NA</v>
      </c>
      <c r="U531" s="328"/>
      <c r="V531" s="328"/>
    </row>
    <row r="532" spans="1:22" ht="24" x14ac:dyDescent="0.25">
      <c r="A532" s="343"/>
      <c r="B532" s="343"/>
      <c r="C532" s="58" t="str">
        <f>Final!E211</f>
        <v>d</v>
      </c>
      <c r="D532" s="59" t="str">
        <f>Final!F211</f>
        <v>Cantidad y dedicación del talento humano para cubrir las necesidades del proyecto curricular.</v>
      </c>
      <c r="E532" s="61" t="s">
        <v>64</v>
      </c>
      <c r="F532" s="61" t="s">
        <v>64</v>
      </c>
      <c r="G532" s="204" t="s">
        <v>64</v>
      </c>
      <c r="H532" s="204" t="s">
        <v>64</v>
      </c>
      <c r="I532" s="204" t="s">
        <v>64</v>
      </c>
      <c r="J532" s="204" t="s">
        <v>64</v>
      </c>
      <c r="K532" s="204" t="s">
        <v>64</v>
      </c>
      <c r="L532" s="204" t="s">
        <v>64</v>
      </c>
      <c r="M532" s="96" t="s">
        <v>64</v>
      </c>
      <c r="N532" s="96" t="s">
        <v>64</v>
      </c>
      <c r="O532" s="96" t="s">
        <v>64</v>
      </c>
      <c r="P532" s="325"/>
      <c r="Q532" s="325"/>
      <c r="R532" s="17" t="str">
        <f t="shared" si="59"/>
        <v>NA</v>
      </c>
      <c r="S532" s="17" t="str">
        <f t="shared" si="60"/>
        <v>NA</v>
      </c>
      <c r="T532" s="17" t="str">
        <f t="shared" si="61"/>
        <v>NA</v>
      </c>
      <c r="U532" s="328"/>
      <c r="V532" s="328"/>
    </row>
    <row r="533" spans="1:22" ht="24" x14ac:dyDescent="0.25">
      <c r="A533" s="343"/>
      <c r="B533" s="343"/>
      <c r="C533" s="58" t="str">
        <f>Final!E212</f>
        <v>e</v>
      </c>
      <c r="D533" s="59" t="str">
        <f>Final!F212</f>
        <v>Formación y experiencia de quienes orientan la administración del programa.</v>
      </c>
      <c r="E533" s="61" t="s">
        <v>64</v>
      </c>
      <c r="F533" s="61" t="s">
        <v>64</v>
      </c>
      <c r="G533" s="204" t="s">
        <v>64</v>
      </c>
      <c r="H533" s="204" t="s">
        <v>64</v>
      </c>
      <c r="I533" s="204" t="s">
        <v>64</v>
      </c>
      <c r="J533" s="204" t="s">
        <v>64</v>
      </c>
      <c r="K533" s="204" t="s">
        <v>64</v>
      </c>
      <c r="L533" s="204" t="s">
        <v>64</v>
      </c>
      <c r="M533" s="96" t="s">
        <v>64</v>
      </c>
      <c r="N533" s="96" t="s">
        <v>64</v>
      </c>
      <c r="O533" s="96" t="s">
        <v>64</v>
      </c>
      <c r="P533" s="325"/>
      <c r="Q533" s="325"/>
      <c r="R533" s="17" t="str">
        <f t="shared" si="59"/>
        <v>NA</v>
      </c>
      <c r="S533" s="17" t="str">
        <f t="shared" si="60"/>
        <v>NA</v>
      </c>
      <c r="T533" s="17" t="str">
        <f t="shared" si="61"/>
        <v>NA</v>
      </c>
      <c r="U533" s="328"/>
      <c r="V533" s="328"/>
    </row>
    <row r="534" spans="1:22" ht="48" x14ac:dyDescent="0.25">
      <c r="A534" s="343"/>
      <c r="B534" s="343"/>
      <c r="C534" s="333" t="str">
        <f>Final!E213</f>
        <v>f</v>
      </c>
      <c r="D534" s="330" t="str">
        <f>Final!F213</f>
        <v>Apreciación del personal administrativo del proyecto curricular sobre la claridad de las funciones encomendadas, y sobre la articulación de sus tareas con las necesidades y objetivos del proyecto curricular.</v>
      </c>
      <c r="E534" s="11" t="str">
        <f>Apreciación!A244</f>
        <v>Administrativos</v>
      </c>
      <c r="F534" s="12" t="str">
        <f>Apreciación!E244</f>
        <v>Cuenta de 14. Las tareas que me son asignadas corresponden con las necesidades de los programas académicos con los cuales me he relacionado.</v>
      </c>
      <c r="G534" s="203">
        <f>Apreciación!F244</f>
        <v>8.771929824561403E-3</v>
      </c>
      <c r="H534" s="203">
        <f>Apreciación!G244</f>
        <v>0.11403508771929824</v>
      </c>
      <c r="I534" s="203">
        <f>Apreciación!H244</f>
        <v>0.39473684210526316</v>
      </c>
      <c r="J534" s="203">
        <f>Apreciación!I244</f>
        <v>0.46491228070175439</v>
      </c>
      <c r="K534" s="203">
        <f>Apreciación!J244</f>
        <v>1.7543859649122806E-2</v>
      </c>
      <c r="L534" s="203">
        <f>Apreciación!K244</f>
        <v>0</v>
      </c>
      <c r="M534" s="18">
        <f>(G534*$G$2)+(H534*$H$2)+(I534*$I$2)+(J534*$J$2)+(K534*$K$2)+(L534*$L$2)</f>
        <v>3.8478070175438597</v>
      </c>
      <c r="N534" s="324">
        <f>AVERAGE(M534:M537)</f>
        <v>4.0960526315789476</v>
      </c>
      <c r="O534" s="324">
        <f>AVERAGE(N534)</f>
        <v>4.0960526315789476</v>
      </c>
      <c r="P534" s="325"/>
      <c r="Q534" s="325"/>
      <c r="R534" s="17" t="str">
        <f t="shared" si="59"/>
        <v>C</v>
      </c>
      <c r="S534" s="327" t="str">
        <f t="shared" si="60"/>
        <v>B</v>
      </c>
      <c r="T534" s="327" t="str">
        <f t="shared" si="61"/>
        <v>B</v>
      </c>
      <c r="U534" s="328"/>
      <c r="V534" s="328"/>
    </row>
    <row r="535" spans="1:22" ht="48" x14ac:dyDescent="0.25">
      <c r="A535" s="343"/>
      <c r="B535" s="343"/>
      <c r="C535" s="334"/>
      <c r="D535" s="331"/>
      <c r="E535" s="11" t="str">
        <f>Apreciación!A245</f>
        <v>Administrativos</v>
      </c>
      <c r="F535" s="12" t="str">
        <f>Apreciación!E245</f>
        <v>Cuenta de 15. Considero que las funciones a mi cargo fueron debidamente planeadas para el logro de los objetivos de los programas académicos con los cuales me he relacionado.</v>
      </c>
      <c r="G535" s="203">
        <f>Apreciación!F245</f>
        <v>1.7543859649122806E-2</v>
      </c>
      <c r="H535" s="203">
        <f>Apreciación!G245</f>
        <v>5.2631578947368418E-2</v>
      </c>
      <c r="I535" s="203">
        <f>Apreciación!H245</f>
        <v>0.11403508771929824</v>
      </c>
      <c r="J535" s="203">
        <f>Apreciación!I245</f>
        <v>0.42982456140350878</v>
      </c>
      <c r="K535" s="203">
        <f>Apreciación!J245</f>
        <v>0.35087719298245612</v>
      </c>
      <c r="L535" s="203">
        <f>Apreciación!K245</f>
        <v>3.5087719298245612E-2</v>
      </c>
      <c r="M535" s="96">
        <f>(G535*$G$2)+(H535*$H$2)+(I535*$I$2)+(J535*$J$2)+(K535*$K$2)+(L535*$L$2)</f>
        <v>4.0789473684210531</v>
      </c>
      <c r="N535" s="325"/>
      <c r="O535" s="325"/>
      <c r="P535" s="325"/>
      <c r="Q535" s="325"/>
      <c r="R535" s="17" t="str">
        <f>IF(((M535&gt;=$Z$4)*AND(M535&lt;=$AA$4)),$Y$4,IF(((M535&gt;$AA$4)*AND(M535&lt;=$AA$5)),$Y$5,IF(((M535&gt;$AA$5)*AND(M535&lt;=$AA$6)),$Y$6,IF(((M535&gt;$AA$6)*AND(M535&lt;=$AA$7)),$Y$7,IF(((M535&gt;$AA$7)*AND(M535&lt;=$AA$8)),$Y$8,IF(EXACT(M535,$Y$9),$Z$9))))))</f>
        <v>B</v>
      </c>
      <c r="S535" s="328"/>
      <c r="T535" s="328"/>
      <c r="U535" s="328"/>
      <c r="V535" s="328"/>
    </row>
    <row r="536" spans="1:22" ht="24" x14ac:dyDescent="0.25">
      <c r="A536" s="343"/>
      <c r="B536" s="343"/>
      <c r="C536" s="334"/>
      <c r="D536" s="331"/>
      <c r="E536" s="11" t="str">
        <f>Apreciación!A246</f>
        <v>Administrativos</v>
      </c>
      <c r="F536" s="12" t="str">
        <f>Apreciación!E246</f>
        <v>Cuenta de 16. Considero que mis funciones me fueron entregadas y notificadas oportunamente.</v>
      </c>
      <c r="G536" s="203">
        <f>Apreciación!F246</f>
        <v>2.6315789473684209E-2</v>
      </c>
      <c r="H536" s="203">
        <f>Apreciación!G246</f>
        <v>6.1403508771929821E-2</v>
      </c>
      <c r="I536" s="203">
        <f>Apreciación!H246</f>
        <v>0.14912280701754385</v>
      </c>
      <c r="J536" s="203">
        <f>Apreciación!I246</f>
        <v>0.41228070175438597</v>
      </c>
      <c r="K536" s="203">
        <f>Apreciación!J246</f>
        <v>0.33333333333333331</v>
      </c>
      <c r="L536" s="203">
        <f>Apreciación!K246</f>
        <v>1.7543859649122806E-2</v>
      </c>
      <c r="M536" s="96">
        <f>(G536*$G$2)+(H536*$H$2)+(I536*$I$2)+(J536*$J$2)+(K536*$K$2)+(L536*$L$2)</f>
        <v>4.0925438596491226</v>
      </c>
      <c r="N536" s="325"/>
      <c r="O536" s="325"/>
      <c r="P536" s="325"/>
      <c r="Q536" s="325"/>
      <c r="R536" s="17" t="str">
        <f>IF(((M536&gt;=$Z$4)*AND(M536&lt;=$AA$4)),$Y$4,IF(((M536&gt;$AA$4)*AND(M536&lt;=$AA$5)),$Y$5,IF(((M536&gt;$AA$5)*AND(M536&lt;=$AA$6)),$Y$6,IF(((M536&gt;$AA$6)*AND(M536&lt;=$AA$7)),$Y$7,IF(((M536&gt;$AA$7)*AND(M536&lt;=$AA$8)),$Y$8,IF(EXACT(M536,$Y$9),$Z$9))))))</f>
        <v>B</v>
      </c>
      <c r="S536" s="328"/>
      <c r="T536" s="328"/>
      <c r="U536" s="328"/>
      <c r="V536" s="328"/>
    </row>
    <row r="537" spans="1:22" ht="24" x14ac:dyDescent="0.25">
      <c r="A537" s="343"/>
      <c r="B537" s="343"/>
      <c r="C537" s="335"/>
      <c r="D537" s="332"/>
      <c r="E537" s="11" t="str">
        <f>Apreciación!A247</f>
        <v>Administrativos</v>
      </c>
      <c r="F537" s="12" t="str">
        <f>Apreciación!E247</f>
        <v>Cuenta de 17. Tengo claras las funciones a mi cargo.</v>
      </c>
      <c r="G537" s="203">
        <f>Apreciación!F247</f>
        <v>8.771929824561403E-3</v>
      </c>
      <c r="H537" s="203">
        <f>Apreciación!G247</f>
        <v>2.6315789473684209E-2</v>
      </c>
      <c r="I537" s="203">
        <f>Apreciación!H247</f>
        <v>7.8947368421052627E-2</v>
      </c>
      <c r="J537" s="203">
        <f>Apreciación!I247</f>
        <v>0.26315789473684209</v>
      </c>
      <c r="K537" s="203">
        <f>Apreciación!J247</f>
        <v>0.60526315789473684</v>
      </c>
      <c r="L537" s="203">
        <f>Apreciación!K247</f>
        <v>1.7543859649122806E-2</v>
      </c>
      <c r="M537" s="96">
        <f>(G537*$G$2)+(H537*$H$2)+(I537*$I$2)+(J537*$J$2)+(K537*$K$2)+(L537*$L$2)</f>
        <v>4.3649122807017537</v>
      </c>
      <c r="N537" s="326"/>
      <c r="O537" s="326"/>
      <c r="P537" s="325"/>
      <c r="Q537" s="325"/>
      <c r="R537" s="17" t="str">
        <f>IF(((M537&gt;=$Z$4)*AND(M537&lt;=$AA$4)),$Y$4,IF(((M537&gt;$AA$4)*AND(M537&lt;=$AA$5)),$Y$5,IF(((M537&gt;$AA$5)*AND(M537&lt;=$AA$6)),$Y$6,IF(((M537&gt;$AA$6)*AND(M537&lt;=$AA$7)),$Y$7,IF(((M537&gt;$AA$7)*AND(M537&lt;=$AA$8)),$Y$8,IF(EXACT(M537,$Y$9),$Z$9))))))</f>
        <v>B</v>
      </c>
      <c r="S537" s="329"/>
      <c r="T537" s="329"/>
      <c r="U537" s="328"/>
      <c r="V537" s="328"/>
    </row>
    <row r="538" spans="1:22" ht="36" x14ac:dyDescent="0.25">
      <c r="A538" s="343"/>
      <c r="B538" s="343"/>
      <c r="C538" s="333" t="str">
        <f>Final!E214</f>
        <v>g</v>
      </c>
      <c r="D538" s="330" t="str">
        <f>Final!F214</f>
        <v>Apreciación de profesores y estudiantes adscritos al proyecto curricular sobre la eficiencia, eficacia y orientación de los procesos administrativos hacia el desarrollo de las funciones misionales.</v>
      </c>
      <c r="E538" s="73" t="str">
        <f>Apreciación!A86</f>
        <v>Estudiantes</v>
      </c>
      <c r="F538" s="133" t="str">
        <f>Apreciación!E86</f>
        <v xml:space="preserve">Cuenta de 61. Considero que la atención por parte del personal administrativo de mi programa académico es idónea. </v>
      </c>
      <c r="G538" s="203">
        <f>Apreciación!F86</f>
        <v>9.580838323353294E-2</v>
      </c>
      <c r="H538" s="203">
        <f>Apreciación!G86</f>
        <v>5.9880239520958084E-2</v>
      </c>
      <c r="I538" s="203">
        <f>Apreciación!H86</f>
        <v>0.31736526946107785</v>
      </c>
      <c r="J538" s="203">
        <f>Apreciación!I86</f>
        <v>0.32335329341317365</v>
      </c>
      <c r="K538" s="203">
        <f>Apreciación!J86</f>
        <v>0.16167664670658682</v>
      </c>
      <c r="L538" s="203">
        <f>Apreciación!K86</f>
        <v>4.1916167664670656E-2</v>
      </c>
      <c r="M538" s="18">
        <f>(G538*$G$2)+(H538*$H$2)+(I538*$I$2)+(J538*$J$2)+(K538*$K$2)+(L538*$L$2)</f>
        <v>3.6398203592814369</v>
      </c>
      <c r="N538" s="324">
        <f>AVERAGE(M538:M541)</f>
        <v>3.5597305389221559</v>
      </c>
      <c r="O538" s="324">
        <f>(N538*$AE$5)+(N542*$AE$4)+(AVERAGE(N538:N545)*$AE$6)+(AVERAGE(N538:N545)*$AE$8)+(AVERAGE(N538:N545)*$AE$7)</f>
        <v>3.9144250388112658</v>
      </c>
      <c r="P538" s="325"/>
      <c r="Q538" s="325"/>
      <c r="R538" s="17" t="str">
        <f t="shared" si="59"/>
        <v>C</v>
      </c>
      <c r="S538" s="327" t="str">
        <f t="shared" si="60"/>
        <v>C</v>
      </c>
      <c r="T538" s="327" t="str">
        <f t="shared" si="61"/>
        <v>C</v>
      </c>
      <c r="U538" s="328"/>
      <c r="V538" s="328"/>
    </row>
    <row r="539" spans="1:22" ht="48" x14ac:dyDescent="0.25">
      <c r="A539" s="343"/>
      <c r="B539" s="343"/>
      <c r="C539" s="334"/>
      <c r="D539" s="331"/>
      <c r="E539" s="73" t="str">
        <f>Apreciación!A87</f>
        <v>Estudiantes</v>
      </c>
      <c r="F539" s="133" t="str">
        <f>Apreciación!E87</f>
        <v>Cuenta de 62.1. La organización, administración y gestión de mi programa académico permite cumplir los objetivos de: DESARROLLO REGULAR DE LOS ESPACIOS Y DE LOS SEMESTRES ACADÉMICOS.</v>
      </c>
      <c r="G539" s="203">
        <f>Apreciación!F87</f>
        <v>9.580838323353294E-2</v>
      </c>
      <c r="H539" s="203">
        <f>Apreciación!G87</f>
        <v>3.5928143712574849E-2</v>
      </c>
      <c r="I539" s="203">
        <f>Apreciación!H87</f>
        <v>0.28742514970059879</v>
      </c>
      <c r="J539" s="203">
        <f>Apreciación!I87</f>
        <v>0.39520958083832336</v>
      </c>
      <c r="K539" s="203">
        <f>Apreciación!J87</f>
        <v>0.1317365269461078</v>
      </c>
      <c r="L539" s="203">
        <f>Apreciación!K87</f>
        <v>5.3892215568862277E-2</v>
      </c>
      <c r="M539" s="96">
        <f t="shared" ref="M539:M545" si="69">(G539*$G$2)+(H539*$H$2)+(I539*$I$2)+(J539*$J$2)+(K539*$K$2)+(L539*$L$2)</f>
        <v>3.6179640718562873</v>
      </c>
      <c r="N539" s="325"/>
      <c r="O539" s="325"/>
      <c r="P539" s="325"/>
      <c r="Q539" s="325"/>
      <c r="R539" s="17" t="str">
        <f t="shared" ref="R539:R545" si="70">IF(((M539&gt;=$Z$4)*AND(M539&lt;=$AA$4)),$Y$4,IF(((M539&gt;$AA$4)*AND(M539&lt;=$AA$5)),$Y$5,IF(((M539&gt;$AA$5)*AND(M539&lt;=$AA$6)),$Y$6,IF(((M539&gt;$AA$6)*AND(M539&lt;=$AA$7)),$Y$7,IF(((M539&gt;$AA$7)*AND(M539&lt;=$AA$8)),$Y$8,IF(EXACT(M539,$Y$9),$Z$9))))))</f>
        <v>C</v>
      </c>
      <c r="S539" s="328"/>
      <c r="T539" s="328"/>
      <c r="U539" s="328"/>
      <c r="V539" s="328"/>
    </row>
    <row r="540" spans="1:22" ht="48" x14ac:dyDescent="0.25">
      <c r="A540" s="343"/>
      <c r="B540" s="343"/>
      <c r="C540" s="334"/>
      <c r="D540" s="331"/>
      <c r="E540" s="73" t="str">
        <f>Apreciación!A88</f>
        <v>Estudiantes</v>
      </c>
      <c r="F540" s="133" t="str">
        <f>Apreciación!E88</f>
        <v>Cuenta de 62.2. La organización, administración y gestión de mi programa académico permite cumplir los objetivos de: PROMOCIÓN DE LA CULTURA DE LA INVESTIGACIÓN.</v>
      </c>
      <c r="G540" s="203">
        <f>Apreciación!F88</f>
        <v>8.3832335329341312E-2</v>
      </c>
      <c r="H540" s="203">
        <f>Apreciación!G88</f>
        <v>0.10179640718562874</v>
      </c>
      <c r="I540" s="203">
        <f>Apreciación!H88</f>
        <v>0.29341317365269459</v>
      </c>
      <c r="J540" s="203">
        <f>Apreciación!I88</f>
        <v>0.3592814371257485</v>
      </c>
      <c r="K540" s="203">
        <f>Apreciación!J88</f>
        <v>0.11377245508982035</v>
      </c>
      <c r="L540" s="203">
        <f>Apreciación!K88</f>
        <v>4.790419161676647E-2</v>
      </c>
      <c r="M540" s="96">
        <f t="shared" si="69"/>
        <v>3.5778443113772456</v>
      </c>
      <c r="N540" s="325"/>
      <c r="O540" s="325"/>
      <c r="P540" s="325"/>
      <c r="Q540" s="325"/>
      <c r="R540" s="17" t="str">
        <f t="shared" si="70"/>
        <v>C</v>
      </c>
      <c r="S540" s="328"/>
      <c r="T540" s="328"/>
      <c r="U540" s="328"/>
      <c r="V540" s="328"/>
    </row>
    <row r="541" spans="1:22" ht="48" x14ac:dyDescent="0.25">
      <c r="A541" s="343"/>
      <c r="B541" s="343"/>
      <c r="C541" s="334"/>
      <c r="D541" s="331"/>
      <c r="E541" s="73" t="str">
        <f>Apreciación!A89</f>
        <v>Estudiantes</v>
      </c>
      <c r="F541" s="133" t="str">
        <f>Apreciación!E89</f>
        <v>Cuenta de 62.3. La organización, administración y gestión de mi programa académico permite cumplir los objetivos de: INTEGRACIÓN CON LA COMUNIDAD Y CON EL ENTORNO.</v>
      </c>
      <c r="G541" s="203">
        <f>Apreciación!F89</f>
        <v>8.9820359281437126E-2</v>
      </c>
      <c r="H541" s="203">
        <f>Apreciación!G89</f>
        <v>0.1377245508982036</v>
      </c>
      <c r="I541" s="203">
        <f>Apreciación!H89</f>
        <v>0.22754491017964071</v>
      </c>
      <c r="J541" s="203">
        <f>Apreciación!I89</f>
        <v>0.3413173652694611</v>
      </c>
      <c r="K541" s="203">
        <f>Apreciación!J89</f>
        <v>0.11976047904191617</v>
      </c>
      <c r="L541" s="203">
        <f>Apreciación!K89</f>
        <v>8.3832335329341312E-2</v>
      </c>
      <c r="M541" s="96">
        <f t="shared" si="69"/>
        <v>3.4032934131736532</v>
      </c>
      <c r="N541" s="326"/>
      <c r="O541" s="325"/>
      <c r="P541" s="325"/>
      <c r="Q541" s="325"/>
      <c r="R541" s="17" t="str">
        <f t="shared" si="70"/>
        <v>D</v>
      </c>
      <c r="S541" s="329"/>
      <c r="T541" s="328"/>
      <c r="U541" s="328"/>
      <c r="V541" s="328"/>
    </row>
    <row r="542" spans="1:22" ht="36" x14ac:dyDescent="0.25">
      <c r="A542" s="343"/>
      <c r="B542" s="343"/>
      <c r="C542" s="334"/>
      <c r="D542" s="331"/>
      <c r="E542" s="73" t="str">
        <f>Apreciación!A177</f>
        <v>Docentes</v>
      </c>
      <c r="F542" s="133" t="str">
        <f>Apreciación!E177</f>
        <v xml:space="preserve">Cuenta de 59. Considero que la atención por parte del personal administrativo del programa académico al cual pertenezco es idónea. </v>
      </c>
      <c r="G542" s="203">
        <f>Apreciación!F177</f>
        <v>0</v>
      </c>
      <c r="H542" s="203">
        <f>Apreciación!G177</f>
        <v>0</v>
      </c>
      <c r="I542" s="203">
        <f>Apreciación!H177</f>
        <v>7.407407407407407E-2</v>
      </c>
      <c r="J542" s="203">
        <f>Apreciación!I177</f>
        <v>0.1111111111111111</v>
      </c>
      <c r="K542" s="203">
        <f>Apreciación!J177</f>
        <v>0.81481481481481477</v>
      </c>
      <c r="L542" s="203">
        <f>Apreciación!K177</f>
        <v>0</v>
      </c>
      <c r="M542" s="96">
        <f t="shared" si="69"/>
        <v>4.6111111111111107</v>
      </c>
      <c r="N542" s="324">
        <f>AVERAGE(M542:M545)</f>
        <v>4.2046296296296291</v>
      </c>
      <c r="O542" s="325"/>
      <c r="P542" s="325"/>
      <c r="Q542" s="325"/>
      <c r="R542" s="17" t="str">
        <f t="shared" si="70"/>
        <v>A</v>
      </c>
      <c r="S542" s="327" t="str">
        <f>IF(((N542&gt;=$Z$4)*AND(N542&lt;=$AA$4)),$Y$4,IF(((N542&gt;$AA$4)*AND(N542&lt;=$AA$5)),$Y$5,IF(((N542&gt;$AA$5)*AND(N542&lt;=$AA$6)),$Y$6,IF(((N542&gt;$AA$6)*AND(N542&lt;=$AA$7)),$Y$7,IF(((N542&gt;$AA$7)*AND(N542&lt;=$AA$8)),$Y$8,IF(EXACT(N542,$Y$9),$Z$9))))))</f>
        <v>B</v>
      </c>
      <c r="T542" s="328"/>
      <c r="U542" s="328"/>
      <c r="V542" s="328"/>
    </row>
    <row r="543" spans="1:22" ht="60" x14ac:dyDescent="0.25">
      <c r="A543" s="343"/>
      <c r="B543" s="343"/>
      <c r="C543" s="334"/>
      <c r="D543" s="331"/>
      <c r="E543" s="73" t="str">
        <f>Apreciación!A178</f>
        <v>Docentes</v>
      </c>
      <c r="F543" s="133" t="str">
        <f>Apreciación!E178</f>
        <v>Cuenta de 60.1. La organización, administración y gestión del programa académico al cual pertenezco permite cumplir los objetivos de: DESARROLLO REGULAR DE LOS ESPACIOS Y DE LOS SEMESTRES ACADÉMICOS.</v>
      </c>
      <c r="G543" s="203">
        <f>Apreciación!F178</f>
        <v>0</v>
      </c>
      <c r="H543" s="203">
        <f>Apreciación!G178</f>
        <v>0</v>
      </c>
      <c r="I543" s="203">
        <f>Apreciación!H178</f>
        <v>3.7037037037037035E-2</v>
      </c>
      <c r="J543" s="203">
        <f>Apreciación!I178</f>
        <v>0.25925925925925924</v>
      </c>
      <c r="K543" s="203">
        <f>Apreciación!J178</f>
        <v>0.70370370370370372</v>
      </c>
      <c r="L543" s="203">
        <f>Apreciación!K178</f>
        <v>0</v>
      </c>
      <c r="M543" s="96">
        <f t="shared" si="69"/>
        <v>4.568518518518518</v>
      </c>
      <c r="N543" s="325"/>
      <c r="O543" s="325"/>
      <c r="P543" s="325"/>
      <c r="Q543" s="325"/>
      <c r="R543" s="17" t="str">
        <f t="shared" si="70"/>
        <v>A</v>
      </c>
      <c r="S543" s="328"/>
      <c r="T543" s="328"/>
      <c r="U543" s="328"/>
      <c r="V543" s="328"/>
    </row>
    <row r="544" spans="1:22" ht="48" x14ac:dyDescent="0.25">
      <c r="A544" s="343"/>
      <c r="B544" s="343"/>
      <c r="C544" s="334"/>
      <c r="D544" s="331"/>
      <c r="E544" s="73" t="str">
        <f>Apreciación!A179</f>
        <v>Docentes</v>
      </c>
      <c r="F544" s="133" t="str">
        <f>Apreciación!E179</f>
        <v>Cuenta de 60.2. La organización, administración y gestión del programa académico al cual pertenezco permite cumplir los objetivos de: PROMOCIÓN DE LA CULTURA DE LA INVESTIGACIÓN</v>
      </c>
      <c r="G544" s="203">
        <f>Apreciación!F179</f>
        <v>0.1111111111111111</v>
      </c>
      <c r="H544" s="203">
        <f>Apreciación!G179</f>
        <v>3.7037037037037035E-2</v>
      </c>
      <c r="I544" s="203">
        <f>Apreciación!H179</f>
        <v>7.407407407407407E-2</v>
      </c>
      <c r="J544" s="203">
        <f>Apreciación!I179</f>
        <v>0.44444444444444442</v>
      </c>
      <c r="K544" s="203">
        <f>Apreciación!J179</f>
        <v>0.29629629629629628</v>
      </c>
      <c r="L544" s="203">
        <f>Apreciación!K179</f>
        <v>3.7037037037037035E-2</v>
      </c>
      <c r="M544" s="96">
        <f t="shared" si="69"/>
        <v>3.8462962962962965</v>
      </c>
      <c r="N544" s="325"/>
      <c r="O544" s="325"/>
      <c r="P544" s="325"/>
      <c r="Q544" s="325"/>
      <c r="R544" s="17" t="str">
        <f t="shared" si="70"/>
        <v>C</v>
      </c>
      <c r="S544" s="328"/>
      <c r="T544" s="328"/>
      <c r="U544" s="328"/>
      <c r="V544" s="328"/>
    </row>
    <row r="545" spans="1:22" ht="60" x14ac:dyDescent="0.25">
      <c r="A545" s="343"/>
      <c r="B545" s="343"/>
      <c r="C545" s="334"/>
      <c r="D545" s="331"/>
      <c r="E545" s="73" t="str">
        <f>Apreciación!A180</f>
        <v>Docentes</v>
      </c>
      <c r="F545" s="133" t="str">
        <f>Apreciación!E180</f>
        <v>Cuenta de 60.3. La organización, administración y gestión del programa académico al cual pertenezco permite cumplir los objetivos de: INTEGRACIÓN CON LA COMUNIDAD Y CON EL ENTORNO.</v>
      </c>
      <c r="G545" s="203">
        <f>Apreciación!F180</f>
        <v>0.1111111111111111</v>
      </c>
      <c r="H545" s="203">
        <f>Apreciación!G180</f>
        <v>3.7037037037037035E-2</v>
      </c>
      <c r="I545" s="203">
        <f>Apreciación!H180</f>
        <v>0.22222222222222221</v>
      </c>
      <c r="J545" s="203">
        <f>Apreciación!I180</f>
        <v>0.25925925925925924</v>
      </c>
      <c r="K545" s="203">
        <f>Apreciación!J180</f>
        <v>0.33333333333333331</v>
      </c>
      <c r="L545" s="203">
        <f>Apreciación!K180</f>
        <v>3.7037037037037035E-2</v>
      </c>
      <c r="M545" s="96">
        <f t="shared" si="69"/>
        <v>3.7925925925925918</v>
      </c>
      <c r="N545" s="326"/>
      <c r="O545" s="325"/>
      <c r="P545" s="325"/>
      <c r="Q545" s="325"/>
      <c r="R545" s="17" t="str">
        <f t="shared" si="70"/>
        <v>C</v>
      </c>
      <c r="S545" s="329"/>
      <c r="T545" s="328"/>
      <c r="U545" s="328"/>
      <c r="V545" s="328"/>
    </row>
    <row r="546" spans="1:22" ht="48" x14ac:dyDescent="0.25">
      <c r="A546" s="343"/>
      <c r="B546" s="342">
        <v>34</v>
      </c>
      <c r="C546" s="143" t="str">
        <f>Final!E215</f>
        <v>a</v>
      </c>
      <c r="D546" s="142" t="str">
        <f>Final!F215</f>
        <v>Existencia y utilización de sistemas de información integrados y mecanismos eficaces que faciliten la comunicación interna y externa el proyecto curricular.</v>
      </c>
      <c r="E546" s="61" t="s">
        <v>64</v>
      </c>
      <c r="F546" s="61" t="s">
        <v>64</v>
      </c>
      <c r="G546" s="204" t="s">
        <v>64</v>
      </c>
      <c r="H546" s="204" t="s">
        <v>64</v>
      </c>
      <c r="I546" s="204" t="s">
        <v>64</v>
      </c>
      <c r="J546" s="204" t="s">
        <v>64</v>
      </c>
      <c r="K546" s="204" t="s">
        <v>64</v>
      </c>
      <c r="L546" s="204" t="s">
        <v>64</v>
      </c>
      <c r="M546" s="146" t="s">
        <v>64</v>
      </c>
      <c r="N546" s="146" t="s">
        <v>64</v>
      </c>
      <c r="O546" s="146" t="s">
        <v>64</v>
      </c>
      <c r="P546" s="324">
        <f>AVERAGE(O546:O564)</f>
        <v>3.7764874977141236</v>
      </c>
      <c r="Q546" s="325"/>
      <c r="R546" s="17" t="str">
        <f t="shared" si="59"/>
        <v>NA</v>
      </c>
      <c r="S546" s="144" t="str">
        <f t="shared" si="60"/>
        <v>NA</v>
      </c>
      <c r="T546" s="144" t="str">
        <f t="shared" si="61"/>
        <v>NA</v>
      </c>
      <c r="U546" s="327" t="str">
        <f>IF(((P546&gt;=$Z$4)*AND(P546&lt;=$AA$4)),$Y$4,IF(((P546&gt;$AA$4)*AND(P546&lt;=$AA$5)),$Y$5,IF(((P546&gt;$AA$5)*AND(P546&lt;=$AA$6)),$Y$6,IF(((P546&gt;$AA$6)*AND(P546&lt;=$AA$7)),$Y$7,IF(((P546&gt;$AA$7)*AND(P546&lt;=$AA$8)),$Y$8,IF(EXACT(P546,$Y$9),$Z$9))))))</f>
        <v>C</v>
      </c>
      <c r="V546" s="328"/>
    </row>
    <row r="547" spans="1:22" ht="60" x14ac:dyDescent="0.25">
      <c r="A547" s="343"/>
      <c r="B547" s="343"/>
      <c r="C547" s="58" t="str">
        <f>Final!E216</f>
        <v>b</v>
      </c>
      <c r="D547" s="59" t="str">
        <f>Final!F216</f>
        <v>Existencia y efectividad de la página web institucional debidamente actualizada para mantener informados a los usuarios sobre los temas de interés institucional y facilitar la comunicación académica y administrativa.</v>
      </c>
      <c r="E547" s="61" t="s">
        <v>64</v>
      </c>
      <c r="F547" s="61" t="s">
        <v>64</v>
      </c>
      <c r="G547" s="204" t="s">
        <v>64</v>
      </c>
      <c r="H547" s="204" t="s">
        <v>64</v>
      </c>
      <c r="I547" s="204" t="s">
        <v>64</v>
      </c>
      <c r="J547" s="204" t="s">
        <v>64</v>
      </c>
      <c r="K547" s="204" t="s">
        <v>64</v>
      </c>
      <c r="L547" s="204" t="s">
        <v>64</v>
      </c>
      <c r="M547" s="96" t="s">
        <v>64</v>
      </c>
      <c r="N547" s="96" t="s">
        <v>64</v>
      </c>
      <c r="O547" s="96" t="s">
        <v>64</v>
      </c>
      <c r="P547" s="325"/>
      <c r="Q547" s="325"/>
      <c r="R547" s="17" t="str">
        <f t="shared" si="59"/>
        <v>NA</v>
      </c>
      <c r="S547" s="17" t="str">
        <f t="shared" si="60"/>
        <v>NA</v>
      </c>
      <c r="T547" s="17" t="str">
        <f t="shared" si="61"/>
        <v>NA</v>
      </c>
      <c r="U547" s="328"/>
      <c r="V547" s="328"/>
    </row>
    <row r="548" spans="1:22" ht="48" x14ac:dyDescent="0.25">
      <c r="A548" s="343"/>
      <c r="B548" s="343"/>
      <c r="C548" s="58" t="str">
        <f>Final!E217</f>
        <v>c</v>
      </c>
      <c r="D548" s="59" t="str">
        <f>Final!F217</f>
        <v>La página web institucional incluye información detallada y actualizada sobre el currículo y los profesores adscritos al proyecto curricular, incluyendo su formación y trayectoria.</v>
      </c>
      <c r="E548" s="61" t="s">
        <v>64</v>
      </c>
      <c r="F548" s="61" t="s">
        <v>64</v>
      </c>
      <c r="G548" s="204" t="s">
        <v>64</v>
      </c>
      <c r="H548" s="204" t="s">
        <v>64</v>
      </c>
      <c r="I548" s="204" t="s">
        <v>64</v>
      </c>
      <c r="J548" s="204" t="s">
        <v>64</v>
      </c>
      <c r="K548" s="204" t="s">
        <v>64</v>
      </c>
      <c r="L548" s="204" t="s">
        <v>64</v>
      </c>
      <c r="M548" s="96" t="s">
        <v>64</v>
      </c>
      <c r="N548" s="96" t="s">
        <v>64</v>
      </c>
      <c r="O548" s="96" t="s">
        <v>64</v>
      </c>
      <c r="P548" s="325"/>
      <c r="Q548" s="325"/>
      <c r="R548" s="17" t="str">
        <f t="shared" si="59"/>
        <v>NA</v>
      </c>
      <c r="S548" s="17" t="str">
        <f t="shared" si="60"/>
        <v>NA</v>
      </c>
      <c r="T548" s="17" t="str">
        <f t="shared" si="61"/>
        <v>NA</v>
      </c>
      <c r="U548" s="328"/>
      <c r="V548" s="328"/>
    </row>
    <row r="549" spans="1:22" ht="36" x14ac:dyDescent="0.25">
      <c r="A549" s="343"/>
      <c r="B549" s="343"/>
      <c r="C549" s="58" t="str">
        <f>Final!E218</f>
        <v>d</v>
      </c>
      <c r="D549" s="59" t="str">
        <f>Final!F218</f>
        <v>Sistemas de consulta, registro y archivo de la información académica de los estudiantes y los profesores adscritos al proyecto curricular.</v>
      </c>
      <c r="E549" s="61" t="s">
        <v>64</v>
      </c>
      <c r="F549" s="61" t="s">
        <v>64</v>
      </c>
      <c r="G549" s="204" t="s">
        <v>64</v>
      </c>
      <c r="H549" s="204" t="s">
        <v>64</v>
      </c>
      <c r="I549" s="204" t="s">
        <v>64</v>
      </c>
      <c r="J549" s="204" t="s">
        <v>64</v>
      </c>
      <c r="K549" s="204" t="s">
        <v>64</v>
      </c>
      <c r="L549" s="204" t="s">
        <v>64</v>
      </c>
      <c r="M549" s="96" t="s">
        <v>64</v>
      </c>
      <c r="N549" s="96" t="s">
        <v>64</v>
      </c>
      <c r="O549" s="96" t="s">
        <v>64</v>
      </c>
      <c r="P549" s="325"/>
      <c r="Q549" s="325"/>
      <c r="R549" s="17" t="str">
        <f t="shared" si="59"/>
        <v>NA</v>
      </c>
      <c r="S549" s="17" t="str">
        <f t="shared" si="60"/>
        <v>NA</v>
      </c>
      <c r="T549" s="17" t="str">
        <f t="shared" si="61"/>
        <v>NA</v>
      </c>
      <c r="U549" s="328"/>
      <c r="V549" s="328"/>
    </row>
    <row r="550" spans="1:22" ht="48" x14ac:dyDescent="0.25">
      <c r="A550" s="343"/>
      <c r="B550" s="343"/>
      <c r="C550" s="58" t="str">
        <f>Final!E219</f>
        <v>e</v>
      </c>
      <c r="D550" s="59" t="str">
        <f>Final!F219</f>
        <v>Mecanismos de gestión documental, organización, actualización y seguridad de los registros y archivos académicos de estudiantes, profesores, personal directivo y administrativo.</v>
      </c>
      <c r="E550" s="61" t="s">
        <v>64</v>
      </c>
      <c r="F550" s="61" t="s">
        <v>64</v>
      </c>
      <c r="G550" s="204" t="s">
        <v>64</v>
      </c>
      <c r="H550" s="204" t="s">
        <v>64</v>
      </c>
      <c r="I550" s="204" t="s">
        <v>64</v>
      </c>
      <c r="J550" s="204" t="s">
        <v>64</v>
      </c>
      <c r="K550" s="204" t="s">
        <v>64</v>
      </c>
      <c r="L550" s="204" t="s">
        <v>64</v>
      </c>
      <c r="M550" s="96" t="s">
        <v>64</v>
      </c>
      <c r="N550" s="96" t="s">
        <v>64</v>
      </c>
      <c r="O550" s="96" t="s">
        <v>64</v>
      </c>
      <c r="P550" s="325"/>
      <c r="Q550" s="325"/>
      <c r="R550" s="17" t="str">
        <f t="shared" si="59"/>
        <v>NA</v>
      </c>
      <c r="S550" s="17" t="str">
        <f t="shared" si="60"/>
        <v>NA</v>
      </c>
      <c r="T550" s="17" t="str">
        <f t="shared" si="61"/>
        <v>NA</v>
      </c>
      <c r="U550" s="328"/>
      <c r="V550" s="328"/>
    </row>
    <row r="551" spans="1:22" ht="36" x14ac:dyDescent="0.25">
      <c r="A551" s="343"/>
      <c r="B551" s="343"/>
      <c r="C551" s="333" t="str">
        <f>Final!E220</f>
        <v>f</v>
      </c>
      <c r="D551" s="330" t="str">
        <f>Final!F220</f>
        <v>Apreciación de directivos, profesores, estudiantes y personal administrativo sobre la eficacia de los sistemas de información académica y de los mecanismos de comunicación del proyecto curricular.</v>
      </c>
      <c r="E551" s="73" t="str">
        <f>Apreciación!A93</f>
        <v>Estudiantes</v>
      </c>
      <c r="F551" s="133" t="str">
        <f>Apreciación!E93</f>
        <v>Cuenta de 66.1. Considero que los sistemas de información empleados por mi programa académico son: VERACES.</v>
      </c>
      <c r="G551" s="203">
        <f>Apreciación!F93</f>
        <v>5.3892215568862277E-2</v>
      </c>
      <c r="H551" s="203">
        <f>Apreciación!G93</f>
        <v>7.1856287425149698E-2</v>
      </c>
      <c r="I551" s="203">
        <f>Apreciación!H93</f>
        <v>0.31137724550898205</v>
      </c>
      <c r="J551" s="203">
        <f>Apreciación!I93</f>
        <v>0.32934131736526945</v>
      </c>
      <c r="K551" s="203">
        <f>Apreciación!J93</f>
        <v>0.11377245508982035</v>
      </c>
      <c r="L551" s="203">
        <f>Apreciación!K93</f>
        <v>0.11976047904191617</v>
      </c>
      <c r="M551" s="18">
        <f>(G551*$G$2)+(H551*$H$2)+(I551*$I$2)+(J551*$J$2)+(K551*$K$2)+(L551*$L$2)</f>
        <v>3.3793413173652693</v>
      </c>
      <c r="N551" s="324">
        <f>AVERAGE(M551:M554)</f>
        <v>3.5773952095808381</v>
      </c>
      <c r="O551" s="324">
        <f>(N551*$AE$5)+(N555*$AE$4)+(AVERAGE(N551:N557)*$AE$6)+(N556*$AE$8)+(AVERAGE(N551:N557)*$AE$7)</f>
        <v>3.7900304118857799</v>
      </c>
      <c r="P551" s="325"/>
      <c r="Q551" s="325"/>
      <c r="R551" s="17" t="str">
        <f t="shared" si="59"/>
        <v>D</v>
      </c>
      <c r="S551" s="327" t="str">
        <f t="shared" si="60"/>
        <v>C</v>
      </c>
      <c r="T551" s="327" t="str">
        <f t="shared" si="61"/>
        <v>C</v>
      </c>
      <c r="U551" s="328"/>
      <c r="V551" s="328"/>
    </row>
    <row r="552" spans="1:22" ht="36" x14ac:dyDescent="0.25">
      <c r="A552" s="343"/>
      <c r="B552" s="343"/>
      <c r="C552" s="334"/>
      <c r="D552" s="331"/>
      <c r="E552" s="73" t="str">
        <f>Apreciación!A94</f>
        <v>Estudiantes</v>
      </c>
      <c r="F552" s="133" t="str">
        <f>Apreciación!E94</f>
        <v>Cuenta de 66.2. Considero que los sistemas de información empleados por mi programa académico son: OPORTUNOS.</v>
      </c>
      <c r="G552" s="203">
        <f>Apreciación!F94</f>
        <v>6.5868263473053898E-2</v>
      </c>
      <c r="H552" s="203">
        <f>Apreciación!G94</f>
        <v>6.5868263473053898E-2</v>
      </c>
      <c r="I552" s="203">
        <f>Apreciación!H94</f>
        <v>0.32335329341317365</v>
      </c>
      <c r="J552" s="203">
        <f>Apreciación!I94</f>
        <v>0.3652694610778443</v>
      </c>
      <c r="K552" s="203">
        <f>Apreciación!J94</f>
        <v>0.12574850299401197</v>
      </c>
      <c r="L552" s="203">
        <f>Apreciación!K94</f>
        <v>5.3892215568862277E-2</v>
      </c>
      <c r="M552" s="96">
        <f t="shared" ref="M552:M559" si="71">(G552*$G$2)+(H552*$H$2)+(I552*$I$2)+(J552*$J$2)+(K552*$K$2)+(L552*$L$2)</f>
        <v>3.6341317365269461</v>
      </c>
      <c r="N552" s="325"/>
      <c r="O552" s="325"/>
      <c r="P552" s="325"/>
      <c r="Q552" s="325"/>
      <c r="R552" s="17" t="str">
        <f t="shared" ref="R552:R557" si="72">IF(((M552&gt;=$Z$4)*AND(M552&lt;=$AA$4)),$Y$4,IF(((M552&gt;$AA$4)*AND(M552&lt;=$AA$5)),$Y$5,IF(((M552&gt;$AA$5)*AND(M552&lt;=$AA$6)),$Y$6,IF(((M552&gt;$AA$6)*AND(M552&lt;=$AA$7)),$Y$7,IF(((M552&gt;$AA$7)*AND(M552&lt;=$AA$8)),$Y$8,IF(EXACT(M552,$Y$9),$Z$9))))))</f>
        <v>C</v>
      </c>
      <c r="S552" s="328"/>
      <c r="T552" s="328"/>
      <c r="U552" s="328"/>
      <c r="V552" s="328"/>
    </row>
    <row r="553" spans="1:22" ht="36" x14ac:dyDescent="0.25">
      <c r="A553" s="343"/>
      <c r="B553" s="343"/>
      <c r="C553" s="334"/>
      <c r="D553" s="331"/>
      <c r="E553" s="73" t="str">
        <f>Apreciación!A95</f>
        <v>Estudiantes</v>
      </c>
      <c r="F553" s="133" t="str">
        <f>Apreciación!E95</f>
        <v>Cuenta de 67.1. Considero que los medios empleados para la difusión de información de mi programa académico son: VERACES.</v>
      </c>
      <c r="G553" s="203">
        <f>Apreciación!F95</f>
        <v>5.3892215568862277E-2</v>
      </c>
      <c r="H553" s="203">
        <f>Apreciación!G95</f>
        <v>5.9880239520958084E-2</v>
      </c>
      <c r="I553" s="203">
        <f>Apreciación!H95</f>
        <v>0.32335329341317365</v>
      </c>
      <c r="J553" s="203">
        <f>Apreciación!I95</f>
        <v>0.3712574850299401</v>
      </c>
      <c r="K553" s="203">
        <f>Apreciación!J95</f>
        <v>0.1377245508982036</v>
      </c>
      <c r="L553" s="203">
        <f>Apreciación!K95</f>
        <v>5.3892215568862277E-2</v>
      </c>
      <c r="M553" s="96">
        <f t="shared" si="71"/>
        <v>3.6781437125748502</v>
      </c>
      <c r="N553" s="325"/>
      <c r="O553" s="325"/>
      <c r="P553" s="325"/>
      <c r="Q553" s="325"/>
      <c r="R553" s="17" t="str">
        <f t="shared" si="72"/>
        <v>C</v>
      </c>
      <c r="S553" s="328"/>
      <c r="T553" s="328"/>
      <c r="U553" s="328"/>
      <c r="V553" s="328"/>
    </row>
    <row r="554" spans="1:22" ht="36" x14ac:dyDescent="0.25">
      <c r="A554" s="343"/>
      <c r="B554" s="343"/>
      <c r="C554" s="334"/>
      <c r="D554" s="331"/>
      <c r="E554" s="73" t="str">
        <f>Apreciación!A96</f>
        <v>Estudiantes</v>
      </c>
      <c r="F554" s="133" t="str">
        <f>Apreciación!E96</f>
        <v>Cuenta de 67.2. Considero que los medios empleados para la difusión de información de mi programa académico son: OPORTUNOS.</v>
      </c>
      <c r="G554" s="203">
        <f>Apreciación!F96</f>
        <v>6.5868263473053898E-2</v>
      </c>
      <c r="H554" s="203">
        <f>Apreciación!G96</f>
        <v>8.3832335329341312E-2</v>
      </c>
      <c r="I554" s="203">
        <f>Apreciación!H96</f>
        <v>0.3413173652694611</v>
      </c>
      <c r="J554" s="203">
        <f>Apreciación!I96</f>
        <v>0.3532934131736527</v>
      </c>
      <c r="K554" s="203">
        <f>Apreciación!J96</f>
        <v>0.10778443113772455</v>
      </c>
      <c r="L554" s="203">
        <f>Apreciación!K96</f>
        <v>4.790419161676647E-2</v>
      </c>
      <c r="M554" s="96">
        <f t="shared" si="71"/>
        <v>3.6179640718562878</v>
      </c>
      <c r="N554" s="326"/>
      <c r="O554" s="325"/>
      <c r="P554" s="325"/>
      <c r="Q554" s="325"/>
      <c r="R554" s="17" t="str">
        <f t="shared" si="72"/>
        <v>C</v>
      </c>
      <c r="S554" s="329"/>
      <c r="T554" s="328"/>
      <c r="U554" s="328"/>
      <c r="V554" s="328"/>
    </row>
    <row r="555" spans="1:22" ht="36" x14ac:dyDescent="0.25">
      <c r="A555" s="343"/>
      <c r="B555" s="343"/>
      <c r="C555" s="334"/>
      <c r="D555" s="331"/>
      <c r="E555" s="11" t="str">
        <f>Apreciación!A183</f>
        <v>Docentes</v>
      </c>
      <c r="F555" s="12" t="str">
        <f>Apreciación!E183</f>
        <v>Cuenta de 63. Considero que los sistemas de información empleados por el programa académico al cual pertenezco son efectivos.</v>
      </c>
      <c r="G555" s="203">
        <f>Apreciación!F183</f>
        <v>7.407407407407407E-2</v>
      </c>
      <c r="H555" s="203">
        <f>Apreciación!G183</f>
        <v>3.7037037037037035E-2</v>
      </c>
      <c r="I555" s="203">
        <f>Apreciación!H183</f>
        <v>0.18518518518518517</v>
      </c>
      <c r="J555" s="203">
        <f>Apreciación!I183</f>
        <v>0.48148148148148145</v>
      </c>
      <c r="K555" s="203">
        <f>Apreciación!J183</f>
        <v>0.22222222222222221</v>
      </c>
      <c r="L555" s="203">
        <f>Apreciación!K183</f>
        <v>0</v>
      </c>
      <c r="M555" s="96">
        <f t="shared" si="71"/>
        <v>3.9981481481481485</v>
      </c>
      <c r="N555" s="95">
        <f>AVERAGE(M555)</f>
        <v>3.9981481481481485</v>
      </c>
      <c r="O555" s="325"/>
      <c r="P555" s="325"/>
      <c r="Q555" s="325"/>
      <c r="R555" s="17" t="str">
        <f t="shared" si="72"/>
        <v>C</v>
      </c>
      <c r="S555" s="17" t="str">
        <f>IF(((N555&gt;=$Z$4)*AND(N555&lt;=$AA$4)),$Y$4,IF(((N555&gt;$AA$4)*AND(N555&lt;=$AA$5)),$Y$5,IF(((N555&gt;$AA$5)*AND(N555&lt;=$AA$6)),$Y$6,IF(((N555&gt;$AA$6)*AND(N555&lt;=$AA$7)),$Y$7,IF(((N555&gt;$AA$7)*AND(N555&lt;=$AA$8)),$Y$8,IF(EXACT(N555,$Y$9),$Z$9))))))</f>
        <v>C</v>
      </c>
      <c r="T555" s="328"/>
      <c r="U555" s="328"/>
      <c r="V555" s="328"/>
    </row>
    <row r="556" spans="1:22" ht="48" x14ac:dyDescent="0.25">
      <c r="A556" s="343"/>
      <c r="B556" s="343"/>
      <c r="C556" s="334"/>
      <c r="D556" s="331"/>
      <c r="E556" s="11" t="str">
        <f>Apreciación!A250</f>
        <v>Administrativos</v>
      </c>
      <c r="F556" s="12" t="str">
        <f>Apreciación!E250</f>
        <v>Cuenta de 20. Considero que los sistemas de información empleados por los programas académicos con los cuales me he relacionado son efectivos.</v>
      </c>
      <c r="G556" s="203">
        <f>Apreciación!F250</f>
        <v>3.5087719298245612E-2</v>
      </c>
      <c r="H556" s="203">
        <f>Apreciación!G250</f>
        <v>8.771929824561403E-2</v>
      </c>
      <c r="I556" s="203">
        <f>Apreciación!H250</f>
        <v>0.27192982456140352</v>
      </c>
      <c r="J556" s="203">
        <f>Apreciación!I250</f>
        <v>0.42982456140350878</v>
      </c>
      <c r="K556" s="203">
        <f>Apreciación!J250</f>
        <v>0.10526315789473684</v>
      </c>
      <c r="L556" s="203">
        <f>Apreciación!K250</f>
        <v>7.0175438596491224E-2</v>
      </c>
      <c r="M556" s="96">
        <f t="shared" si="71"/>
        <v>3.6298245614035087</v>
      </c>
      <c r="N556" s="324">
        <f>AVERAGE(M556:M557)</f>
        <v>3.6469298245614032</v>
      </c>
      <c r="O556" s="325"/>
      <c r="P556" s="325"/>
      <c r="Q556" s="325"/>
      <c r="R556" s="17" t="str">
        <f t="shared" si="72"/>
        <v>C</v>
      </c>
      <c r="S556" s="327" t="str">
        <f>IF(((N556&gt;=$Z$4)*AND(N556&lt;=$AA$4)),$Y$4,IF(((N556&gt;$AA$4)*AND(N556&lt;=$AA$5)),$Y$5,IF(((N556&gt;$AA$5)*AND(N556&lt;=$AA$6)),$Y$6,IF(((N556&gt;$AA$6)*AND(N556&lt;=$AA$7)),$Y$7,IF(((N556&gt;$AA$7)*AND(N556&lt;=$AA$8)),$Y$8,IF(EXACT(N556,$Y$9),$Z$9))))))</f>
        <v>C</v>
      </c>
      <c r="T556" s="328"/>
      <c r="U556" s="328"/>
      <c r="V556" s="328"/>
    </row>
    <row r="557" spans="1:22" ht="48" x14ac:dyDescent="0.25">
      <c r="A557" s="343"/>
      <c r="B557" s="343"/>
      <c r="C557" s="335"/>
      <c r="D557" s="332"/>
      <c r="E557" s="11" t="str">
        <f>Apreciación!A251</f>
        <v>Administrativos</v>
      </c>
      <c r="F557" s="12" t="str">
        <f>Apreciación!E251</f>
        <v>Cuenta de 21. Considero que los mecanismos de comunicación empleados por los programas académicos con los cuales me he relacionado son efectivos.</v>
      </c>
      <c r="G557" s="203">
        <f>Apreciación!F251</f>
        <v>3.5087719298245612E-2</v>
      </c>
      <c r="H557" s="203">
        <f>Apreciación!G251</f>
        <v>8.771929824561403E-2</v>
      </c>
      <c r="I557" s="203">
        <f>Apreciación!H251</f>
        <v>0.35087719298245612</v>
      </c>
      <c r="J557" s="203">
        <f>Apreciación!I251</f>
        <v>0.36842105263157893</v>
      </c>
      <c r="K557" s="203">
        <f>Apreciación!J251</f>
        <v>0.10526315789473684</v>
      </c>
      <c r="L557" s="203">
        <f>Apreciación!K251</f>
        <v>5.2631578947368418E-2</v>
      </c>
      <c r="M557" s="96">
        <f t="shared" si="71"/>
        <v>3.6640350877192982</v>
      </c>
      <c r="N557" s="326"/>
      <c r="O557" s="326"/>
      <c r="P557" s="325"/>
      <c r="Q557" s="325"/>
      <c r="R557" s="17" t="str">
        <f t="shared" si="72"/>
        <v>C</v>
      </c>
      <c r="S557" s="329"/>
      <c r="T557" s="329"/>
      <c r="U557" s="328"/>
      <c r="V557" s="328"/>
    </row>
    <row r="558" spans="1:22" ht="48" customHeight="1" x14ac:dyDescent="0.25">
      <c r="A558" s="343"/>
      <c r="B558" s="343"/>
      <c r="C558" s="333" t="str">
        <f>Final!E221</f>
        <v>g</v>
      </c>
      <c r="D558" s="347" t="str">
        <f>Final!F221</f>
        <v>Profesores, administrativos y estudiantes que confirman el acceso con calidad a los sistemas de comunicación e información mediados por las TIC.</v>
      </c>
      <c r="E558" s="64" t="str">
        <f>Apreciación!A93</f>
        <v>Estudiantes</v>
      </c>
      <c r="F558" s="140" t="str">
        <f>Apreciación!E93</f>
        <v>Cuenta de 66.1. Considero que los sistemas de información empleados por mi programa académico son: VERACES.</v>
      </c>
      <c r="G558" s="204">
        <f>Apreciación!F93</f>
        <v>5.3892215568862277E-2</v>
      </c>
      <c r="H558" s="204">
        <f>Apreciación!G93</f>
        <v>7.1856287425149698E-2</v>
      </c>
      <c r="I558" s="204">
        <f>Apreciación!H93</f>
        <v>0.31137724550898205</v>
      </c>
      <c r="J558" s="204">
        <f>Apreciación!I93</f>
        <v>0.32934131736526945</v>
      </c>
      <c r="K558" s="204">
        <f>Apreciación!J93</f>
        <v>0.11377245508982035</v>
      </c>
      <c r="L558" s="204">
        <f>Apreciación!K93</f>
        <v>0.11976047904191617</v>
      </c>
      <c r="M558" s="146">
        <f t="shared" si="71"/>
        <v>3.3793413173652693</v>
      </c>
      <c r="N558" s="324">
        <f>AVERAGE(M558:M559)</f>
        <v>3.5067365269461077</v>
      </c>
      <c r="O558" s="324">
        <f>(N558*$AE$5)+(N560*$AE$4)+(AVERAGE(N558:N562)*$AE$6)+(N561*$AE$8)+(AVERAGE(N558:N562)*$AE$7)</f>
        <v>3.7629445835424669</v>
      </c>
      <c r="P558" s="325"/>
      <c r="Q558" s="325"/>
      <c r="R558" s="17" t="str">
        <f t="shared" si="59"/>
        <v>D</v>
      </c>
      <c r="S558" s="327" t="str">
        <f t="shared" si="60"/>
        <v>C</v>
      </c>
      <c r="T558" s="327" t="str">
        <f t="shared" si="61"/>
        <v>C</v>
      </c>
      <c r="U558" s="328"/>
      <c r="V558" s="328"/>
    </row>
    <row r="559" spans="1:22" ht="36" x14ac:dyDescent="0.25">
      <c r="A559" s="343"/>
      <c r="B559" s="343"/>
      <c r="C559" s="334"/>
      <c r="D559" s="348"/>
      <c r="E559" s="64" t="str">
        <f>Apreciación!A94</f>
        <v>Estudiantes</v>
      </c>
      <c r="F559" s="140" t="str">
        <f>Apreciación!E94</f>
        <v>Cuenta de 66.2. Considero que los sistemas de información empleados por mi programa académico son: OPORTUNOS.</v>
      </c>
      <c r="G559" s="204">
        <f>Apreciación!F94</f>
        <v>6.5868263473053898E-2</v>
      </c>
      <c r="H559" s="204">
        <f>Apreciación!G94</f>
        <v>6.5868263473053898E-2</v>
      </c>
      <c r="I559" s="204">
        <f>Apreciación!H94</f>
        <v>0.32335329341317365</v>
      </c>
      <c r="J559" s="204">
        <f>Apreciación!I94</f>
        <v>0.3652694610778443</v>
      </c>
      <c r="K559" s="204">
        <f>Apreciación!J94</f>
        <v>0.12574850299401197</v>
      </c>
      <c r="L559" s="204">
        <f>Apreciación!K94</f>
        <v>5.3892215568862277E-2</v>
      </c>
      <c r="M559" s="146">
        <f t="shared" si="71"/>
        <v>3.6341317365269461</v>
      </c>
      <c r="N559" s="326"/>
      <c r="O559" s="325"/>
      <c r="P559" s="325"/>
      <c r="Q559" s="325"/>
      <c r="R559" s="17" t="str">
        <f>IF(((M559&gt;=$Z$4)*AND(M559&lt;=$AA$4)),$Y$4,IF(((M559&gt;$AA$4)*AND(M559&lt;=$AA$5)),$Y$5,IF(((M559&gt;$AA$5)*AND(M559&lt;=$AA$6)),$Y$6,IF(((M559&gt;$AA$6)*AND(M559&lt;=$AA$7)),$Y$7,IF(((M559&gt;$AA$7)*AND(M559&lt;=$AA$8)),$Y$8,IF(EXACT(M559,$Y$9),$Z$9))))))</f>
        <v>C</v>
      </c>
      <c r="S559" s="329"/>
      <c r="T559" s="328"/>
      <c r="U559" s="328"/>
      <c r="V559" s="328"/>
    </row>
    <row r="560" spans="1:22" ht="36" x14ac:dyDescent="0.25">
      <c r="A560" s="343"/>
      <c r="B560" s="343"/>
      <c r="C560" s="334"/>
      <c r="D560" s="348"/>
      <c r="E560" s="64" t="str">
        <f>Apreciación!A183</f>
        <v>Docentes</v>
      </c>
      <c r="F560" s="140" t="str">
        <f>Apreciación!E183</f>
        <v>Cuenta de 63. Considero que los sistemas de información empleados por el programa académico al cual pertenezco son efectivos.</v>
      </c>
      <c r="G560" s="204">
        <f>Apreciación!F183</f>
        <v>7.407407407407407E-2</v>
      </c>
      <c r="H560" s="204">
        <f>Apreciación!G183</f>
        <v>3.7037037037037035E-2</v>
      </c>
      <c r="I560" s="204">
        <f>Apreciación!H183</f>
        <v>0.18518518518518517</v>
      </c>
      <c r="J560" s="204">
        <f>Apreciación!I183</f>
        <v>0.48148148148148145</v>
      </c>
      <c r="K560" s="204">
        <f>Apreciación!J183</f>
        <v>0.22222222222222221</v>
      </c>
      <c r="L560" s="204">
        <f>Apreciación!K183</f>
        <v>0</v>
      </c>
      <c r="M560" s="146">
        <f>(G560*$G$2)+(H560*$H$2)+(I560*$I$2)+(J560*$J$2)+(K560*$K$2)+(L560*$L$2)</f>
        <v>3.9981481481481485</v>
      </c>
      <c r="N560" s="141">
        <f>AVERAGE(M560)</f>
        <v>3.9981481481481485</v>
      </c>
      <c r="O560" s="325"/>
      <c r="P560" s="325"/>
      <c r="Q560" s="325"/>
      <c r="R560" s="17" t="str">
        <f>IF(((M560&gt;=$Z$4)*AND(M560&lt;=$AA$4)),$Y$4,IF(((M560&gt;$AA$4)*AND(M560&lt;=$AA$5)),$Y$5,IF(((M560&gt;$AA$5)*AND(M560&lt;=$AA$6)),$Y$6,IF(((M560&gt;$AA$6)*AND(M560&lt;=$AA$7)),$Y$7,IF(((M560&gt;$AA$7)*AND(M560&lt;=$AA$8)),$Y$8,IF(EXACT(M560,$Y$9),$Z$9))))))</f>
        <v>C</v>
      </c>
      <c r="S560" s="17" t="str">
        <f>IF(((N560&gt;=$Z$4)*AND(N560&lt;=$AA$4)),$Y$4,IF(((N560&gt;$AA$4)*AND(N560&lt;=$AA$5)),$Y$5,IF(((N560&gt;$AA$5)*AND(N560&lt;=$AA$6)),$Y$6,IF(((N560&gt;$AA$6)*AND(N560&lt;=$AA$7)),$Y$7,IF(((N560&gt;$AA$7)*AND(N560&lt;=$AA$8)),$Y$8,IF(EXACT(N560,$Y$9),$Z$9))))))</f>
        <v>C</v>
      </c>
      <c r="T560" s="328"/>
      <c r="U560" s="328"/>
      <c r="V560" s="328"/>
    </row>
    <row r="561" spans="1:22" ht="48" x14ac:dyDescent="0.25">
      <c r="A561" s="343"/>
      <c r="B561" s="343"/>
      <c r="C561" s="334"/>
      <c r="D561" s="348"/>
      <c r="E561" s="64" t="str">
        <f>Apreciación!A250</f>
        <v>Administrativos</v>
      </c>
      <c r="F561" s="140" t="str">
        <f>Apreciación!E250</f>
        <v>Cuenta de 20. Considero que los sistemas de información empleados por los programas académicos con los cuales me he relacionado son efectivos.</v>
      </c>
      <c r="G561" s="204">
        <f>Apreciación!F250</f>
        <v>3.5087719298245612E-2</v>
      </c>
      <c r="H561" s="204">
        <f>Apreciación!G250</f>
        <v>8.771929824561403E-2</v>
      </c>
      <c r="I561" s="204">
        <f>Apreciación!H250</f>
        <v>0.27192982456140352</v>
      </c>
      <c r="J561" s="204">
        <f>Apreciación!I250</f>
        <v>0.42982456140350878</v>
      </c>
      <c r="K561" s="204">
        <f>Apreciación!J250</f>
        <v>0.10526315789473684</v>
      </c>
      <c r="L561" s="204">
        <f>Apreciación!K250</f>
        <v>7.0175438596491224E-2</v>
      </c>
      <c r="M561" s="146">
        <f>(G561*$G$2)+(H561*$H$2)+(I561*$I$2)+(J561*$J$2)+(K561*$K$2)+(L561*$L$2)</f>
        <v>3.6298245614035087</v>
      </c>
      <c r="N561" s="324">
        <f>AVERAGE(M561:M562)</f>
        <v>3.6469298245614032</v>
      </c>
      <c r="O561" s="325"/>
      <c r="P561" s="325"/>
      <c r="Q561" s="325"/>
      <c r="R561" s="17" t="str">
        <f>IF(((M561&gt;=$Z$4)*AND(M561&lt;=$AA$4)),$Y$4,IF(((M561&gt;$AA$4)*AND(M561&lt;=$AA$5)),$Y$5,IF(((M561&gt;$AA$5)*AND(M561&lt;=$AA$6)),$Y$6,IF(((M561&gt;$AA$6)*AND(M561&lt;=$AA$7)),$Y$7,IF(((M561&gt;$AA$7)*AND(M561&lt;=$AA$8)),$Y$8,IF(EXACT(M561,$Y$9),$Z$9))))))</f>
        <v>C</v>
      </c>
      <c r="S561" s="327" t="str">
        <f>IF(((N561&gt;=$Z$4)*AND(N561&lt;=$AA$4)),$Y$4,IF(((N561&gt;$AA$4)*AND(N561&lt;=$AA$5)),$Y$5,IF(((N561&gt;$AA$5)*AND(N561&lt;=$AA$6)),$Y$6,IF(((N561&gt;$AA$6)*AND(N561&lt;=$AA$7)),$Y$7,IF(((N561&gt;$AA$7)*AND(N561&lt;=$AA$8)),$Y$8,IF(EXACT(N561,$Y$9),$Z$9))))))</f>
        <v>C</v>
      </c>
      <c r="T561" s="328"/>
      <c r="U561" s="328"/>
      <c r="V561" s="328"/>
    </row>
    <row r="562" spans="1:22" ht="48" x14ac:dyDescent="0.25">
      <c r="A562" s="343"/>
      <c r="B562" s="343"/>
      <c r="C562" s="335"/>
      <c r="D562" s="349"/>
      <c r="E562" s="64" t="str">
        <f>Apreciación!A251</f>
        <v>Administrativos</v>
      </c>
      <c r="F562" s="140" t="str">
        <f>Apreciación!E251</f>
        <v>Cuenta de 21. Considero que los mecanismos de comunicación empleados por los programas académicos con los cuales me he relacionado son efectivos.</v>
      </c>
      <c r="G562" s="204">
        <f>Apreciación!F251</f>
        <v>3.5087719298245612E-2</v>
      </c>
      <c r="H562" s="204">
        <f>Apreciación!G251</f>
        <v>8.771929824561403E-2</v>
      </c>
      <c r="I562" s="204">
        <f>Apreciación!H251</f>
        <v>0.35087719298245612</v>
      </c>
      <c r="J562" s="204">
        <f>Apreciación!I251</f>
        <v>0.36842105263157893</v>
      </c>
      <c r="K562" s="204">
        <f>Apreciación!J251</f>
        <v>0.10526315789473684</v>
      </c>
      <c r="L562" s="204">
        <f>Apreciación!K251</f>
        <v>5.2631578947368418E-2</v>
      </c>
      <c r="M562" s="146">
        <f>(G562*$G$2)+(H562*$H$2)+(I562*$I$2)+(J562*$J$2)+(K562*$K$2)+(L562*$L$2)</f>
        <v>3.6640350877192982</v>
      </c>
      <c r="N562" s="326"/>
      <c r="O562" s="326"/>
      <c r="P562" s="325"/>
      <c r="Q562" s="325"/>
      <c r="R562" s="17" t="str">
        <f>IF(((M562&gt;=$Z$4)*AND(M562&lt;=$AA$4)),$Y$4,IF(((M562&gt;$AA$4)*AND(M562&lt;=$AA$5)),$Y$5,IF(((M562&gt;$AA$5)*AND(M562&lt;=$AA$6)),$Y$6,IF(((M562&gt;$AA$6)*AND(M562&lt;=$AA$7)),$Y$7,IF(((M562&gt;$AA$7)*AND(M562&lt;=$AA$8)),$Y$8,IF(EXACT(M562,$Y$9),$Z$9))))))</f>
        <v>C</v>
      </c>
      <c r="S562" s="329"/>
      <c r="T562" s="329"/>
      <c r="U562" s="328"/>
      <c r="V562" s="328"/>
    </row>
    <row r="563" spans="1:22" ht="48" x14ac:dyDescent="0.25">
      <c r="A563" s="343"/>
      <c r="B563" s="343"/>
      <c r="C563" s="143" t="str">
        <f>Final!E222</f>
        <v>h</v>
      </c>
      <c r="D563" s="142" t="str">
        <f>Final!F222</f>
        <v>Existencia de estrategias que garanticen la conectividad a los miembros de la comunidad académica del proyecto curricular, de acuerdo con la modalidad en que éste es ofrecido.</v>
      </c>
      <c r="E563" s="61" t="s">
        <v>64</v>
      </c>
      <c r="F563" s="61" t="s">
        <v>64</v>
      </c>
      <c r="G563" s="204" t="s">
        <v>64</v>
      </c>
      <c r="H563" s="204" t="s">
        <v>64</v>
      </c>
      <c r="I563" s="204" t="s">
        <v>64</v>
      </c>
      <c r="J563" s="204" t="s">
        <v>64</v>
      </c>
      <c r="K563" s="204" t="s">
        <v>64</v>
      </c>
      <c r="L563" s="204" t="s">
        <v>64</v>
      </c>
      <c r="M563" s="146" t="s">
        <v>64</v>
      </c>
      <c r="N563" s="146" t="s">
        <v>64</v>
      </c>
      <c r="O563" s="146" t="s">
        <v>64</v>
      </c>
      <c r="P563" s="325"/>
      <c r="Q563" s="325"/>
      <c r="R563" s="17" t="str">
        <f t="shared" si="59"/>
        <v>NA</v>
      </c>
      <c r="S563" s="17" t="str">
        <f t="shared" si="60"/>
        <v>NA</v>
      </c>
      <c r="T563" s="144" t="str">
        <f t="shared" si="61"/>
        <v>NA</v>
      </c>
      <c r="U563" s="328"/>
      <c r="V563" s="328"/>
    </row>
    <row r="564" spans="1:22" ht="36" x14ac:dyDescent="0.25">
      <c r="A564" s="343"/>
      <c r="B564" s="343"/>
      <c r="C564" s="143" t="str">
        <f>Final!E223</f>
        <v>i</v>
      </c>
      <c r="D564" s="142" t="str">
        <f>Final!F223</f>
        <v>Mecanismos de comunicación para facilitar que la población estudiantil en toda su diversidad tenga acceso a la información.</v>
      </c>
      <c r="E564" s="61" t="s">
        <v>64</v>
      </c>
      <c r="F564" s="61" t="s">
        <v>64</v>
      </c>
      <c r="G564" s="204" t="s">
        <v>64</v>
      </c>
      <c r="H564" s="204" t="s">
        <v>64</v>
      </c>
      <c r="I564" s="204" t="s">
        <v>64</v>
      </c>
      <c r="J564" s="204" t="s">
        <v>64</v>
      </c>
      <c r="K564" s="204" t="s">
        <v>64</v>
      </c>
      <c r="L564" s="204" t="s">
        <v>64</v>
      </c>
      <c r="M564" s="146" t="s">
        <v>64</v>
      </c>
      <c r="N564" s="146" t="s">
        <v>64</v>
      </c>
      <c r="O564" s="146" t="s">
        <v>64</v>
      </c>
      <c r="P564" s="325"/>
      <c r="Q564" s="325"/>
      <c r="R564" s="17" t="str">
        <f t="shared" ref="R564:T565" si="73">IF(((M564&gt;=$Z$4)*AND(M564&lt;=$AA$4)),$Y$4,IF(((M564&gt;$AA$4)*AND(M564&lt;=$AA$5)),$Y$5,IF(((M564&gt;$AA$5)*AND(M564&lt;=$AA$6)),$Y$6,IF(((M564&gt;$AA$6)*AND(M564&lt;=$AA$7)),$Y$7,IF(((M564&gt;$AA$7)*AND(M564&lt;=$AA$8)),$Y$8,IF(EXACT(M564,$Y$9),$Z$9))))))</f>
        <v>NA</v>
      </c>
      <c r="S564" s="17" t="str">
        <f t="shared" si="73"/>
        <v>NA</v>
      </c>
      <c r="T564" s="144" t="str">
        <f t="shared" si="73"/>
        <v>NA</v>
      </c>
      <c r="U564" s="328"/>
      <c r="V564" s="328"/>
    </row>
    <row r="565" spans="1:22" ht="36" x14ac:dyDescent="0.25">
      <c r="A565" s="343"/>
      <c r="B565" s="342">
        <v>35</v>
      </c>
      <c r="C565" s="333" t="str">
        <f>Final!E224</f>
        <v>a</v>
      </c>
      <c r="D565" s="330" t="str">
        <f>Final!F224</f>
        <v>Apreciación de profesores y estudiantes adscritos al proyecto curricular sobre la orientación académica que imparten los directivos del mismo y sobre el liderazgo que ejercen.</v>
      </c>
      <c r="E565" s="11" t="str">
        <f>Apreciación!A97</f>
        <v>Estudiantes</v>
      </c>
      <c r="F565" s="12" t="str">
        <f>Apreciación!E97</f>
        <v xml:space="preserve">Cuenta de 68. Considero que las orientaciones de los directivos de mi programa académico son adecuadas. </v>
      </c>
      <c r="G565" s="203">
        <f>Apreciación!F97</f>
        <v>5.9880239520958084E-2</v>
      </c>
      <c r="H565" s="203">
        <f>Apreciación!G97</f>
        <v>7.1856287425149698E-2</v>
      </c>
      <c r="I565" s="203">
        <f>Apreciación!H97</f>
        <v>0.29940119760479039</v>
      </c>
      <c r="J565" s="203">
        <f>Apreciación!I97</f>
        <v>0.38922155688622756</v>
      </c>
      <c r="K565" s="203">
        <f>Apreciación!J97</f>
        <v>0.11976047904191617</v>
      </c>
      <c r="L565" s="203">
        <f>Apreciación!K97</f>
        <v>5.9880239520958084E-2</v>
      </c>
      <c r="M565" s="18">
        <f t="shared" ref="M565:M570" si="74">(G565*$G$2)+(H565*$H$2)+(I565*$I$2)+(J565*$J$2)+(K565*$K$2)+(L565*$L$2)</f>
        <v>3.6251497005988025</v>
      </c>
      <c r="N565" s="324">
        <f>AVERAGE(M565:M566)</f>
        <v>3.5226047904191615</v>
      </c>
      <c r="O565" s="324">
        <f>(N565*$AE$5)+(N567*$AE$4)+(AVERAGE(N565:N570)*$AE$6)+(N569*$AE$8)+(AVERAGE(N565:N570)*$AE$7)</f>
        <v>3.9864949292448246</v>
      </c>
      <c r="P565" s="324">
        <f>AVERAGE(O565:O582)</f>
        <v>3.7112723035709956</v>
      </c>
      <c r="Q565" s="325"/>
      <c r="R565" s="17" t="str">
        <f t="shared" si="73"/>
        <v>C</v>
      </c>
      <c r="S565" s="327" t="str">
        <f t="shared" si="73"/>
        <v>C</v>
      </c>
      <c r="T565" s="327" t="str">
        <f t="shared" si="73"/>
        <v>C</v>
      </c>
      <c r="U565" s="327" t="str">
        <f>IF(((P565&gt;=$Z$4)*AND(P565&lt;=$AA$4)),$Y$4,IF(((P565&gt;$AA$4)*AND(P565&lt;=$AA$5)),$Y$5,IF(((P565&gt;$AA$5)*AND(P565&lt;=$AA$6)),$Y$6,IF(((P565&gt;$AA$6)*AND(P565&lt;=$AA$7)),$Y$7,IF(((P565&gt;$AA$7)*AND(P565&lt;=$AA$8)),$Y$8,IF(EXACT(P565,$Y$9),$Z$9))))))</f>
        <v>C</v>
      </c>
      <c r="V565" s="328"/>
    </row>
    <row r="566" spans="1:22" ht="36" x14ac:dyDescent="0.25">
      <c r="A566" s="343"/>
      <c r="B566" s="343"/>
      <c r="C566" s="334"/>
      <c r="D566" s="331"/>
      <c r="E566" s="11" t="str">
        <f>Apreciación!A98</f>
        <v>Estudiantes</v>
      </c>
      <c r="F566" s="12" t="str">
        <f>Apreciación!E98</f>
        <v>Cuenta de 69. Considero que el liderazgo ejercido por los directivos de mi programa académico es idóneo.</v>
      </c>
      <c r="G566" s="203">
        <f>Apreciación!F98</f>
        <v>6.5868263473053898E-2</v>
      </c>
      <c r="H566" s="203">
        <f>Apreciación!G98</f>
        <v>9.580838323353294E-2</v>
      </c>
      <c r="I566" s="203">
        <f>Apreciación!H98</f>
        <v>0.31137724550898205</v>
      </c>
      <c r="J566" s="203">
        <f>Apreciación!I98</f>
        <v>0.31736526946107785</v>
      </c>
      <c r="K566" s="203">
        <f>Apreciación!J98</f>
        <v>0.11377245508982035</v>
      </c>
      <c r="L566" s="203">
        <f>Apreciación!K98</f>
        <v>9.580838323353294E-2</v>
      </c>
      <c r="M566" s="96">
        <f t="shared" si="74"/>
        <v>3.420059880239521</v>
      </c>
      <c r="N566" s="326"/>
      <c r="O566" s="325"/>
      <c r="P566" s="325"/>
      <c r="Q566" s="325"/>
      <c r="R566" s="17" t="str">
        <f t="shared" ref="R566:R599" si="75">IF(((M566&gt;=$Z$4)*AND(M566&lt;=$AA$4)),$Y$4,IF(((M566&gt;$AA$4)*AND(M566&lt;=$AA$5)),$Y$5,IF(((M566&gt;$AA$5)*AND(M566&lt;=$AA$6)),$Y$6,IF(((M566&gt;$AA$6)*AND(M566&lt;=$AA$7)),$Y$7,IF(((M566&gt;$AA$7)*AND(M566&lt;=$AA$8)),$Y$8,IF(EXACT(M566,$Y$9),$Z$9))))))</f>
        <v>D</v>
      </c>
      <c r="S566" s="329"/>
      <c r="T566" s="328"/>
      <c r="U566" s="328"/>
      <c r="V566" s="328"/>
    </row>
    <row r="567" spans="1:22" ht="36" x14ac:dyDescent="0.25">
      <c r="A567" s="343"/>
      <c r="B567" s="343"/>
      <c r="C567" s="334"/>
      <c r="D567" s="331"/>
      <c r="E567" s="11" t="str">
        <f>Apreciación!A184</f>
        <v>Docentes</v>
      </c>
      <c r="F567" s="12" t="str">
        <f>Apreciación!E184</f>
        <v xml:space="preserve">Cuenta de 64. Considero que las orientaciones de los directivos del programa académico al cual pertenezco son adecuadas. </v>
      </c>
      <c r="G567" s="203">
        <f>Apreciación!F184</f>
        <v>0</v>
      </c>
      <c r="H567" s="203">
        <f>Apreciación!G184</f>
        <v>0</v>
      </c>
      <c r="I567" s="203">
        <f>Apreciación!H184</f>
        <v>0.1111111111111111</v>
      </c>
      <c r="J567" s="203">
        <f>Apreciación!I184</f>
        <v>0.37037037037037035</v>
      </c>
      <c r="K567" s="203">
        <f>Apreciación!J184</f>
        <v>0.51851851851851849</v>
      </c>
      <c r="L567" s="203">
        <f>Apreciación!K184</f>
        <v>0</v>
      </c>
      <c r="M567" s="96">
        <f t="shared" si="74"/>
        <v>4.4296296296296296</v>
      </c>
      <c r="N567" s="324">
        <f>AVERAGE(M567:M568)</f>
        <v>4.4296296296296296</v>
      </c>
      <c r="O567" s="325"/>
      <c r="P567" s="325"/>
      <c r="Q567" s="325"/>
      <c r="R567" s="17" t="str">
        <f t="shared" si="75"/>
        <v>B</v>
      </c>
      <c r="S567" s="327" t="str">
        <f>IF(((N567&gt;=$Z$4)*AND(N567&lt;=$AA$4)),$Y$4,IF(((N567&gt;$AA$4)*AND(N567&lt;=$AA$5)),$Y$5,IF(((N567&gt;$AA$5)*AND(N567&lt;=$AA$6)),$Y$6,IF(((N567&gt;$AA$6)*AND(N567&lt;=$AA$7)),$Y$7,IF(((N567&gt;$AA$7)*AND(N567&lt;=$AA$8)),$Y$8,IF(EXACT(N567,$Y$9),$Z$9))))))</f>
        <v>B</v>
      </c>
      <c r="T567" s="328"/>
      <c r="U567" s="328"/>
      <c r="V567" s="328"/>
    </row>
    <row r="568" spans="1:22" ht="36" x14ac:dyDescent="0.25">
      <c r="A568" s="343"/>
      <c r="B568" s="343"/>
      <c r="C568" s="334"/>
      <c r="D568" s="331"/>
      <c r="E568" s="11" t="str">
        <f>Apreciación!A186</f>
        <v>Docentes</v>
      </c>
      <c r="F568" s="12" t="str">
        <f>Apreciación!E186</f>
        <v>Cuenta de 66. Considero que el liderazgo ejercido por los directivos del programa académico al cual pertenezco es idóneo.</v>
      </c>
      <c r="G568" s="203">
        <f>Apreciación!F186</f>
        <v>0</v>
      </c>
      <c r="H568" s="203">
        <f>Apreciación!G186</f>
        <v>0</v>
      </c>
      <c r="I568" s="203">
        <f>Apreciación!H186</f>
        <v>0.1111111111111111</v>
      </c>
      <c r="J568" s="203">
        <f>Apreciación!I186</f>
        <v>0.37037037037037035</v>
      </c>
      <c r="K568" s="203">
        <f>Apreciación!J186</f>
        <v>0.51851851851851849</v>
      </c>
      <c r="L568" s="203">
        <f>Apreciación!K186</f>
        <v>0</v>
      </c>
      <c r="M568" s="96">
        <f t="shared" si="74"/>
        <v>4.4296296296296296</v>
      </c>
      <c r="N568" s="326"/>
      <c r="O568" s="325"/>
      <c r="P568" s="325"/>
      <c r="Q568" s="325"/>
      <c r="R568" s="17" t="str">
        <f t="shared" si="75"/>
        <v>B</v>
      </c>
      <c r="S568" s="329"/>
      <c r="T568" s="328"/>
      <c r="U568" s="328"/>
      <c r="V568" s="328"/>
    </row>
    <row r="569" spans="1:22" ht="36" x14ac:dyDescent="0.25">
      <c r="A569" s="343"/>
      <c r="B569" s="343"/>
      <c r="C569" s="334"/>
      <c r="D569" s="331"/>
      <c r="E569" s="11" t="str">
        <f>Apreciación!A252</f>
        <v>Administrativos</v>
      </c>
      <c r="F569" s="12" t="str">
        <f>Apreciación!E252</f>
        <v>Cuenta de 22. Considero que las orientaciones de los directivos de los programas académicos con los cuales me he relacionado son adecuadas.</v>
      </c>
      <c r="G569" s="203">
        <f>Apreciación!F252</f>
        <v>0</v>
      </c>
      <c r="H569" s="203">
        <f>Apreciación!G252</f>
        <v>4.3859649122807015E-2</v>
      </c>
      <c r="I569" s="203">
        <f>Apreciación!H252</f>
        <v>0.27192982456140352</v>
      </c>
      <c r="J569" s="203">
        <f>Apreciación!I252</f>
        <v>0.47368421052631576</v>
      </c>
      <c r="K569" s="203">
        <f>Apreciación!J252</f>
        <v>0.13157894736842105</v>
      </c>
      <c r="L569" s="203">
        <f>Apreciación!K252</f>
        <v>7.8947368421052627E-2</v>
      </c>
      <c r="M569" s="96">
        <f t="shared" si="74"/>
        <v>3.75</v>
      </c>
      <c r="N569" s="324">
        <f>AVERAGE(M569:M570)</f>
        <v>3.7138157894736841</v>
      </c>
      <c r="O569" s="325"/>
      <c r="P569" s="325"/>
      <c r="Q569" s="325"/>
      <c r="R569" s="17" t="str">
        <f t="shared" si="75"/>
        <v>C</v>
      </c>
      <c r="S569" s="327" t="str">
        <f>IF(((N569&gt;=$Z$4)*AND(N569&lt;=$AA$4)),$Y$4,IF(((N569&gt;$AA$4)*AND(N569&lt;=$AA$5)),$Y$5,IF(((N569&gt;$AA$5)*AND(N569&lt;=$AA$6)),$Y$6,IF(((N569&gt;$AA$6)*AND(N569&lt;=$AA$7)),$Y$7,IF(((N569&gt;$AA$7)*AND(N569&lt;=$AA$8)),$Y$8,IF(EXACT(N569,$Y$9),$Z$9))))))</f>
        <v>C</v>
      </c>
      <c r="T569" s="328"/>
      <c r="U569" s="328"/>
      <c r="V569" s="328"/>
    </row>
    <row r="570" spans="1:22" ht="36" x14ac:dyDescent="0.25">
      <c r="A570" s="343"/>
      <c r="B570" s="343"/>
      <c r="C570" s="335"/>
      <c r="D570" s="332"/>
      <c r="E570" s="11" t="str">
        <f>Apreciación!A253</f>
        <v>Administrativos</v>
      </c>
      <c r="F570" s="12" t="str">
        <f>Apreciación!E253</f>
        <v>Cuenta de 23. Considero que el liderazgo ejercido por los directivos de los programas académicos con los cuales me he relacionado es idóneo.</v>
      </c>
      <c r="G570" s="203">
        <f>Apreciación!F253</f>
        <v>8.771929824561403E-3</v>
      </c>
      <c r="H570" s="203">
        <f>Apreciación!G253</f>
        <v>4.3859649122807015E-2</v>
      </c>
      <c r="I570" s="203">
        <f>Apreciación!H253</f>
        <v>0.25438596491228072</v>
      </c>
      <c r="J570" s="203">
        <f>Apreciación!I253</f>
        <v>0.43859649122807015</v>
      </c>
      <c r="K570" s="203">
        <f>Apreciación!J253</f>
        <v>0.15789473684210525</v>
      </c>
      <c r="L570" s="203">
        <f>Apreciación!K253</f>
        <v>9.6491228070175433E-2</v>
      </c>
      <c r="M570" s="96">
        <f t="shared" si="74"/>
        <v>3.6776315789473686</v>
      </c>
      <c r="N570" s="326"/>
      <c r="O570" s="326"/>
      <c r="P570" s="325"/>
      <c r="Q570" s="325"/>
      <c r="R570" s="17" t="str">
        <f t="shared" si="75"/>
        <v>C</v>
      </c>
      <c r="S570" s="329"/>
      <c r="T570" s="329"/>
      <c r="U570" s="328"/>
      <c r="V570" s="328"/>
    </row>
    <row r="571" spans="1:22" ht="48" x14ac:dyDescent="0.25">
      <c r="A571" s="343"/>
      <c r="B571" s="343"/>
      <c r="C571" s="58" t="str">
        <f>Final!E225</f>
        <v>b</v>
      </c>
      <c r="D571" s="59" t="str">
        <f>Final!F225</f>
        <v>Lineamientos y políticas que orientan la gestión del proyecto curricular, debidamente divulgados y apropiados por los directivos, profesores y personal administrativo del mismo.</v>
      </c>
      <c r="E571" s="61" t="s">
        <v>64</v>
      </c>
      <c r="F571" s="61" t="s">
        <v>64</v>
      </c>
      <c r="G571" s="204" t="s">
        <v>64</v>
      </c>
      <c r="H571" s="204" t="s">
        <v>64</v>
      </c>
      <c r="I571" s="204" t="s">
        <v>64</v>
      </c>
      <c r="J571" s="204" t="s">
        <v>64</v>
      </c>
      <c r="K571" s="204" t="s">
        <v>64</v>
      </c>
      <c r="L571" s="204" t="s">
        <v>64</v>
      </c>
      <c r="M571" s="96" t="s">
        <v>64</v>
      </c>
      <c r="N571" s="96" t="s">
        <v>64</v>
      </c>
      <c r="O571" s="96" t="s">
        <v>64</v>
      </c>
      <c r="P571" s="325"/>
      <c r="Q571" s="325"/>
      <c r="R571" s="17" t="str">
        <f t="shared" si="75"/>
        <v>NA</v>
      </c>
      <c r="S571" s="17" t="str">
        <f t="shared" ref="S571:T573" si="76">IF(((N571&gt;=$Z$4)*AND(N571&lt;=$AA$4)),$Y$4,IF(((N571&gt;$AA$4)*AND(N571&lt;=$AA$5)),$Y$5,IF(((N571&gt;$AA$5)*AND(N571&lt;=$AA$6)),$Y$6,IF(((N571&gt;$AA$6)*AND(N571&lt;=$AA$7)),$Y$7,IF(((N571&gt;$AA$7)*AND(N571&lt;=$AA$8)),$Y$8,IF(EXACT(N571,$Y$9),$Z$9))))))</f>
        <v>NA</v>
      </c>
      <c r="T571" s="17" t="str">
        <f t="shared" si="76"/>
        <v>NA</v>
      </c>
      <c r="U571" s="328"/>
      <c r="V571" s="328"/>
    </row>
    <row r="572" spans="1:22" ht="48" x14ac:dyDescent="0.25">
      <c r="A572" s="343"/>
      <c r="B572" s="343"/>
      <c r="C572" s="58" t="str">
        <f>Final!E226</f>
        <v>c</v>
      </c>
      <c r="D572" s="59" t="str">
        <f>Final!F226</f>
        <v>Documentos institucionales que establecen la forma de operación (procesos y procedimientos) de las distintas instancias relacionadas con la gestión del proyecto curricular.</v>
      </c>
      <c r="E572" s="61" t="s">
        <v>64</v>
      </c>
      <c r="F572" s="61" t="s">
        <v>64</v>
      </c>
      <c r="G572" s="204" t="s">
        <v>64</v>
      </c>
      <c r="H572" s="204" t="s">
        <v>64</v>
      </c>
      <c r="I572" s="204" t="s">
        <v>64</v>
      </c>
      <c r="J572" s="204" t="s">
        <v>64</v>
      </c>
      <c r="K572" s="204" t="s">
        <v>64</v>
      </c>
      <c r="L572" s="204" t="s">
        <v>64</v>
      </c>
      <c r="M572" s="146" t="s">
        <v>64</v>
      </c>
      <c r="N572" s="146" t="s">
        <v>64</v>
      </c>
      <c r="O572" s="146" t="s">
        <v>64</v>
      </c>
      <c r="P572" s="325"/>
      <c r="Q572" s="325"/>
      <c r="R572" s="17" t="str">
        <f t="shared" si="75"/>
        <v>NA</v>
      </c>
      <c r="S572" s="17" t="str">
        <f t="shared" si="76"/>
        <v>NA</v>
      </c>
      <c r="T572" s="17" t="str">
        <f t="shared" si="76"/>
        <v>NA</v>
      </c>
      <c r="U572" s="328"/>
      <c r="V572" s="328"/>
    </row>
    <row r="573" spans="1:22" ht="36" x14ac:dyDescent="0.25">
      <c r="A573" s="343"/>
      <c r="B573" s="343"/>
      <c r="C573" s="333" t="str">
        <f>Final!E227</f>
        <v>d</v>
      </c>
      <c r="D573" s="330" t="str">
        <f>Final!F227</f>
        <v>Mecanismos eficientes de participación de la comunidad académica en la gestión del proyecto curricular.</v>
      </c>
      <c r="E573" s="11" t="str">
        <f>Apreciación!A90</f>
        <v>Estudiantes</v>
      </c>
      <c r="F573" s="12" t="str">
        <f>Apreciación!E90</f>
        <v xml:space="preserve">Cuenta de 63. Puedo identificar las personas que desarrollan la representación estudiantil en mi programa académico. </v>
      </c>
      <c r="G573" s="203">
        <f>Apreciación!F90</f>
        <v>0.19161676646706588</v>
      </c>
      <c r="H573" s="203">
        <f>Apreciación!G90</f>
        <v>0.1377245508982036</v>
      </c>
      <c r="I573" s="203">
        <f>Apreciación!H90</f>
        <v>0.23952095808383234</v>
      </c>
      <c r="J573" s="203">
        <f>Apreciación!I90</f>
        <v>0.23353293413173654</v>
      </c>
      <c r="K573" s="203">
        <f>Apreciación!J90</f>
        <v>0.11976047904191617</v>
      </c>
      <c r="L573" s="203">
        <f>Apreciación!K90</f>
        <v>7.7844311377245512E-2</v>
      </c>
      <c r="M573" s="18">
        <f t="shared" ref="M573:M582" si="77">(G573*$G$2)+(H573*$H$2)+(I573*$I$2)+(J573*$J$2)+(K573*$K$2)+(L573*$L$2)</f>
        <v>3.1679640718562876</v>
      </c>
      <c r="N573" s="324">
        <f>AVERAGE(M573:M575)</f>
        <v>2.9178642714570859</v>
      </c>
      <c r="O573" s="324">
        <f>(N573*$AE$5)+(N576*$AE$4)+(N579*$AE$6)+(N581*$AE$8)+(AVERAGE(N573:N582)*$AE$7)</f>
        <v>3.4360496778971665</v>
      </c>
      <c r="P573" s="325"/>
      <c r="Q573" s="325"/>
      <c r="R573" s="17" t="str">
        <f t="shared" si="75"/>
        <v>D</v>
      </c>
      <c r="S573" s="327" t="str">
        <f t="shared" si="76"/>
        <v>D</v>
      </c>
      <c r="T573" s="327" t="str">
        <f t="shared" si="76"/>
        <v>D</v>
      </c>
      <c r="U573" s="328"/>
      <c r="V573" s="328"/>
    </row>
    <row r="574" spans="1:22" ht="36" x14ac:dyDescent="0.25">
      <c r="A574" s="343"/>
      <c r="B574" s="343"/>
      <c r="C574" s="334"/>
      <c r="D574" s="331"/>
      <c r="E574" s="11" t="str">
        <f>Apreciación!A92</f>
        <v>Estudiantes</v>
      </c>
      <c r="F574" s="12" t="str">
        <f>Apreciación!E92</f>
        <v xml:space="preserve">Cuenta de 65. Los representantes estudiantiles han liderado propuestas para el mejoramiento de mi programa académico. </v>
      </c>
      <c r="G574" s="203">
        <f>Apreciación!F92</f>
        <v>0.1497005988023952</v>
      </c>
      <c r="H574" s="203">
        <f>Apreciación!G92</f>
        <v>9.580838323353294E-2</v>
      </c>
      <c r="I574" s="203">
        <f>Apreciación!H92</f>
        <v>0.25748502994011974</v>
      </c>
      <c r="J574" s="203">
        <f>Apreciación!I92</f>
        <v>0.20359281437125748</v>
      </c>
      <c r="K574" s="203">
        <f>Apreciación!J92</f>
        <v>5.9880239520958084E-2</v>
      </c>
      <c r="L574" s="203">
        <f>Apreciación!K92</f>
        <v>0.23353293413173654</v>
      </c>
      <c r="M574" s="96">
        <f t="shared" si="77"/>
        <v>2.6293413173652693</v>
      </c>
      <c r="N574" s="325"/>
      <c r="O574" s="325"/>
      <c r="P574" s="325"/>
      <c r="Q574" s="325"/>
      <c r="R574" s="17" t="str">
        <f t="shared" si="75"/>
        <v>D</v>
      </c>
      <c r="S574" s="328"/>
      <c r="T574" s="328"/>
      <c r="U574" s="328"/>
      <c r="V574" s="328"/>
    </row>
    <row r="575" spans="1:22" ht="36" x14ac:dyDescent="0.25">
      <c r="A575" s="343"/>
      <c r="B575" s="343"/>
      <c r="C575" s="334"/>
      <c r="D575" s="331"/>
      <c r="E575" s="11" t="str">
        <f>Apreciación!A91</f>
        <v>Estudiantes</v>
      </c>
      <c r="F575" s="12" t="str">
        <f>Apreciación!E91</f>
        <v>Cuenta de 64. Considero que la representación estudiantil cumple su papel de comunicación entre los directivos y los estudiantes.</v>
      </c>
      <c r="G575" s="203">
        <f>Apreciación!F91</f>
        <v>0.15568862275449102</v>
      </c>
      <c r="H575" s="203">
        <f>Apreciación!G91</f>
        <v>0.1377245508982036</v>
      </c>
      <c r="I575" s="203">
        <f>Apreciación!H91</f>
        <v>0.24550898203592814</v>
      </c>
      <c r="J575" s="203">
        <f>Apreciación!I91</f>
        <v>0.18562874251497005</v>
      </c>
      <c r="K575" s="203">
        <f>Apreciación!J91</f>
        <v>0.12574850299401197</v>
      </c>
      <c r="L575" s="203">
        <f>Apreciación!K91</f>
        <v>0.1497005988023952</v>
      </c>
      <c r="M575" s="146">
        <f t="shared" si="77"/>
        <v>2.9562874251497004</v>
      </c>
      <c r="N575" s="326"/>
      <c r="O575" s="325"/>
      <c r="P575" s="325"/>
      <c r="Q575" s="325"/>
      <c r="R575" s="17" t="str">
        <f t="shared" si="75"/>
        <v>D</v>
      </c>
      <c r="S575" s="329"/>
      <c r="T575" s="328"/>
      <c r="U575" s="328"/>
      <c r="V575" s="328"/>
    </row>
    <row r="576" spans="1:22" ht="48" x14ac:dyDescent="0.25">
      <c r="A576" s="343"/>
      <c r="B576" s="343"/>
      <c r="C576" s="334"/>
      <c r="D576" s="331"/>
      <c r="E576" s="11" t="str">
        <f>Apreciación!A182</f>
        <v>Docentes</v>
      </c>
      <c r="F576" s="12" t="str">
        <f>Apreciación!E182</f>
        <v xml:space="preserve">Cuenta de 62. Considero que los representantes docentes han liderado propuestas para el mejoramiento del programa académico al cual pertenezco. </v>
      </c>
      <c r="G576" s="203">
        <f>Apreciación!F182</f>
        <v>0.1111111111111111</v>
      </c>
      <c r="H576" s="203">
        <f>Apreciación!G182</f>
        <v>3.7037037037037035E-2</v>
      </c>
      <c r="I576" s="203">
        <f>Apreciación!H182</f>
        <v>0.1111111111111111</v>
      </c>
      <c r="J576" s="203">
        <f>Apreciación!I182</f>
        <v>0.33333333333333331</v>
      </c>
      <c r="K576" s="203">
        <f>Apreciación!J182</f>
        <v>0.25925925925925924</v>
      </c>
      <c r="L576" s="203">
        <f>Apreciación!K182</f>
        <v>0.14814814814814814</v>
      </c>
      <c r="M576" s="146">
        <f t="shared" si="77"/>
        <v>3.3407407407407406</v>
      </c>
      <c r="N576" s="324">
        <f>AVERAGE(M576:M578)</f>
        <v>3.5839506172839499</v>
      </c>
      <c r="O576" s="325"/>
      <c r="P576" s="325"/>
      <c r="Q576" s="325"/>
      <c r="R576" s="17" t="str">
        <f t="shared" si="75"/>
        <v>D</v>
      </c>
      <c r="S576" s="327" t="str">
        <f>IF(((N576&gt;=$Z$4)*AND(N576&lt;=$AA$4)),$Y$4,IF(((N576&gt;$AA$4)*AND(N576&lt;=$AA$5)),$Y$5,IF(((N576&gt;$AA$5)*AND(N576&lt;=$AA$6)),$Y$6,IF(((N576&gt;$AA$6)*AND(N576&lt;=$AA$7)),$Y$7,IF(((N576&gt;$AA$7)*AND(N576&lt;=$AA$8)),$Y$8,IF(EXACT(N576,$Y$9),$Z$9))))))</f>
        <v>C</v>
      </c>
      <c r="T576" s="328"/>
      <c r="U576" s="328"/>
      <c r="V576" s="328"/>
    </row>
    <row r="577" spans="1:22" ht="24" customHeight="1" x14ac:dyDescent="0.25">
      <c r="A577" s="343"/>
      <c r="B577" s="343"/>
      <c r="C577" s="334"/>
      <c r="D577" s="331"/>
      <c r="E577" s="11" t="str">
        <f>Apreciación!A185</f>
        <v>Docentes</v>
      </c>
      <c r="F577" s="12" t="str">
        <f>Apreciación!E185</f>
        <v>Cuenta de 65. Me entero de las decisiones del Consejo Curricular del programa académico al cual pertenezco.</v>
      </c>
      <c r="G577" s="203">
        <f>Apreciación!F185</f>
        <v>7.407407407407407E-2</v>
      </c>
      <c r="H577" s="203">
        <f>Apreciación!G185</f>
        <v>7.407407407407407E-2</v>
      </c>
      <c r="I577" s="203">
        <f>Apreciación!H185</f>
        <v>0.22222222222222221</v>
      </c>
      <c r="J577" s="203">
        <f>Apreciación!I185</f>
        <v>0.25925925925925924</v>
      </c>
      <c r="K577" s="203">
        <f>Apreciación!J185</f>
        <v>0.37037037037037035</v>
      </c>
      <c r="L577" s="203">
        <f>Apreciación!K185</f>
        <v>0</v>
      </c>
      <c r="M577" s="146">
        <f t="shared" si="77"/>
        <v>4.0148148148148142</v>
      </c>
      <c r="N577" s="325"/>
      <c r="O577" s="325"/>
      <c r="P577" s="325"/>
      <c r="Q577" s="325"/>
      <c r="R577" s="17" t="str">
        <f t="shared" si="75"/>
        <v>B</v>
      </c>
      <c r="S577" s="328"/>
      <c r="T577" s="328"/>
      <c r="U577" s="328"/>
      <c r="V577" s="328"/>
    </row>
    <row r="578" spans="1:22" ht="36" x14ac:dyDescent="0.25">
      <c r="A578" s="343"/>
      <c r="B578" s="343"/>
      <c r="C578" s="334"/>
      <c r="D578" s="331"/>
      <c r="E578" s="11" t="str">
        <f>Apreciación!A181</f>
        <v>Docentes</v>
      </c>
      <c r="F578" s="12" t="str">
        <f>Apreciación!E181</f>
        <v>Cuenta de 61. Considero que la representación docente cumple su papel de comunicación entre los directivos y los docentes.</v>
      </c>
      <c r="G578" s="203">
        <f>Apreciación!F181</f>
        <v>0.14814814814814814</v>
      </c>
      <c r="H578" s="203">
        <f>Apreciación!G181</f>
        <v>7.407407407407407E-2</v>
      </c>
      <c r="I578" s="203">
        <f>Apreciación!H181</f>
        <v>0.22222222222222221</v>
      </c>
      <c r="J578" s="203">
        <f>Apreciación!I181</f>
        <v>0.33333333333333331</v>
      </c>
      <c r="K578" s="203">
        <f>Apreciación!J181</f>
        <v>0.14814814814814814</v>
      </c>
      <c r="L578" s="203">
        <f>Apreciación!K181</f>
        <v>7.407407407407407E-2</v>
      </c>
      <c r="M578" s="146">
        <f t="shared" si="77"/>
        <v>3.3962962962962959</v>
      </c>
      <c r="N578" s="326"/>
      <c r="O578" s="325"/>
      <c r="P578" s="325"/>
      <c r="Q578" s="325"/>
      <c r="R578" s="17" t="str">
        <f t="shared" si="75"/>
        <v>D</v>
      </c>
      <c r="S578" s="329"/>
      <c r="T578" s="328"/>
      <c r="U578" s="328"/>
      <c r="V578" s="328"/>
    </row>
    <row r="579" spans="1:22" ht="48" x14ac:dyDescent="0.25">
      <c r="A579" s="343"/>
      <c r="B579" s="343"/>
      <c r="C579" s="334"/>
      <c r="D579" s="331"/>
      <c r="E579" s="167" t="str">
        <f>Apreciación!A214</f>
        <v>Egresados</v>
      </c>
      <c r="F579" s="182" t="str">
        <f>Apreciación!E214</f>
        <v>Cuenta de 11.4. Mi paso por la Facultad Tecnológica de la Universidad Distrital me ayudó a: UTILIZAR HERRAMIENTAS INFORMÁTICAS ACTUALIZADAS AL SERVICIO DE MI PROFESIÓN.</v>
      </c>
      <c r="G579" s="203">
        <f>Apreciación!F214</f>
        <v>3.8461538461538464E-2</v>
      </c>
      <c r="H579" s="203">
        <f>Apreciación!G214</f>
        <v>1.282051282051282E-2</v>
      </c>
      <c r="I579" s="203">
        <f>Apreciación!H214</f>
        <v>0.21794871794871795</v>
      </c>
      <c r="J579" s="203">
        <f>Apreciación!I214</f>
        <v>0.41025641025641024</v>
      </c>
      <c r="K579" s="203">
        <f>Apreciación!J214</f>
        <v>0.30769230769230771</v>
      </c>
      <c r="L579" s="203">
        <f>Apreciación!K214</f>
        <v>1.282051282051282E-2</v>
      </c>
      <c r="M579" s="146">
        <f t="shared" si="77"/>
        <v>4.0942307692307693</v>
      </c>
      <c r="N579" s="324">
        <f>AVERAGE(M579:M580)</f>
        <v>4.1105769230769234</v>
      </c>
      <c r="O579" s="325"/>
      <c r="P579" s="325"/>
      <c r="Q579" s="325"/>
      <c r="R579" s="17" t="str">
        <f t="shared" si="75"/>
        <v>B</v>
      </c>
      <c r="S579" s="327" t="str">
        <f>IF(((N579&gt;=$Z$4)*AND(N579&lt;=$AA$4)),$Y$4,IF(((N579&gt;$AA$4)*AND(N579&lt;=$AA$5)),$Y$5,IF(((N579&gt;$AA$5)*AND(N579&lt;=$AA$6)),$Y$6,IF(((N579&gt;$AA$6)*AND(N579&lt;=$AA$7)),$Y$7,IF(((N579&gt;$AA$7)*AND(N579&lt;=$AA$8)),$Y$8,IF(EXACT(N579,$Y$9),$Z$9))))))</f>
        <v>B</v>
      </c>
      <c r="T579" s="328"/>
      <c r="U579" s="328"/>
      <c r="V579" s="328"/>
    </row>
    <row r="580" spans="1:22" ht="46.5" customHeight="1" x14ac:dyDescent="0.25">
      <c r="A580" s="343"/>
      <c r="B580" s="343"/>
      <c r="C580" s="334"/>
      <c r="D580" s="331"/>
      <c r="E580" s="167" t="str">
        <f>Apreciación!A213</f>
        <v>Egresados</v>
      </c>
      <c r="F580" s="182" t="str">
        <f>Apreciación!E213</f>
        <v>Cuenta de 11.3. Mi paso por la Facultad Tecnológica de la Universidad Distrital me ayudó a: HACER CONSULTAS BIBLIOGRÁFICAS EFECTIVAS</v>
      </c>
      <c r="G580" s="203">
        <f>Apreciación!F213</f>
        <v>2.564102564102564E-2</v>
      </c>
      <c r="H580" s="203">
        <f>Apreciación!G213</f>
        <v>3.8461538461538464E-2</v>
      </c>
      <c r="I580" s="203">
        <f>Apreciación!H213</f>
        <v>0.16666666666666666</v>
      </c>
      <c r="J580" s="203">
        <f>Apreciación!I213</f>
        <v>0.4358974358974359</v>
      </c>
      <c r="K580" s="203">
        <f>Apreciación!J213</f>
        <v>0.32051282051282054</v>
      </c>
      <c r="L580" s="203">
        <f>Apreciación!K213</f>
        <v>1.282051282051282E-2</v>
      </c>
      <c r="M580" s="146">
        <f t="shared" si="77"/>
        <v>4.1269230769230774</v>
      </c>
      <c r="N580" s="326"/>
      <c r="O580" s="325"/>
      <c r="P580" s="325"/>
      <c r="Q580" s="325"/>
      <c r="R580" s="17" t="str">
        <f t="shared" si="75"/>
        <v>B</v>
      </c>
      <c r="S580" s="329"/>
      <c r="T580" s="328"/>
      <c r="U580" s="328"/>
      <c r="V580" s="328"/>
    </row>
    <row r="581" spans="1:22" ht="48" customHeight="1" x14ac:dyDescent="0.25">
      <c r="A581" s="343"/>
      <c r="B581" s="343"/>
      <c r="C581" s="334"/>
      <c r="D581" s="331"/>
      <c r="E581" s="11" t="str">
        <f>Apreciación!A249</f>
        <v>Administrativos</v>
      </c>
      <c r="F581" s="12" t="str">
        <f>Apreciación!E249</f>
        <v>Cuenta de 19. Considero que los representantes administrativos han liderado propuestas para el mejoramiento de los programas académicos con los cuales me he relacionado.</v>
      </c>
      <c r="G581" s="203">
        <f>Apreciación!F249</f>
        <v>8.771929824561403E-2</v>
      </c>
      <c r="H581" s="203">
        <f>Apreciación!G249</f>
        <v>0.12280701754385964</v>
      </c>
      <c r="I581" s="203">
        <f>Apreciación!H249</f>
        <v>0.21929824561403508</v>
      </c>
      <c r="J581" s="203">
        <f>Apreciación!I249</f>
        <v>0.31578947368421051</v>
      </c>
      <c r="K581" s="203">
        <f>Apreciación!J249</f>
        <v>0.10526315789473684</v>
      </c>
      <c r="L581" s="203">
        <f>Apreciación!K249</f>
        <v>0.14912280701754385</v>
      </c>
      <c r="M581" s="146">
        <f t="shared" si="77"/>
        <v>3.1491228070175437</v>
      </c>
      <c r="N581" s="324">
        <f>AVERAGE(M581:M582)</f>
        <v>3.2695175438596493</v>
      </c>
      <c r="O581" s="325"/>
      <c r="P581" s="325"/>
      <c r="Q581" s="325"/>
      <c r="R581" s="17" t="str">
        <f t="shared" si="75"/>
        <v>D</v>
      </c>
      <c r="S581" s="327" t="str">
        <f t="shared" ref="S581:S589" si="78">IF(((N581&gt;=$Z$4)*AND(N581&lt;=$AA$4)),$Y$4,IF(((N581&gt;$AA$4)*AND(N581&lt;=$AA$5)),$Y$5,IF(((N581&gt;$AA$5)*AND(N581&lt;=$AA$6)),$Y$6,IF(((N581&gt;$AA$6)*AND(N581&lt;=$AA$7)),$Y$7,IF(((N581&gt;$AA$7)*AND(N581&lt;=$AA$8)),$Y$8,IF(EXACT(N581,$Y$9),$Z$9))))))</f>
        <v>D</v>
      </c>
      <c r="T581" s="328"/>
      <c r="U581" s="328"/>
      <c r="V581" s="328"/>
    </row>
    <row r="582" spans="1:22" ht="36" customHeight="1" x14ac:dyDescent="0.25">
      <c r="A582" s="145"/>
      <c r="B582" s="344"/>
      <c r="C582" s="335"/>
      <c r="D582" s="332"/>
      <c r="E582" s="11" t="str">
        <f>Apreciación!A248</f>
        <v>Administrativos</v>
      </c>
      <c r="F582" s="12" t="str">
        <f>Apreciación!E248</f>
        <v>Cuenta de 18. Considero que la representación de los administrativos cumple su papel de comunicación entre los directivos y el personal administrativo.</v>
      </c>
      <c r="G582" s="203">
        <f>Apreciación!F248</f>
        <v>8.771929824561403E-2</v>
      </c>
      <c r="H582" s="203">
        <f>Apreciación!G248</f>
        <v>0.12280701754385964</v>
      </c>
      <c r="I582" s="203">
        <f>Apreciación!H248</f>
        <v>0.26315789473684209</v>
      </c>
      <c r="J582" s="203">
        <f>Apreciación!I248</f>
        <v>0.32456140350877194</v>
      </c>
      <c r="K582" s="203">
        <f>Apreciación!J248</f>
        <v>0.11403508771929824</v>
      </c>
      <c r="L582" s="203">
        <f>Apreciación!K248</f>
        <v>8.771929824561403E-2</v>
      </c>
      <c r="M582" s="146">
        <f t="shared" si="77"/>
        <v>3.3899122807017545</v>
      </c>
      <c r="N582" s="326"/>
      <c r="O582" s="326"/>
      <c r="P582" s="326"/>
      <c r="Q582" s="326"/>
      <c r="R582" s="17" t="str">
        <f t="shared" si="75"/>
        <v>D</v>
      </c>
      <c r="S582" s="329"/>
      <c r="T582" s="329"/>
      <c r="U582" s="329"/>
      <c r="V582" s="329"/>
    </row>
    <row r="583" spans="1:22" ht="36" x14ac:dyDescent="0.25">
      <c r="A583" s="342">
        <v>9</v>
      </c>
      <c r="B583" s="342">
        <v>36</v>
      </c>
      <c r="C583" s="58" t="str">
        <f>Final!E228</f>
        <v>a</v>
      </c>
      <c r="D583" s="59" t="str">
        <f>Final!F228</f>
        <v>Existencia de registros actualizados sobre ocupación y ubicación profesional de los egresados del proyecto curricular.</v>
      </c>
      <c r="E583" s="61" t="s">
        <v>64</v>
      </c>
      <c r="F583" s="61" t="s">
        <v>64</v>
      </c>
      <c r="G583" s="204" t="s">
        <v>64</v>
      </c>
      <c r="H583" s="204" t="s">
        <v>64</v>
      </c>
      <c r="I583" s="204" t="s">
        <v>64</v>
      </c>
      <c r="J583" s="204" t="s">
        <v>64</v>
      </c>
      <c r="K583" s="204" t="s">
        <v>64</v>
      </c>
      <c r="L583" s="204" t="s">
        <v>64</v>
      </c>
      <c r="M583" s="96" t="s">
        <v>64</v>
      </c>
      <c r="N583" s="96" t="s">
        <v>64</v>
      </c>
      <c r="O583" s="96" t="s">
        <v>64</v>
      </c>
      <c r="P583" s="324">
        <f>AVERAGE(O583:O595)</f>
        <v>3.8810622345053485</v>
      </c>
      <c r="Q583" s="324">
        <f>(P583*Ponderación!D37)+(P596*Ponderación!D38)</f>
        <v>4.060984664370892</v>
      </c>
      <c r="R583" s="17" t="str">
        <f t="shared" si="75"/>
        <v>NA</v>
      </c>
      <c r="S583" s="17" t="str">
        <f t="shared" si="78"/>
        <v>NA</v>
      </c>
      <c r="T583" s="17" t="str">
        <f>IF(((O583&gt;=$Z$4)*AND(O583&lt;=$AA$4)),$Y$4,IF(((O583&gt;$AA$4)*AND(O583&lt;=$AA$5)),$Y$5,IF(((O583&gt;$AA$5)*AND(O583&lt;=$AA$6)),$Y$6,IF(((O583&gt;$AA$6)*AND(O583&lt;=$AA$7)),$Y$7,IF(((O583&gt;$AA$7)*AND(O583&lt;=$AA$8)),$Y$8,IF(EXACT(O583,$Y$9),$Z$9))))))</f>
        <v>NA</v>
      </c>
      <c r="U583" s="327" t="str">
        <f>IF(((P583&gt;=$Z$4)*AND(P583&lt;=$AA$4)),$Y$4,IF(((P583&gt;$AA$4)*AND(P583&lt;=$AA$5)),$Y$5,IF(((P583&gt;$AA$5)*AND(P583&lt;=$AA$6)),$Y$6,IF(((P583&gt;$AA$6)*AND(P583&lt;=$AA$7)),$Y$7,IF(((P583&gt;$AA$7)*AND(P583&lt;=$AA$8)),$Y$8,IF(EXACT(P583,$Y$9),$Z$9))))))</f>
        <v>C</v>
      </c>
      <c r="V583" s="327" t="str">
        <f>IF(((Q583&gt;=$Z$4)*AND(Q583&lt;=$AA$4)),$Y$4,IF(((Q583&gt;$AA$4)*AND(Q583&lt;=$AA$5)),$Y$5,IF(((Q583&gt;$AA$5)*AND(Q583&lt;=$AA$6)),$Y$6,IF(((Q583&gt;$AA$6)*AND(Q583&lt;=$AA$7)),$Y$7,IF(((Q583&gt;$AA$7)*AND(Q583&lt;=$AA$8)),$Y$8,IF(EXACT(Q583,$Y$9),$Z$9))))))</f>
        <v>B</v>
      </c>
    </row>
    <row r="584" spans="1:22" ht="36" x14ac:dyDescent="0.25">
      <c r="A584" s="343"/>
      <c r="B584" s="343"/>
      <c r="C584" s="58" t="str">
        <f>Final!E229</f>
        <v>b</v>
      </c>
      <c r="D584" s="59" t="str">
        <f>Final!F229</f>
        <v>Correspondencia entre la ocupación y ubicación profesional de los egresados y el perfil de formación del proyecto curricular.</v>
      </c>
      <c r="E584" s="167" t="str">
        <f>Apreciación!A215</f>
        <v>Egresados</v>
      </c>
      <c r="F584" s="182" t="str">
        <f>Apreciación!E215</f>
        <v>Cuenta de 8.1. El programa académico al cual pertenecí me brindó las herramientas necesarias para DESARROLLAR PROCESOS DE INVESTIGACIÓN</v>
      </c>
      <c r="G584" s="203">
        <f>Apreciación!F215</f>
        <v>3.8461538461538464E-2</v>
      </c>
      <c r="H584" s="203">
        <f>Apreciación!G215</f>
        <v>5.128205128205128E-2</v>
      </c>
      <c r="I584" s="203">
        <f>Apreciación!H215</f>
        <v>0.34615384615384615</v>
      </c>
      <c r="J584" s="203">
        <f>Apreciación!I215</f>
        <v>0.33333333333333331</v>
      </c>
      <c r="K584" s="203">
        <f>Apreciación!J215</f>
        <v>0.21794871794871795</v>
      </c>
      <c r="L584" s="203">
        <f>Apreciación!K215</f>
        <v>1.282051282051282E-2</v>
      </c>
      <c r="M584" s="18">
        <f t="shared" ref="M584:M591" si="79">(G584*$G$2)+(H584*$H$2)+(I584*$I$2)+(J584*$J$2)+(K584*$K$2)+(L584*$L$2)</f>
        <v>3.9326923076923075</v>
      </c>
      <c r="N584" s="63">
        <f>AVERAGE(M584)</f>
        <v>3.9326923076923075</v>
      </c>
      <c r="O584" s="18">
        <f>AVERAGE(N584)</f>
        <v>3.9326923076923075</v>
      </c>
      <c r="P584" s="325"/>
      <c r="Q584" s="325"/>
      <c r="R584" s="17" t="str">
        <f t="shared" si="75"/>
        <v>C</v>
      </c>
      <c r="S584" s="17" t="str">
        <f t="shared" si="78"/>
        <v>C</v>
      </c>
      <c r="T584" s="17" t="str">
        <f>IF(((O584&gt;=$Z$4)*AND(O584&lt;=$AA$4)),$Y$4,IF(((O584&gt;$AA$4)*AND(O584&lt;=$AA$5)),$Y$5,IF(((O584&gt;$AA$5)*AND(O584&lt;=$AA$6)),$Y$6,IF(((O584&gt;$AA$6)*AND(O584&lt;=$AA$7)),$Y$7,IF(((O584&gt;$AA$7)*AND(O584&lt;=$AA$8)),$Y$8,IF(EXACT(O584,$Y$9),$Z$9))))))</f>
        <v>C</v>
      </c>
      <c r="U584" s="328"/>
      <c r="V584" s="328"/>
    </row>
    <row r="585" spans="1:22" ht="36" x14ac:dyDescent="0.25">
      <c r="A585" s="343"/>
      <c r="B585" s="343"/>
      <c r="C585" s="333" t="str">
        <f>Final!E230</f>
        <v>c</v>
      </c>
      <c r="D585" s="330" t="str">
        <f>Final!F230</f>
        <v>Apreciación de los egresados, empleadores y usuarios externos sobre la calidad de la formación dada por el proyecto curricular.</v>
      </c>
      <c r="E585" s="167" t="str">
        <f>Apreciación!A215</f>
        <v>Egresados</v>
      </c>
      <c r="F585" s="182" t="str">
        <f>Apreciación!E215</f>
        <v>Cuenta de 8.1. El programa académico al cual pertenecí me brindó las herramientas necesarias para DESARROLLAR PROCESOS DE INVESTIGACIÓN</v>
      </c>
      <c r="G585" s="203">
        <f>Apreciación!F215</f>
        <v>3.8461538461538464E-2</v>
      </c>
      <c r="H585" s="203">
        <f>Apreciación!G215</f>
        <v>5.128205128205128E-2</v>
      </c>
      <c r="I585" s="203">
        <f>Apreciación!H215</f>
        <v>0.34615384615384615</v>
      </c>
      <c r="J585" s="203">
        <f>Apreciación!I215</f>
        <v>0.33333333333333331</v>
      </c>
      <c r="K585" s="203">
        <f>Apreciación!J215</f>
        <v>0.21794871794871795</v>
      </c>
      <c r="L585" s="203">
        <f>Apreciación!K215</f>
        <v>1.282051282051282E-2</v>
      </c>
      <c r="M585" s="18">
        <f t="shared" si="79"/>
        <v>3.9326923076923075</v>
      </c>
      <c r="N585" s="324">
        <f>AVERAGE(M585:M587)</f>
        <v>3.6693894262756541</v>
      </c>
      <c r="O585" s="324">
        <f>AVERAGE(N585:N588)</f>
        <v>3.9874724909156045</v>
      </c>
      <c r="P585" s="325"/>
      <c r="Q585" s="325"/>
      <c r="R585" s="17" t="str">
        <f>IF(((M585&gt;=$Z$4)*AND(M585&lt;=$AA$4)),$Y$4,IF(((M585&gt;$AA$4)*AND(M585&lt;=$AA$5)),$Y$5,IF(((M585&gt;$AA$5)*AND(M585&lt;=$AA$6)),$Y$6,IF(((M585&gt;$AA$6)*AND(M585&lt;=$AA$7)),$Y$7,IF(((M585&gt;$AA$7)*AND(M585&lt;=$AA$8)),$Y$8,IF(EXACT(M585,$Y$9),$Z$9))))))</f>
        <v>C</v>
      </c>
      <c r="S585" s="327" t="str">
        <f>IF(((N585&gt;=$Z$4)*AND(N585&lt;=$AA$4)),$Y$4,IF(((N585&gt;$AA$4)*AND(N585&lt;=$AA$5)),$Y$5,IF(((N585&gt;$AA$5)*AND(N585&lt;=$AA$6)),$Y$6,IF(((N585&gt;$AA$6)*AND(N585&lt;=$AA$7)),$Y$7,IF(((N585&gt;$AA$7)*AND(N585&lt;=$AA$8)),$Y$8,IF(EXACT(N585,$Y$9),$Z$9))))))</f>
        <v>C</v>
      </c>
      <c r="T585" s="327" t="str">
        <f>IF(((O585&gt;=$Z$4)*AND(O585&lt;=$AA$4)),$Y$4,IF(((O585&gt;$AA$4)*AND(O585&lt;=$AA$5)),$Y$5,IF(((O585&gt;$AA$5)*AND(O585&lt;=$AA$6)),$Y$6,IF(((O585&gt;$AA$6)*AND(O585&lt;=$AA$7)),$Y$7,IF(((O585&gt;$AA$7)*AND(O585&lt;=$AA$8)),$Y$8,IF(EXACT(O585,$Y$9),$Z$9))))))</f>
        <v>C</v>
      </c>
      <c r="U585" s="328"/>
      <c r="V585" s="328"/>
    </row>
    <row r="586" spans="1:22" ht="48" x14ac:dyDescent="0.25">
      <c r="A586" s="343"/>
      <c r="B586" s="343"/>
      <c r="C586" s="334"/>
      <c r="D586" s="331"/>
      <c r="E586" s="167" t="str">
        <f>Apreciación!A217</f>
        <v>Egresados</v>
      </c>
      <c r="F586" s="182" t="str">
        <f>Apreciación!E217</f>
        <v>Cuenta de 8.3. El programa académico al cual pertenecí me brindó las herramientas necesarias para OFRECER SOLUCIONES A LOS PROBLEMAS DE LA SOCIEDAD.</v>
      </c>
      <c r="G586" s="203">
        <f>Apreciación!F217</f>
        <v>1.282051282051282E-2</v>
      </c>
      <c r="H586" s="203">
        <f>Apreciación!G217</f>
        <v>1.282051282051282E-2</v>
      </c>
      <c r="I586" s="203">
        <f>Apreciación!H217</f>
        <v>0.20512820512820512</v>
      </c>
      <c r="J586" s="203">
        <f>Apreciación!I217</f>
        <v>0.46153846153846156</v>
      </c>
      <c r="K586" s="203">
        <f>Apreciación!J217</f>
        <v>0.30769230769230771</v>
      </c>
      <c r="L586" s="203">
        <f>Apreciación!K217</f>
        <v>0</v>
      </c>
      <c r="M586" s="153">
        <f t="shared" si="79"/>
        <v>4.2185897435897441</v>
      </c>
      <c r="N586" s="325"/>
      <c r="O586" s="325"/>
      <c r="P586" s="325"/>
      <c r="Q586" s="325"/>
      <c r="R586" s="17" t="str">
        <f>IF(((M586&gt;=$Z$4)*AND(M586&lt;=$AA$4)),$Y$4,IF(((M586&gt;$AA$4)*AND(M586&lt;=$AA$5)),$Y$5,IF(((M586&gt;$AA$5)*AND(M586&lt;=$AA$6)),$Y$6,IF(((M586&gt;$AA$6)*AND(M586&lt;=$AA$7)),$Y$7,IF(((M586&gt;$AA$7)*AND(M586&lt;=$AA$8)),$Y$8,IF(EXACT(M586,$Y$9),$Z$9))))))</f>
        <v>B</v>
      </c>
      <c r="S586" s="328"/>
      <c r="T586" s="328"/>
      <c r="U586" s="328"/>
      <c r="V586" s="328"/>
    </row>
    <row r="587" spans="1:22" ht="36" x14ac:dyDescent="0.25">
      <c r="A587" s="343"/>
      <c r="B587" s="343"/>
      <c r="C587" s="334"/>
      <c r="D587" s="331"/>
      <c r="E587" s="167" t="str">
        <f>Apreciación!A208</f>
        <v>Egresados</v>
      </c>
      <c r="F587" s="182" t="str">
        <f>Apreciación!E208</f>
        <v>Cuenta de 21. Considero que la apreciación de mi programa académico en el medio laboral en el que me desempeño es positiva.</v>
      </c>
      <c r="G587" s="203">
        <f>Apreciación!F31</f>
        <v>5.9880239520958084E-2</v>
      </c>
      <c r="H587" s="203">
        <f>Apreciación!G31</f>
        <v>0.10179640718562874</v>
      </c>
      <c r="I587" s="203">
        <f>Apreciación!H31</f>
        <v>0.22155688622754491</v>
      </c>
      <c r="J587" s="203">
        <f>Apreciación!I31</f>
        <v>0.23353293413173654</v>
      </c>
      <c r="K587" s="203">
        <f>Apreciación!J31</f>
        <v>0.1377245508982036</v>
      </c>
      <c r="L587" s="203">
        <f>Apreciación!K31</f>
        <v>0.24550898203592814</v>
      </c>
      <c r="M587" s="156">
        <f t="shared" si="79"/>
        <v>2.8568862275449103</v>
      </c>
      <c r="N587" s="326"/>
      <c r="O587" s="325"/>
      <c r="P587" s="325"/>
      <c r="Q587" s="325"/>
      <c r="R587" s="17" t="str">
        <f>IF(((M587&gt;=$Z$4)*AND(M587&lt;=$AA$4)),$Y$4,IF(((M587&gt;$AA$4)*AND(M587&lt;=$AA$5)),$Y$5,IF(((M587&gt;$AA$5)*AND(M587&lt;=$AA$6)),$Y$6,IF(((M587&gt;$AA$6)*AND(M587&lt;=$AA$7)),$Y$7,IF(((M587&gt;$AA$7)*AND(M587&lt;=$AA$8)),$Y$8,IF(EXACT(M587,$Y$9),$Z$9))))))</f>
        <v>D</v>
      </c>
      <c r="S587" s="329"/>
      <c r="T587" s="328"/>
      <c r="U587" s="328"/>
      <c r="V587" s="328"/>
    </row>
    <row r="588" spans="1:22" ht="36" x14ac:dyDescent="0.25">
      <c r="A588" s="343"/>
      <c r="B588" s="343"/>
      <c r="C588" s="335"/>
      <c r="D588" s="332"/>
      <c r="E588" s="11" t="str">
        <f>Apreciación!A258</f>
        <v>Empresarios</v>
      </c>
      <c r="F588" s="12" t="str">
        <f>Apreciación!E258</f>
        <v>Considero que el desempeño laboral de los egresados del programa académico es satisfactorio.</v>
      </c>
      <c r="G588" s="203">
        <f>Apreciación!F258</f>
        <v>0</v>
      </c>
      <c r="H588" s="203">
        <f>Apreciación!G258</f>
        <v>0.1111111111111111</v>
      </c>
      <c r="I588" s="203">
        <f>Apreciación!H258</f>
        <v>0</v>
      </c>
      <c r="J588" s="203">
        <f>Apreciación!I258</f>
        <v>0.44444444444444442</v>
      </c>
      <c r="K588" s="203">
        <f>Apreciación!J258</f>
        <v>0.44444444444444442</v>
      </c>
      <c r="L588" s="203">
        <f>Apreciación!K258</f>
        <v>0</v>
      </c>
      <c r="M588" s="96">
        <f t="shared" si="79"/>
        <v>4.3055555555555554</v>
      </c>
      <c r="N588" s="95">
        <f>AVERAGE(M588)</f>
        <v>4.3055555555555554</v>
      </c>
      <c r="O588" s="326"/>
      <c r="P588" s="325"/>
      <c r="Q588" s="325"/>
      <c r="R588" s="17" t="str">
        <f t="shared" si="75"/>
        <v>B</v>
      </c>
      <c r="S588" s="17" t="str">
        <f t="shared" si="78"/>
        <v>B</v>
      </c>
      <c r="T588" s="329"/>
      <c r="U588" s="328"/>
      <c r="V588" s="328"/>
    </row>
    <row r="589" spans="1:22" ht="24" customHeight="1" x14ac:dyDescent="0.25">
      <c r="A589" s="343"/>
      <c r="B589" s="343"/>
      <c r="C589" s="333" t="str">
        <f>Final!E231</f>
        <v>d</v>
      </c>
      <c r="D589" s="330" t="str">
        <f>Final!F231</f>
        <v>Apreciación de los egresados acerca de la forma como el proyecto curricular favorece el desarrollo del proyecto de vida.</v>
      </c>
      <c r="E589" s="167" t="str">
        <f>Apreciación!A218</f>
        <v>Egresados</v>
      </c>
      <c r="F589" s="182" t="str">
        <f>Apreciación!E218</f>
        <v>Cuenta de 8.4. El programa académico al cual pertenecí me brindó las herramientas necesarias para SER PARTE ACTIVA Y PARTICIPATIVA EN LA CULTURA CIUDADANA</v>
      </c>
      <c r="G589" s="203">
        <f>Apreciación!F218</f>
        <v>1.282051282051282E-2</v>
      </c>
      <c r="H589" s="203">
        <f>Apreciación!G218</f>
        <v>3.8461538461538464E-2</v>
      </c>
      <c r="I589" s="203">
        <f>Apreciación!H218</f>
        <v>0.14102564102564102</v>
      </c>
      <c r="J589" s="203">
        <f>Apreciación!I218</f>
        <v>0.55128205128205132</v>
      </c>
      <c r="K589" s="203">
        <f>Apreciación!J218</f>
        <v>0.25641025641025639</v>
      </c>
      <c r="L589" s="203">
        <f>Apreciación!K218</f>
        <v>0</v>
      </c>
      <c r="M589" s="18">
        <f t="shared" si="79"/>
        <v>4.190384615384616</v>
      </c>
      <c r="N589" s="324">
        <f>AVERAGE(M589:M591)</f>
        <v>3.723021904908133</v>
      </c>
      <c r="O589" s="324">
        <f>AVERAGE(N589)</f>
        <v>3.723021904908133</v>
      </c>
      <c r="P589" s="325"/>
      <c r="Q589" s="325"/>
      <c r="R589" s="17" t="str">
        <f t="shared" si="75"/>
        <v>B</v>
      </c>
      <c r="S589" s="327" t="str">
        <f t="shared" si="78"/>
        <v>C</v>
      </c>
      <c r="T589" s="327" t="str">
        <f>IF(((O589&gt;=$Z$4)*AND(O589&lt;=$AA$4)),$Y$4,IF(((O589&gt;$AA$4)*AND(O589&lt;=$AA$5)),$Y$5,IF(((O589&gt;$AA$5)*AND(O589&lt;=$AA$6)),$Y$6,IF(((O589&gt;$AA$6)*AND(O589&lt;=$AA$7)),$Y$7,IF(((O589&gt;$AA$7)*AND(O589&lt;=$AA$8)),$Y$8,IF(EXACT(O589,$Y$9),$Z$9))))))</f>
        <v>C</v>
      </c>
      <c r="U589" s="328"/>
      <c r="V589" s="328"/>
    </row>
    <row r="590" spans="1:22" ht="48" x14ac:dyDescent="0.25">
      <c r="A590" s="343"/>
      <c r="B590" s="343"/>
      <c r="C590" s="334"/>
      <c r="D590" s="331"/>
      <c r="E590" s="167" t="str">
        <f>Apreciación!A219</f>
        <v>Egresados</v>
      </c>
      <c r="F590" s="182" t="str">
        <f>Apreciación!E219</f>
        <v>Cuenta de 8.5. El programa académico al cual pertenecí me brindó las herramientas necesarias para PRODUCIR TEXTOS ARGUMENTANDO OPINIONES Y/O CONCEPTOS.</v>
      </c>
      <c r="G590" s="203">
        <f>Apreciación!F219</f>
        <v>2.564102564102564E-2</v>
      </c>
      <c r="H590" s="203">
        <f>Apreciación!G219</f>
        <v>3.8461538461538464E-2</v>
      </c>
      <c r="I590" s="203">
        <f>Apreciación!H219</f>
        <v>0.25641025641025639</v>
      </c>
      <c r="J590" s="203">
        <f>Apreciación!I219</f>
        <v>0.38461538461538464</v>
      </c>
      <c r="K590" s="203">
        <f>Apreciación!J219</f>
        <v>0.29487179487179488</v>
      </c>
      <c r="L590" s="203">
        <f>Apreciación!K219</f>
        <v>0</v>
      </c>
      <c r="M590" s="96">
        <f t="shared" si="79"/>
        <v>4.1217948717948723</v>
      </c>
      <c r="N590" s="325"/>
      <c r="O590" s="325"/>
      <c r="P590" s="325"/>
      <c r="Q590" s="325"/>
      <c r="R590" s="17" t="str">
        <f t="shared" si="75"/>
        <v>B</v>
      </c>
      <c r="S590" s="328"/>
      <c r="T590" s="328"/>
      <c r="U590" s="328"/>
      <c r="V590" s="328"/>
    </row>
    <row r="591" spans="1:22" ht="36" x14ac:dyDescent="0.25">
      <c r="A591" s="343"/>
      <c r="B591" s="343"/>
      <c r="C591" s="335"/>
      <c r="D591" s="332"/>
      <c r="E591" s="167" t="str">
        <f>Apreciación!A208</f>
        <v>Egresados</v>
      </c>
      <c r="F591" s="182" t="str">
        <f>Apreciación!E208</f>
        <v>Cuenta de 21. Considero que la apreciación de mi programa académico en el medio laboral en el que me desempeño es positiva.</v>
      </c>
      <c r="G591" s="203">
        <f>Apreciación!F31</f>
        <v>5.9880239520958084E-2</v>
      </c>
      <c r="H591" s="203">
        <f>Apreciación!G31</f>
        <v>0.10179640718562874</v>
      </c>
      <c r="I591" s="203">
        <f>Apreciación!H31</f>
        <v>0.22155688622754491</v>
      </c>
      <c r="J591" s="203">
        <f>Apreciación!I31</f>
        <v>0.23353293413173654</v>
      </c>
      <c r="K591" s="203">
        <f>Apreciación!J31</f>
        <v>0.1377245508982036</v>
      </c>
      <c r="L591" s="203">
        <f>Apreciación!K31</f>
        <v>0.24550898203592814</v>
      </c>
      <c r="M591" s="156">
        <f t="shared" si="79"/>
        <v>2.8568862275449103</v>
      </c>
      <c r="N591" s="326"/>
      <c r="O591" s="326"/>
      <c r="P591" s="325"/>
      <c r="Q591" s="325"/>
      <c r="R591" s="17" t="str">
        <f t="shared" si="75"/>
        <v>D</v>
      </c>
      <c r="S591" s="329"/>
      <c r="T591" s="329"/>
      <c r="U591" s="328"/>
      <c r="V591" s="328"/>
    </row>
    <row r="592" spans="1:22" ht="48" x14ac:dyDescent="0.25">
      <c r="A592" s="343"/>
      <c r="B592" s="343"/>
      <c r="C592" s="58" t="str">
        <f>Final!E232</f>
        <v>e</v>
      </c>
      <c r="D592" s="59" t="str">
        <f>Final!F232</f>
        <v>Utilización de la información contenida en el Observatorio Laboral para la Educación, como insumo para estudiar la pertinencia del proyecto curricular.</v>
      </c>
      <c r="E592" s="61" t="s">
        <v>64</v>
      </c>
      <c r="F592" s="61" t="s">
        <v>64</v>
      </c>
      <c r="G592" s="204" t="s">
        <v>64</v>
      </c>
      <c r="H592" s="204" t="s">
        <v>64</v>
      </c>
      <c r="I592" s="204" t="s">
        <v>64</v>
      </c>
      <c r="J592" s="204" t="s">
        <v>64</v>
      </c>
      <c r="K592" s="204" t="s">
        <v>64</v>
      </c>
      <c r="L592" s="204" t="s">
        <v>64</v>
      </c>
      <c r="M592" s="96" t="s">
        <v>64</v>
      </c>
      <c r="N592" s="96" t="s">
        <v>64</v>
      </c>
      <c r="O592" s="96" t="s">
        <v>64</v>
      </c>
      <c r="P592" s="325"/>
      <c r="Q592" s="325"/>
      <c r="R592" s="17" t="str">
        <f t="shared" si="75"/>
        <v>NA</v>
      </c>
      <c r="S592" s="17" t="str">
        <f t="shared" ref="S592:T599" si="80">IF(((N592&gt;=$Z$4)*AND(N592&lt;=$AA$4)),$Y$4,IF(((N592&gt;$AA$4)*AND(N592&lt;=$AA$5)),$Y$5,IF(((N592&gt;$AA$5)*AND(N592&lt;=$AA$6)),$Y$6,IF(((N592&gt;$AA$6)*AND(N592&lt;=$AA$7)),$Y$7,IF(((N592&gt;$AA$7)*AND(N592&lt;=$AA$8)),$Y$8,IF(EXACT(N592,$Y$9),$Z$9))))))</f>
        <v>NA</v>
      </c>
      <c r="T592" s="17" t="str">
        <f t="shared" si="80"/>
        <v>NA</v>
      </c>
      <c r="U592" s="328"/>
      <c r="V592" s="328"/>
    </row>
    <row r="593" spans="1:22" ht="24" x14ac:dyDescent="0.25">
      <c r="A593" s="343"/>
      <c r="B593" s="343"/>
      <c r="C593" s="58" t="str">
        <f>Final!E233</f>
        <v>f</v>
      </c>
      <c r="D593" s="59" t="str">
        <f>Final!F233</f>
        <v>Evidencia de los procesos de análisis de la situación de los egresados.</v>
      </c>
      <c r="E593" s="61" t="s">
        <v>64</v>
      </c>
      <c r="F593" s="61" t="s">
        <v>64</v>
      </c>
      <c r="G593" s="204" t="s">
        <v>64</v>
      </c>
      <c r="H593" s="204" t="s">
        <v>64</v>
      </c>
      <c r="I593" s="204" t="s">
        <v>64</v>
      </c>
      <c r="J593" s="204" t="s">
        <v>64</v>
      </c>
      <c r="K593" s="204" t="s">
        <v>64</v>
      </c>
      <c r="L593" s="204" t="s">
        <v>64</v>
      </c>
      <c r="M593" s="96" t="s">
        <v>64</v>
      </c>
      <c r="N593" s="96" t="s">
        <v>64</v>
      </c>
      <c r="O593" s="96" t="s">
        <v>64</v>
      </c>
      <c r="P593" s="325"/>
      <c r="Q593" s="325"/>
      <c r="R593" s="17" t="str">
        <f t="shared" si="75"/>
        <v>NA</v>
      </c>
      <c r="S593" s="17" t="str">
        <f t="shared" si="80"/>
        <v>NA</v>
      </c>
      <c r="T593" s="17" t="str">
        <f t="shared" si="80"/>
        <v>NA</v>
      </c>
      <c r="U593" s="328"/>
      <c r="V593" s="328"/>
    </row>
    <row r="594" spans="1:22" ht="48" x14ac:dyDescent="0.25">
      <c r="A594" s="343"/>
      <c r="B594" s="343"/>
      <c r="C594" s="58" t="str">
        <f>Final!E234</f>
        <v>g</v>
      </c>
      <c r="D594" s="59" t="str">
        <f>Final!F234</f>
        <v>Mecanismos y estrategias para efectuar ajustes al proyecto curricular en atención a las necesidades del entorno, evidenciados a través del seguimiento de los egresados.</v>
      </c>
      <c r="E594" s="61" t="s">
        <v>64</v>
      </c>
      <c r="F594" s="61" t="s">
        <v>64</v>
      </c>
      <c r="G594" s="204" t="s">
        <v>64</v>
      </c>
      <c r="H594" s="204" t="s">
        <v>64</v>
      </c>
      <c r="I594" s="204" t="s">
        <v>64</v>
      </c>
      <c r="J594" s="204" t="s">
        <v>64</v>
      </c>
      <c r="K594" s="204" t="s">
        <v>64</v>
      </c>
      <c r="L594" s="204" t="s">
        <v>64</v>
      </c>
      <c r="M594" s="96" t="s">
        <v>64</v>
      </c>
      <c r="N594" s="96" t="s">
        <v>64</v>
      </c>
      <c r="O594" s="96" t="s">
        <v>64</v>
      </c>
      <c r="P594" s="325"/>
      <c r="Q594" s="325"/>
      <c r="R594" s="17" t="str">
        <f t="shared" si="75"/>
        <v>NA</v>
      </c>
      <c r="S594" s="17" t="str">
        <f t="shared" si="80"/>
        <v>NA</v>
      </c>
      <c r="T594" s="17" t="str">
        <f t="shared" si="80"/>
        <v>NA</v>
      </c>
      <c r="U594" s="328"/>
      <c r="V594" s="328"/>
    </row>
    <row r="595" spans="1:22" ht="24" x14ac:dyDescent="0.25">
      <c r="A595" s="343"/>
      <c r="B595" s="344"/>
      <c r="C595" s="58" t="str">
        <f>Final!E235</f>
        <v>h</v>
      </c>
      <c r="D595" s="59" t="str">
        <f>Final!F235</f>
        <v>Estrategias que faciliten el paso del estudiante al mundo laboral.</v>
      </c>
      <c r="E595" s="61" t="s">
        <v>64</v>
      </c>
      <c r="F595" s="61" t="s">
        <v>64</v>
      </c>
      <c r="G595" s="204" t="s">
        <v>64</v>
      </c>
      <c r="H595" s="204" t="s">
        <v>64</v>
      </c>
      <c r="I595" s="204" t="s">
        <v>64</v>
      </c>
      <c r="J595" s="204" t="s">
        <v>64</v>
      </c>
      <c r="K595" s="204" t="s">
        <v>64</v>
      </c>
      <c r="L595" s="204" t="s">
        <v>64</v>
      </c>
      <c r="M595" s="146" t="s">
        <v>64</v>
      </c>
      <c r="N595" s="146" t="s">
        <v>64</v>
      </c>
      <c r="O595" s="146" t="s">
        <v>64</v>
      </c>
      <c r="P595" s="326"/>
      <c r="Q595" s="325"/>
      <c r="R595" s="17" t="str">
        <f t="shared" si="75"/>
        <v>NA</v>
      </c>
      <c r="S595" s="17" t="str">
        <f t="shared" si="80"/>
        <v>NA</v>
      </c>
      <c r="T595" s="17" t="str">
        <f t="shared" si="80"/>
        <v>NA</v>
      </c>
      <c r="U595" s="329"/>
      <c r="V595" s="328"/>
    </row>
    <row r="596" spans="1:22" ht="24" x14ac:dyDescent="0.25">
      <c r="A596" s="343"/>
      <c r="B596" s="342">
        <v>37</v>
      </c>
      <c r="C596" s="58" t="str">
        <f>Final!E236</f>
        <v>a</v>
      </c>
      <c r="D596" s="59" t="str">
        <f>Final!F236</f>
        <v>Índice de empleo entre los egresados del proyecto curricular.</v>
      </c>
      <c r="E596" s="61" t="s">
        <v>64</v>
      </c>
      <c r="F596" s="61" t="s">
        <v>64</v>
      </c>
      <c r="G596" s="204" t="s">
        <v>64</v>
      </c>
      <c r="H596" s="204" t="s">
        <v>64</v>
      </c>
      <c r="I596" s="204" t="s">
        <v>64</v>
      </c>
      <c r="J596" s="204" t="s">
        <v>64</v>
      </c>
      <c r="K596" s="204" t="s">
        <v>64</v>
      </c>
      <c r="L596" s="204" t="s">
        <v>64</v>
      </c>
      <c r="M596" s="96" t="s">
        <v>64</v>
      </c>
      <c r="N596" s="96" t="s">
        <v>64</v>
      </c>
      <c r="O596" s="96" t="s">
        <v>64</v>
      </c>
      <c r="P596" s="324">
        <f>AVERAGE(O596:O612)</f>
        <v>4.1496031746031745</v>
      </c>
      <c r="Q596" s="325"/>
      <c r="R596" s="17" t="str">
        <f t="shared" si="75"/>
        <v>NA</v>
      </c>
      <c r="S596" s="17" t="str">
        <f t="shared" si="80"/>
        <v>NA</v>
      </c>
      <c r="T596" s="17" t="str">
        <f t="shared" si="80"/>
        <v>NA</v>
      </c>
      <c r="U596" s="327" t="str">
        <f>IF(((P596&gt;=$Z$4)*AND(P596&lt;=$AA$4)),$Y$4,IF(((P596&gt;$AA$4)*AND(P596&lt;=$AA$5)),$Y$5,IF(((P596&gt;$AA$5)*AND(P596&lt;=$AA$6)),$Y$6,IF(((P596&gt;$AA$6)*AND(P596&lt;=$AA$7)),$Y$7,IF(((P596&gt;$AA$7)*AND(P596&lt;=$AA$8)),$Y$8,IF(EXACT(P596,$Y$9),$Z$9))))))</f>
        <v>B</v>
      </c>
      <c r="V596" s="328"/>
    </row>
    <row r="597" spans="1:22" ht="72" x14ac:dyDescent="0.25">
      <c r="A597" s="343"/>
      <c r="B597" s="343"/>
      <c r="C597" s="58" t="str">
        <f>Final!E237</f>
        <v>b</v>
      </c>
      <c r="D597" s="59" t="str">
        <f>Final!F237</f>
        <v>Egresados del proyecto curricular que forman parte de comunidades académicas reconocidas, de asociaciones científicas, profesionales, tecnológicas, técnicas o artísticas, y del sector productivo y financiero, en el ámbito nacional o internacional.</v>
      </c>
      <c r="E597" s="61" t="s">
        <v>64</v>
      </c>
      <c r="F597" s="61" t="s">
        <v>64</v>
      </c>
      <c r="G597" s="204" t="s">
        <v>64</v>
      </c>
      <c r="H597" s="204" t="s">
        <v>64</v>
      </c>
      <c r="I597" s="204" t="s">
        <v>64</v>
      </c>
      <c r="J597" s="204" t="s">
        <v>64</v>
      </c>
      <c r="K597" s="204" t="s">
        <v>64</v>
      </c>
      <c r="L597" s="204" t="s">
        <v>64</v>
      </c>
      <c r="M597" s="146" t="s">
        <v>64</v>
      </c>
      <c r="N597" s="146" t="s">
        <v>64</v>
      </c>
      <c r="O597" s="146" t="s">
        <v>64</v>
      </c>
      <c r="P597" s="325"/>
      <c r="Q597" s="325"/>
      <c r="R597" s="17" t="str">
        <f t="shared" si="75"/>
        <v>NA</v>
      </c>
      <c r="S597" s="17" t="str">
        <f t="shared" si="80"/>
        <v>NA</v>
      </c>
      <c r="T597" s="17" t="str">
        <f t="shared" si="80"/>
        <v>NA</v>
      </c>
      <c r="U597" s="328"/>
      <c r="V597" s="328"/>
    </row>
    <row r="598" spans="1:22" ht="48" x14ac:dyDescent="0.25">
      <c r="A598" s="343"/>
      <c r="B598" s="343"/>
      <c r="C598" s="58" t="str">
        <f>Final!E238</f>
        <v>c</v>
      </c>
      <c r="D598" s="59" t="str">
        <f>Final!F238</f>
        <v>Egresados del proyecto curricular que han recibido distinciones y reconocimientos significativos por su desempeño en la disciplina, profesión, ocupación u oficio correspondiente.</v>
      </c>
      <c r="E598" s="61" t="s">
        <v>64</v>
      </c>
      <c r="F598" s="61" t="s">
        <v>64</v>
      </c>
      <c r="G598" s="204" t="s">
        <v>64</v>
      </c>
      <c r="H598" s="204" t="s">
        <v>64</v>
      </c>
      <c r="I598" s="204" t="s">
        <v>64</v>
      </c>
      <c r="J598" s="204" t="s">
        <v>64</v>
      </c>
      <c r="K598" s="204" t="s">
        <v>64</v>
      </c>
      <c r="L598" s="204" t="s">
        <v>64</v>
      </c>
      <c r="M598" s="96" t="s">
        <v>64</v>
      </c>
      <c r="N598" s="96" t="s">
        <v>64</v>
      </c>
      <c r="O598" s="96" t="s">
        <v>64</v>
      </c>
      <c r="P598" s="325"/>
      <c r="Q598" s="325"/>
      <c r="R598" s="17" t="str">
        <f t="shared" si="75"/>
        <v>NA</v>
      </c>
      <c r="S598" s="17" t="str">
        <f t="shared" si="80"/>
        <v>NA</v>
      </c>
      <c r="T598" s="17" t="str">
        <f t="shared" si="80"/>
        <v>NA</v>
      </c>
      <c r="U598" s="328"/>
      <c r="V598" s="328"/>
    </row>
    <row r="599" spans="1:22" ht="36" x14ac:dyDescent="0.25">
      <c r="A599" s="343"/>
      <c r="B599" s="343"/>
      <c r="C599" s="333" t="str">
        <f>Final!E239</f>
        <v>d</v>
      </c>
      <c r="D599" s="330" t="str">
        <f>Final!F239</f>
        <v>Apreciación de empleadores sobre la calidad de la formación y el desempeño de los egresados del proyecto curricular.</v>
      </c>
      <c r="E599" s="11" t="str">
        <f>Apreciación!A259</f>
        <v>Empresarios</v>
      </c>
      <c r="F599" s="12" t="str">
        <f>Apreciación!E259</f>
        <v>Considero que el egresado del programa académico poseen aptitudes para: Resolver problemas propios de su trabajo</v>
      </c>
      <c r="G599" s="203">
        <f>Apreciación!F259</f>
        <v>0</v>
      </c>
      <c r="H599" s="203">
        <f>Apreciación!G259</f>
        <v>0.1111111111111111</v>
      </c>
      <c r="I599" s="203">
        <f>Apreciación!H259</f>
        <v>0.1111111111111111</v>
      </c>
      <c r="J599" s="203">
        <f>Apreciación!I259</f>
        <v>0.66666666666666663</v>
      </c>
      <c r="K599" s="203">
        <f>Apreciación!J259</f>
        <v>0.1111111111111111</v>
      </c>
      <c r="L599" s="203">
        <f>Apreciación!K259</f>
        <v>0</v>
      </c>
      <c r="M599" s="18">
        <f>(G599*$G$2)+(H599*$H$2)+(I599*$I$2)+(J599*$J$2)+(K599*$K$2)+(L599*$L$2)</f>
        <v>4.0666666666666664</v>
      </c>
      <c r="N599" s="324">
        <f>AVERAGE(M599:M612)</f>
        <v>4.1496031746031745</v>
      </c>
      <c r="O599" s="324">
        <f>AVERAGE(N599)</f>
        <v>4.1496031746031745</v>
      </c>
      <c r="P599" s="325"/>
      <c r="Q599" s="325"/>
      <c r="R599" s="17" t="str">
        <f t="shared" si="75"/>
        <v>B</v>
      </c>
      <c r="S599" s="327" t="str">
        <f t="shared" si="80"/>
        <v>B</v>
      </c>
      <c r="T599" s="327" t="str">
        <f t="shared" si="80"/>
        <v>B</v>
      </c>
      <c r="U599" s="328"/>
      <c r="V599" s="328"/>
    </row>
    <row r="600" spans="1:22" ht="36" x14ac:dyDescent="0.25">
      <c r="A600" s="343"/>
      <c r="B600" s="343"/>
      <c r="C600" s="334"/>
      <c r="D600" s="331"/>
      <c r="E600" s="11" t="str">
        <f>Apreciación!A260</f>
        <v>Empresarios</v>
      </c>
      <c r="F600" s="12" t="str">
        <f>Apreciación!E260</f>
        <v xml:space="preserve">Considero que el egresado del programa académico poseen aptitudes para: Trabajar en equipo </v>
      </c>
      <c r="G600" s="203">
        <f>Apreciación!F260</f>
        <v>0</v>
      </c>
      <c r="H600" s="203">
        <f>Apreciación!G260</f>
        <v>0.1111111111111111</v>
      </c>
      <c r="I600" s="203">
        <f>Apreciación!H260</f>
        <v>0.33333333333333331</v>
      </c>
      <c r="J600" s="203">
        <f>Apreciación!I260</f>
        <v>0.44444444444444442</v>
      </c>
      <c r="K600" s="203">
        <f>Apreciación!J260</f>
        <v>0.1111111111111111</v>
      </c>
      <c r="L600" s="203">
        <f>Apreciación!K260</f>
        <v>0</v>
      </c>
      <c r="M600" s="96">
        <f t="shared" ref="M600:M612" si="81">(G600*$G$2)+(H600*$H$2)+(I600*$I$2)+(J600*$J$2)+(K600*$K$2)+(L600*$L$2)</f>
        <v>3.9555555555555557</v>
      </c>
      <c r="N600" s="325"/>
      <c r="O600" s="325"/>
      <c r="P600" s="325"/>
      <c r="Q600" s="325"/>
      <c r="R600" s="17" t="str">
        <f t="shared" ref="R600:R612" si="82">IF(((M600&gt;=$Z$4)*AND(M600&lt;=$AA$4)),$Y$4,IF(((M600&gt;$AA$4)*AND(M600&lt;=$AA$5)),$Y$5,IF(((M600&gt;$AA$5)*AND(M600&lt;=$AA$6)),$Y$6,IF(((M600&gt;$AA$6)*AND(M600&lt;=$AA$7)),$Y$7,IF(((M600&gt;$AA$7)*AND(M600&lt;=$AA$8)),$Y$8,IF(EXACT(M600,$Y$9),$Z$9))))))</f>
        <v>C</v>
      </c>
      <c r="S600" s="328"/>
      <c r="T600" s="328"/>
      <c r="U600" s="328"/>
      <c r="V600" s="328"/>
    </row>
    <row r="601" spans="1:22" ht="36" x14ac:dyDescent="0.25">
      <c r="A601" s="343"/>
      <c r="B601" s="343"/>
      <c r="C601" s="334"/>
      <c r="D601" s="331"/>
      <c r="E601" s="11" t="str">
        <f>Apreciación!A261</f>
        <v>Empresarios</v>
      </c>
      <c r="F601" s="12" t="str">
        <f>Apreciación!E261</f>
        <v>Considero que el egresado del programa académico poseen aptitudes para: Tomar la iniciativa</v>
      </c>
      <c r="G601" s="203">
        <f>Apreciación!F261</f>
        <v>0</v>
      </c>
      <c r="H601" s="203">
        <f>Apreciación!G261</f>
        <v>0</v>
      </c>
      <c r="I601" s="203">
        <f>Apreciación!H261</f>
        <v>0.22222222222222221</v>
      </c>
      <c r="J601" s="203">
        <f>Apreciación!I261</f>
        <v>0.66666666666666663</v>
      </c>
      <c r="K601" s="203">
        <f>Apreciación!J261</f>
        <v>0.1111111111111111</v>
      </c>
      <c r="L601" s="203">
        <f>Apreciación!K261</f>
        <v>0</v>
      </c>
      <c r="M601" s="96">
        <f t="shared" si="81"/>
        <v>4.1499999999999995</v>
      </c>
      <c r="N601" s="325"/>
      <c r="O601" s="325"/>
      <c r="P601" s="325"/>
      <c r="Q601" s="325"/>
      <c r="R601" s="17" t="str">
        <f t="shared" si="82"/>
        <v>B</v>
      </c>
      <c r="S601" s="328"/>
      <c r="T601" s="328"/>
      <c r="U601" s="328"/>
      <c r="V601" s="328"/>
    </row>
    <row r="602" spans="1:22" ht="24" x14ac:dyDescent="0.25">
      <c r="A602" s="343"/>
      <c r="B602" s="343"/>
      <c r="C602" s="334"/>
      <c r="D602" s="331"/>
      <c r="E602" s="11" t="str">
        <f>Apreciación!A262</f>
        <v>Empresarios</v>
      </c>
      <c r="F602" s="12" t="str">
        <f>Apreciación!E262</f>
        <v>Considero que el egresado del programa académico poseen aptitudes para: Ser Líder</v>
      </c>
      <c r="G602" s="203">
        <f>Apreciación!F262</f>
        <v>0</v>
      </c>
      <c r="H602" s="203">
        <f>Apreciación!G262</f>
        <v>0</v>
      </c>
      <c r="I602" s="203">
        <f>Apreciación!H262</f>
        <v>0.66666666666666663</v>
      </c>
      <c r="J602" s="203">
        <f>Apreciación!I262</f>
        <v>0.22222222222222221</v>
      </c>
      <c r="K602" s="203">
        <f>Apreciación!J262</f>
        <v>0.1111111111111111</v>
      </c>
      <c r="L602" s="203">
        <f>Apreciación!K262</f>
        <v>0</v>
      </c>
      <c r="M602" s="96">
        <f t="shared" si="81"/>
        <v>3.927777777777778</v>
      </c>
      <c r="N602" s="325"/>
      <c r="O602" s="325"/>
      <c r="P602" s="325"/>
      <c r="Q602" s="325"/>
      <c r="R602" s="17" t="str">
        <f t="shared" si="82"/>
        <v>C</v>
      </c>
      <c r="S602" s="328"/>
      <c r="T602" s="328"/>
      <c r="U602" s="328"/>
      <c r="V602" s="328"/>
    </row>
    <row r="603" spans="1:22" ht="36" x14ac:dyDescent="0.25">
      <c r="A603" s="343"/>
      <c r="B603" s="343"/>
      <c r="C603" s="334"/>
      <c r="D603" s="331"/>
      <c r="E603" s="11" t="str">
        <f>Apreciación!A263</f>
        <v>Empresarios</v>
      </c>
      <c r="F603" s="12" t="str">
        <f>Apreciación!E263</f>
        <v>Considero que el egresado del programa académico poseen aptitudes para: Establecer relaciones personales adecuadas</v>
      </c>
      <c r="G603" s="203">
        <f>Apreciación!F263</f>
        <v>0</v>
      </c>
      <c r="H603" s="203">
        <f>Apreciación!G263</f>
        <v>0</v>
      </c>
      <c r="I603" s="203">
        <f>Apreciación!H263</f>
        <v>0.1111111111111111</v>
      </c>
      <c r="J603" s="203">
        <f>Apreciación!I263</f>
        <v>0.55555555555555558</v>
      </c>
      <c r="K603" s="203">
        <f>Apreciación!J263</f>
        <v>0.33333333333333331</v>
      </c>
      <c r="L603" s="203">
        <f>Apreciación!K263</f>
        <v>0</v>
      </c>
      <c r="M603" s="96">
        <f t="shared" si="81"/>
        <v>4.3277777777777775</v>
      </c>
      <c r="N603" s="325"/>
      <c r="O603" s="325"/>
      <c r="P603" s="325"/>
      <c r="Q603" s="325"/>
      <c r="R603" s="17" t="str">
        <f t="shared" si="82"/>
        <v>B</v>
      </c>
      <c r="S603" s="328"/>
      <c r="T603" s="328"/>
      <c r="U603" s="328"/>
      <c r="V603" s="328"/>
    </row>
    <row r="604" spans="1:22" ht="36" x14ac:dyDescent="0.25">
      <c r="A604" s="343"/>
      <c r="B604" s="343"/>
      <c r="C604" s="334"/>
      <c r="D604" s="331"/>
      <c r="E604" s="11" t="str">
        <f>Apreciación!A264</f>
        <v>Empresarios</v>
      </c>
      <c r="F604" s="12" t="str">
        <f>Apreciación!E264</f>
        <v>Considero que los egresados del programa académico poseen una adecuada formación: Práctica</v>
      </c>
      <c r="G604" s="203">
        <f>Apreciación!F264</f>
        <v>0</v>
      </c>
      <c r="H604" s="203">
        <f>Apreciación!G264</f>
        <v>0</v>
      </c>
      <c r="I604" s="203">
        <f>Apreciación!H264</f>
        <v>0.33333333333333331</v>
      </c>
      <c r="J604" s="203">
        <f>Apreciación!I264</f>
        <v>0.33333333333333331</v>
      </c>
      <c r="K604" s="203">
        <f>Apreciación!J264</f>
        <v>0.33333333333333331</v>
      </c>
      <c r="L604" s="203">
        <f>Apreciación!K264</f>
        <v>0</v>
      </c>
      <c r="M604" s="96">
        <f t="shared" si="81"/>
        <v>4.2166666666666668</v>
      </c>
      <c r="N604" s="325"/>
      <c r="O604" s="325"/>
      <c r="P604" s="325"/>
      <c r="Q604" s="325"/>
      <c r="R604" s="17" t="str">
        <f t="shared" si="82"/>
        <v>B</v>
      </c>
      <c r="S604" s="328"/>
      <c r="T604" s="328"/>
      <c r="U604" s="328"/>
      <c r="V604" s="328"/>
    </row>
    <row r="605" spans="1:22" ht="36" x14ac:dyDescent="0.25">
      <c r="A605" s="343"/>
      <c r="B605" s="343"/>
      <c r="C605" s="334"/>
      <c r="D605" s="331"/>
      <c r="E605" s="11" t="str">
        <f>Apreciación!A265</f>
        <v>Empresarios</v>
      </c>
      <c r="F605" s="12" t="str">
        <f>Apreciación!E265</f>
        <v>Considero que los egresados del programa académico poseen una adecuada formación: Teórica</v>
      </c>
      <c r="G605" s="203">
        <f>Apreciación!F265</f>
        <v>0</v>
      </c>
      <c r="H605" s="203">
        <f>Apreciación!G265</f>
        <v>0</v>
      </c>
      <c r="I605" s="203">
        <f>Apreciación!H265</f>
        <v>0.22222222222222221</v>
      </c>
      <c r="J605" s="203">
        <f>Apreciación!I265</f>
        <v>0.22222222222222221</v>
      </c>
      <c r="K605" s="203">
        <f>Apreciación!J265</f>
        <v>0.55555555555555558</v>
      </c>
      <c r="L605" s="203">
        <f>Apreciación!K265</f>
        <v>0</v>
      </c>
      <c r="M605" s="96">
        <f t="shared" si="81"/>
        <v>4.3944444444444439</v>
      </c>
      <c r="N605" s="325"/>
      <c r="O605" s="325"/>
      <c r="P605" s="325"/>
      <c r="Q605" s="325"/>
      <c r="R605" s="17" t="str">
        <f t="shared" si="82"/>
        <v>B</v>
      </c>
      <c r="S605" s="328"/>
      <c r="T605" s="328"/>
      <c r="U605" s="328"/>
      <c r="V605" s="328"/>
    </row>
    <row r="606" spans="1:22" ht="36" x14ac:dyDescent="0.25">
      <c r="A606" s="343"/>
      <c r="B606" s="343"/>
      <c r="C606" s="334"/>
      <c r="D606" s="331"/>
      <c r="E606" s="11" t="str">
        <f>Apreciación!A266</f>
        <v>Empresarios</v>
      </c>
      <c r="F606" s="12" t="str">
        <f>Apreciación!E266</f>
        <v>Considero que los egresados del programa académico se desempeñan activamente en el campo: Profesional-Administrativo</v>
      </c>
      <c r="G606" s="203">
        <f>Apreciación!F266</f>
        <v>0</v>
      </c>
      <c r="H606" s="203">
        <f>Apreciación!G266</f>
        <v>0.1111111111111111</v>
      </c>
      <c r="I606" s="203">
        <f>Apreciación!H266</f>
        <v>0.44444444444444442</v>
      </c>
      <c r="J606" s="203">
        <f>Apreciación!I266</f>
        <v>0.33333333333333331</v>
      </c>
      <c r="K606" s="203">
        <f>Apreciación!J266</f>
        <v>0.1111111111111111</v>
      </c>
      <c r="L606" s="203">
        <f>Apreciación!K266</f>
        <v>0</v>
      </c>
      <c r="M606" s="96">
        <f t="shared" si="81"/>
        <v>3.8999999999999995</v>
      </c>
      <c r="N606" s="325"/>
      <c r="O606" s="325"/>
      <c r="P606" s="325"/>
      <c r="Q606" s="325"/>
      <c r="R606" s="17" t="str">
        <f t="shared" si="82"/>
        <v>C</v>
      </c>
      <c r="S606" s="328"/>
      <c r="T606" s="328"/>
      <c r="U606" s="328"/>
      <c r="V606" s="328"/>
    </row>
    <row r="607" spans="1:22" ht="36" x14ac:dyDescent="0.25">
      <c r="A607" s="343"/>
      <c r="B607" s="343"/>
      <c r="C607" s="334"/>
      <c r="D607" s="331"/>
      <c r="E607" s="11" t="str">
        <f>Apreciación!A267</f>
        <v>Empresarios</v>
      </c>
      <c r="F607" s="12" t="str">
        <f>Apreciación!E267</f>
        <v>Considero que los egresados del programa académico se desempeñan activamente en el campo: Profesional-Operativo</v>
      </c>
      <c r="G607" s="203">
        <f>Apreciación!F267</f>
        <v>0</v>
      </c>
      <c r="H607" s="203">
        <f>Apreciación!G267</f>
        <v>0</v>
      </c>
      <c r="I607" s="203">
        <f>Apreciación!H267</f>
        <v>0.1111111111111111</v>
      </c>
      <c r="J607" s="203">
        <f>Apreciación!I267</f>
        <v>0.55555555555555558</v>
      </c>
      <c r="K607" s="203">
        <f>Apreciación!J267</f>
        <v>0.33333333333333331</v>
      </c>
      <c r="L607" s="203">
        <f>Apreciación!K267</f>
        <v>0</v>
      </c>
      <c r="M607" s="96">
        <f t="shared" si="81"/>
        <v>4.3277777777777775</v>
      </c>
      <c r="N607" s="325"/>
      <c r="O607" s="325"/>
      <c r="P607" s="325"/>
      <c r="Q607" s="325"/>
      <c r="R607" s="17" t="str">
        <f t="shared" si="82"/>
        <v>B</v>
      </c>
      <c r="S607" s="328"/>
      <c r="T607" s="328"/>
      <c r="U607" s="328"/>
      <c r="V607" s="328"/>
    </row>
    <row r="608" spans="1:22" ht="36" x14ac:dyDescent="0.25">
      <c r="A608" s="343"/>
      <c r="B608" s="343"/>
      <c r="C608" s="334"/>
      <c r="D608" s="331"/>
      <c r="E608" s="11" t="str">
        <f>Apreciación!A268</f>
        <v>Empresarios</v>
      </c>
      <c r="F608" s="12" t="str">
        <f>Apreciación!E268</f>
        <v>Considero que los egresados del programa académico se destacan sobre los egresados de otras instituciones: Resolver problemas</v>
      </c>
      <c r="G608" s="203">
        <f>Apreciación!F268</f>
        <v>0</v>
      </c>
      <c r="H608" s="203">
        <f>Apreciación!G268</f>
        <v>0</v>
      </c>
      <c r="I608" s="203">
        <f>Apreciación!H268</f>
        <v>0.22222222222222221</v>
      </c>
      <c r="J608" s="203">
        <f>Apreciación!I268</f>
        <v>0.55555555555555558</v>
      </c>
      <c r="K608" s="203">
        <f>Apreciación!J268</f>
        <v>0.22222222222222221</v>
      </c>
      <c r="L608" s="203">
        <f>Apreciación!K268</f>
        <v>0</v>
      </c>
      <c r="M608" s="96">
        <f t="shared" si="81"/>
        <v>4.2111111111111112</v>
      </c>
      <c r="N608" s="325"/>
      <c r="O608" s="325"/>
      <c r="P608" s="325"/>
      <c r="Q608" s="325"/>
      <c r="R608" s="17" t="str">
        <f t="shared" si="82"/>
        <v>B</v>
      </c>
      <c r="S608" s="328"/>
      <c r="T608" s="328"/>
      <c r="U608" s="328"/>
      <c r="V608" s="328"/>
    </row>
    <row r="609" spans="1:22" ht="36" x14ac:dyDescent="0.25">
      <c r="A609" s="343"/>
      <c r="B609" s="343"/>
      <c r="C609" s="334"/>
      <c r="D609" s="331"/>
      <c r="E609" s="11" t="str">
        <f>Apreciación!A269</f>
        <v>Empresarios</v>
      </c>
      <c r="F609" s="12" t="str">
        <f>Apreciación!E269</f>
        <v xml:space="preserve">Considero que los egresados del programa académico se destacan sobre los egresados de otras instituciones: Trabajar en equipo </v>
      </c>
      <c r="G609" s="203">
        <f>Apreciación!F269</f>
        <v>0</v>
      </c>
      <c r="H609" s="203">
        <f>Apreciación!G269</f>
        <v>0</v>
      </c>
      <c r="I609" s="203">
        <f>Apreciación!H269</f>
        <v>0.22222222222222221</v>
      </c>
      <c r="J609" s="203">
        <f>Apreciación!I269</f>
        <v>0.77777777777777779</v>
      </c>
      <c r="K609" s="203">
        <f>Apreciación!J269</f>
        <v>0</v>
      </c>
      <c r="L609" s="203">
        <f>Apreciación!K269</f>
        <v>0</v>
      </c>
      <c r="M609" s="96">
        <f t="shared" si="81"/>
        <v>4.0888888888888895</v>
      </c>
      <c r="N609" s="325"/>
      <c r="O609" s="325"/>
      <c r="P609" s="325"/>
      <c r="Q609" s="325"/>
      <c r="R609" s="17" t="str">
        <f t="shared" si="82"/>
        <v>B</v>
      </c>
      <c r="S609" s="328"/>
      <c r="T609" s="328"/>
      <c r="U609" s="328"/>
      <c r="V609" s="328"/>
    </row>
    <row r="610" spans="1:22" ht="36" x14ac:dyDescent="0.25">
      <c r="A610" s="343"/>
      <c r="B610" s="343"/>
      <c r="C610" s="334"/>
      <c r="D610" s="331"/>
      <c r="E610" s="11" t="str">
        <f>Apreciación!A270</f>
        <v>Empresarios</v>
      </c>
      <c r="F610" s="12" t="str">
        <f>Apreciación!E270</f>
        <v>Considero que los egresados del programa académico se destacan sobre los egresados de otras instituciones: Tomar la iniciativa</v>
      </c>
      <c r="G610" s="203">
        <f>Apreciación!F270</f>
        <v>0</v>
      </c>
      <c r="H610" s="203">
        <f>Apreciación!G270</f>
        <v>0</v>
      </c>
      <c r="I610" s="203">
        <f>Apreciación!H270</f>
        <v>0.44444444444444442</v>
      </c>
      <c r="J610" s="203">
        <f>Apreciación!I270</f>
        <v>0.33333333333333331</v>
      </c>
      <c r="K610" s="203">
        <f>Apreciación!J270</f>
        <v>0.22222222222222221</v>
      </c>
      <c r="L610" s="203">
        <f>Apreciación!K270</f>
        <v>0</v>
      </c>
      <c r="M610" s="96">
        <f t="shared" si="81"/>
        <v>4.0999999999999996</v>
      </c>
      <c r="N610" s="325"/>
      <c r="O610" s="325"/>
      <c r="P610" s="325"/>
      <c r="Q610" s="325"/>
      <c r="R610" s="17" t="str">
        <f t="shared" si="82"/>
        <v>B</v>
      </c>
      <c r="S610" s="328"/>
      <c r="T610" s="328"/>
      <c r="U610" s="328"/>
      <c r="V610" s="328"/>
    </row>
    <row r="611" spans="1:22" ht="36" x14ac:dyDescent="0.25">
      <c r="A611" s="343"/>
      <c r="B611" s="343"/>
      <c r="C611" s="334"/>
      <c r="D611" s="331"/>
      <c r="E611" s="11" t="str">
        <f>Apreciación!A271</f>
        <v>Empresarios</v>
      </c>
      <c r="F611" s="12" t="str">
        <f>Apreciación!E271</f>
        <v>Considero que los egresados del programa académico se destacan sobre los egresados de otras instituciones: Ser Líder</v>
      </c>
      <c r="G611" s="203">
        <f>Apreciación!F271</f>
        <v>0</v>
      </c>
      <c r="H611" s="203">
        <f>Apreciación!G271</f>
        <v>0</v>
      </c>
      <c r="I611" s="203">
        <f>Apreciación!H271</f>
        <v>0.55555555555555558</v>
      </c>
      <c r="J611" s="203">
        <f>Apreciación!I271</f>
        <v>0.33333333333333331</v>
      </c>
      <c r="K611" s="203">
        <f>Apreciación!J271</f>
        <v>0.1111111111111111</v>
      </c>
      <c r="L611" s="203">
        <f>Apreciación!K271</f>
        <v>0</v>
      </c>
      <c r="M611" s="96">
        <f t="shared" si="81"/>
        <v>3.9833333333333334</v>
      </c>
      <c r="N611" s="325"/>
      <c r="O611" s="325"/>
      <c r="P611" s="325"/>
      <c r="Q611" s="325"/>
      <c r="R611" s="17" t="str">
        <f t="shared" si="82"/>
        <v>C</v>
      </c>
      <c r="S611" s="328"/>
      <c r="T611" s="328"/>
      <c r="U611" s="328"/>
      <c r="V611" s="328"/>
    </row>
    <row r="612" spans="1:22" ht="48" x14ac:dyDescent="0.25">
      <c r="A612" s="344"/>
      <c r="B612" s="344"/>
      <c r="C612" s="335"/>
      <c r="D612" s="332"/>
      <c r="E612" s="11" t="str">
        <f>Apreciación!A272</f>
        <v>Empresarios</v>
      </c>
      <c r="F612" s="12" t="str">
        <f>Apreciación!E272</f>
        <v>Considero que los egresados del programa académico se destacan sobre los egresados de otras instituciones: Establecer relaciones personales adecuadas</v>
      </c>
      <c r="G612" s="203">
        <f>Apreciación!F272</f>
        <v>0</v>
      </c>
      <c r="H612" s="203">
        <f>Apreciación!G272</f>
        <v>0</v>
      </c>
      <c r="I612" s="203">
        <f>Apreciación!H272</f>
        <v>0</v>
      </c>
      <c r="J612" s="203">
        <f>Apreciación!I272</f>
        <v>0.55555555555555558</v>
      </c>
      <c r="K612" s="203">
        <f>Apreciación!J272</f>
        <v>0.44444444444444442</v>
      </c>
      <c r="L612" s="203">
        <f>Apreciación!K272</f>
        <v>0</v>
      </c>
      <c r="M612" s="96">
        <f t="shared" si="81"/>
        <v>4.4444444444444446</v>
      </c>
      <c r="N612" s="326"/>
      <c r="O612" s="326"/>
      <c r="P612" s="326"/>
      <c r="Q612" s="326"/>
      <c r="R612" s="17" t="str">
        <f t="shared" si="82"/>
        <v>B</v>
      </c>
      <c r="S612" s="329"/>
      <c r="T612" s="329"/>
      <c r="U612" s="329"/>
      <c r="V612" s="329"/>
    </row>
    <row r="613" spans="1:22" ht="60" x14ac:dyDescent="0.25">
      <c r="A613" s="342">
        <v>10</v>
      </c>
      <c r="B613" s="342">
        <v>38</v>
      </c>
      <c r="C613" s="58" t="str">
        <f>Final!E240</f>
        <v>a</v>
      </c>
      <c r="D613" s="59" t="str">
        <f>Final!F240</f>
        <v>Espacios que se destinan al desarrollo de cada una de las funciones de docencia, investigación y extensión a las que se dedica el proyecto curricular y de las áreas destinadas al bienestar institucional.</v>
      </c>
      <c r="E613" s="61" t="s">
        <v>64</v>
      </c>
      <c r="F613" s="61" t="s">
        <v>64</v>
      </c>
      <c r="G613" s="204" t="s">
        <v>64</v>
      </c>
      <c r="H613" s="204" t="s">
        <v>64</v>
      </c>
      <c r="I613" s="204" t="s">
        <v>64</v>
      </c>
      <c r="J613" s="204" t="s">
        <v>64</v>
      </c>
      <c r="K613" s="204" t="s">
        <v>64</v>
      </c>
      <c r="L613" s="204" t="s">
        <v>64</v>
      </c>
      <c r="M613" s="96" t="s">
        <v>64</v>
      </c>
      <c r="N613" s="96" t="s">
        <v>64</v>
      </c>
      <c r="O613" s="96" t="s">
        <v>64</v>
      </c>
      <c r="P613" s="324">
        <f>AVERAGE(O613:O625)</f>
        <v>3.69562219939588</v>
      </c>
      <c r="Q613" s="324">
        <f>(P613*Ponderación!D39)+(P626*Ponderación!D40)+(P644*Ponderación!D41)</f>
        <v>3.5937613237462696</v>
      </c>
      <c r="R613" s="17" t="str">
        <f>IF(((M613&gt;=$Z$4)*AND(M613&lt;=$AA$4)),$Y$4,IF(((M613&gt;$AA$4)*AND(M613&lt;=$AA$5)),$Y$5,IF(((M613&gt;$AA$5)*AND(M613&lt;=$AA$6)),$Y$6,IF(((M613&gt;$AA$6)*AND(M613&lt;=$AA$7)),$Y$7,IF(((M613&gt;$AA$7)*AND(M613&lt;=$AA$8)),$Y$8,IF(EXACT(M613,$Y$9),$Z$9))))))</f>
        <v>NA</v>
      </c>
      <c r="S613" s="17" t="str">
        <f>IF(((N613&gt;=$Z$4)*AND(N613&lt;=$AA$4)),$Y$4,IF(((N613&gt;$AA$4)*AND(N613&lt;=$AA$5)),$Y$5,IF(((N613&gt;$AA$5)*AND(N613&lt;=$AA$6)),$Y$6,IF(((N613&gt;$AA$6)*AND(N613&lt;=$AA$7)),$Y$7,IF(((N613&gt;$AA$7)*AND(N613&lt;=$AA$8)),$Y$8,IF(EXACT(N613,$Y$9),$Z$9))))))</f>
        <v>NA</v>
      </c>
      <c r="T613" s="17" t="str">
        <f>IF(((O613&gt;=$Z$4)*AND(O613&lt;=$AA$4)),$Y$4,IF(((O613&gt;$AA$4)*AND(O613&lt;=$AA$5)),$Y$5,IF(((O613&gt;$AA$5)*AND(O613&lt;=$AA$6)),$Y$6,IF(((O613&gt;$AA$6)*AND(O613&lt;=$AA$7)),$Y$7,IF(((O613&gt;$AA$7)*AND(O613&lt;=$AA$8)),$Y$8,IF(EXACT(O613,$Y$9),$Z$9))))))</f>
        <v>NA</v>
      </c>
      <c r="U613" s="327" t="str">
        <f>IF(((P613&gt;=$Z$4)*AND(P613&lt;=$AA$4)),$Y$4,IF(((P613&gt;$AA$4)*AND(P613&lt;=$AA$5)),$Y$5,IF(((P613&gt;$AA$5)*AND(P613&lt;=$AA$6)),$Y$6,IF(((P613&gt;$AA$6)*AND(P613&lt;=$AA$7)),$Y$7,IF(((P613&gt;$AA$7)*AND(P613&lt;=$AA$8)),$Y$8,IF(EXACT(P613,$Y$9),$Z$9))))))</f>
        <v>C</v>
      </c>
      <c r="V613" s="327" t="str">
        <f>IF(((Q613&gt;=$Z$4)*AND(Q613&lt;=$AA$4)),$Y$4,IF(((Q613&gt;$AA$4)*AND(Q613&lt;=$AA$5)),$Y$5,IF(((Q613&gt;$AA$5)*AND(Q613&lt;=$AA$6)),$Y$6,IF(((Q613&gt;$AA$6)*AND(Q613&lt;=$AA$7)),$Y$7,IF(((Q613&gt;$AA$7)*AND(Q613&lt;=$AA$8)),$Y$8,IF(EXACT(Q613,$Y$9),$Z$9))))))</f>
        <v>C</v>
      </c>
    </row>
    <row r="614" spans="1:22" ht="96" x14ac:dyDescent="0.25">
      <c r="A614" s="343"/>
      <c r="B614" s="343"/>
      <c r="C614" s="58" t="str">
        <f>Final!E241</f>
        <v>b</v>
      </c>
      <c r="D614" s="59" t="str">
        <f>Final!F241</f>
        <v>Existencia y uso adecuado de aulas, laboratorios, talleres, sitios de estudio para los alumnos, salas de cómputo, oficinas de profesores, sitios para la creación artística y cultural, auditorios y salas de conferencias, oficinas administrativas, cafeterías, baños, servicios, campos de juego, espacios libres, zonas verdes y demás espacios destinados al bienestar en general.</v>
      </c>
      <c r="E614" s="61" t="s">
        <v>64</v>
      </c>
      <c r="F614" s="61" t="s">
        <v>64</v>
      </c>
      <c r="G614" s="204" t="s">
        <v>64</v>
      </c>
      <c r="H614" s="204" t="s">
        <v>64</v>
      </c>
      <c r="I614" s="204" t="s">
        <v>64</v>
      </c>
      <c r="J614" s="204" t="s">
        <v>64</v>
      </c>
      <c r="K614" s="204" t="s">
        <v>64</v>
      </c>
      <c r="L614" s="204" t="s">
        <v>64</v>
      </c>
      <c r="M614" s="96" t="s">
        <v>64</v>
      </c>
      <c r="N614" s="96" t="s">
        <v>64</v>
      </c>
      <c r="O614" s="96" t="s">
        <v>64</v>
      </c>
      <c r="P614" s="325"/>
      <c r="Q614" s="325"/>
      <c r="R614" s="17" t="str">
        <f t="shared" ref="R614:T616" si="83">IF(((M614&gt;=$Z$4)*AND(M614&lt;=$AA$4)),$Y$4,IF(((M614&gt;$AA$4)*AND(M614&lt;=$AA$5)),$Y$5,IF(((M614&gt;$AA$5)*AND(M614&lt;=$AA$6)),$Y$6,IF(((M614&gt;$AA$6)*AND(M614&lt;=$AA$7)),$Y$7,IF(((M614&gt;$AA$7)*AND(M614&lt;=$AA$8)),$Y$8,IF(EXACT(M614,$Y$9),$Z$9))))))</f>
        <v>NA</v>
      </c>
      <c r="S614" s="17" t="str">
        <f t="shared" si="83"/>
        <v>NA</v>
      </c>
      <c r="T614" s="17" t="str">
        <f t="shared" si="83"/>
        <v>NA</v>
      </c>
      <c r="U614" s="328"/>
      <c r="V614" s="328"/>
    </row>
    <row r="615" spans="1:22" ht="60" x14ac:dyDescent="0.25">
      <c r="A615" s="343"/>
      <c r="B615" s="343"/>
      <c r="C615" s="58" t="str">
        <f>Final!E242</f>
        <v>c</v>
      </c>
      <c r="D615" s="59" t="str">
        <f>Final!F242</f>
        <v xml:space="preserve">Existencia de planes y proyectos en ejecución para la conservación, expansión, mejoras y mantenimiento de la planta física para el proyecto curricular, de acuerdo con las normas técnicas respectivas. </v>
      </c>
      <c r="E615" s="61" t="s">
        <v>64</v>
      </c>
      <c r="F615" s="61" t="s">
        <v>64</v>
      </c>
      <c r="G615" s="204" t="s">
        <v>64</v>
      </c>
      <c r="H615" s="204" t="s">
        <v>64</v>
      </c>
      <c r="I615" s="204" t="s">
        <v>64</v>
      </c>
      <c r="J615" s="204" t="s">
        <v>64</v>
      </c>
      <c r="K615" s="204" t="s">
        <v>64</v>
      </c>
      <c r="L615" s="204" t="s">
        <v>64</v>
      </c>
      <c r="M615" s="96" t="s">
        <v>64</v>
      </c>
      <c r="N615" s="96" t="s">
        <v>64</v>
      </c>
      <c r="O615" s="96" t="s">
        <v>64</v>
      </c>
      <c r="P615" s="325"/>
      <c r="Q615" s="325"/>
      <c r="R615" s="17" t="str">
        <f t="shared" si="83"/>
        <v>NA</v>
      </c>
      <c r="S615" s="17" t="str">
        <f t="shared" si="83"/>
        <v>NA</v>
      </c>
      <c r="T615" s="17" t="str">
        <f t="shared" si="83"/>
        <v>NA</v>
      </c>
      <c r="U615" s="328"/>
      <c r="V615" s="328"/>
    </row>
    <row r="616" spans="1:22" ht="24" x14ac:dyDescent="0.25">
      <c r="A616" s="343"/>
      <c r="B616" s="343"/>
      <c r="C616" s="333" t="str">
        <f>Final!E243</f>
        <v>d</v>
      </c>
      <c r="D616" s="330" t="str">
        <f>Final!F243</f>
        <v>Apreciación de directivos, profesores, estudiantes y personal administrativo del proyecto curricular sobre las características de la planta física, desde el punto de vista de su accesibilidad, diseño, capacidad, iluminación, ventilación y condiciones de seguridad e higiene.</v>
      </c>
      <c r="E616" s="11" t="str">
        <f>Apreciación!A99</f>
        <v>Estudiantes</v>
      </c>
      <c r="F616" s="12" t="str">
        <f>Apreciación!E99</f>
        <v>Cuenta de 70.1. Considero que la planta física de mi programa académico es: ADECUADA.</v>
      </c>
      <c r="G616" s="203">
        <f>Apreciación!F99</f>
        <v>0.10179640718562874</v>
      </c>
      <c r="H616" s="203">
        <f>Apreciación!G99</f>
        <v>7.1856287425149698E-2</v>
      </c>
      <c r="I616" s="203">
        <f>Apreciación!H99</f>
        <v>0.31736526946107785</v>
      </c>
      <c r="J616" s="203">
        <f>Apreciación!I99</f>
        <v>0.31736526946107785</v>
      </c>
      <c r="K616" s="203">
        <f>Apreciación!J99</f>
        <v>0.16766467065868262</v>
      </c>
      <c r="L616" s="203">
        <f>Apreciación!K99</f>
        <v>2.3952095808383235E-2</v>
      </c>
      <c r="M616" s="18">
        <f>(G616*$G$2)+(H616*$H$2)+(I616*$I$2)+(J616*$J$2)+(K616*$K$2)+(L616*$L$2)</f>
        <v>3.6886227544910182</v>
      </c>
      <c r="N616" s="324">
        <f>AVERAGE(M616:M618)</f>
        <v>3.6232534930139724</v>
      </c>
      <c r="O616" s="324">
        <f>(N616*$AE$5)+(N619*$AE$4)+(AVERAGE(N616:N624)*$AE$6)+(N622*$AE$8)+(AVERAGE(N616:N624)*$AE$7)</f>
        <v>3.69562219939588</v>
      </c>
      <c r="P616" s="325"/>
      <c r="Q616" s="325"/>
      <c r="R616" s="17" t="str">
        <f t="shared" si="83"/>
        <v>C</v>
      </c>
      <c r="S616" s="327" t="str">
        <f t="shared" si="83"/>
        <v>C</v>
      </c>
      <c r="T616" s="327" t="str">
        <f t="shared" si="83"/>
        <v>C</v>
      </c>
      <c r="U616" s="328"/>
      <c r="V616" s="328"/>
    </row>
    <row r="617" spans="1:22" ht="24" x14ac:dyDescent="0.25">
      <c r="A617" s="343"/>
      <c r="B617" s="343"/>
      <c r="C617" s="334"/>
      <c r="D617" s="331"/>
      <c r="E617" s="11" t="str">
        <f>Apreciación!A100</f>
        <v>Estudiantes</v>
      </c>
      <c r="F617" s="12" t="str">
        <f>Apreciación!E100</f>
        <v>Cuenta de 70.2. Considero que la planta física de mi programa académico es: SUFICIENTE.</v>
      </c>
      <c r="G617" s="203">
        <f>Apreciación!F100</f>
        <v>0.12574850299401197</v>
      </c>
      <c r="H617" s="203">
        <f>Apreciación!G100</f>
        <v>0.11976047904191617</v>
      </c>
      <c r="I617" s="203">
        <f>Apreciación!H100</f>
        <v>0.32335329341317365</v>
      </c>
      <c r="J617" s="203">
        <f>Apreciación!I100</f>
        <v>0.26946107784431139</v>
      </c>
      <c r="K617" s="203">
        <f>Apreciación!J100</f>
        <v>0.12574850299401197</v>
      </c>
      <c r="L617" s="203">
        <f>Apreciación!K100</f>
        <v>3.5928143712574849E-2</v>
      </c>
      <c r="M617" s="96">
        <f t="shared" ref="M617:M624" si="84">(G617*$G$2)+(H617*$H$2)+(I617*$I$2)+(J617*$J$2)+(K617*$K$2)+(L617*$L$2)</f>
        <v>3.4925149700598803</v>
      </c>
      <c r="N617" s="325"/>
      <c r="O617" s="325"/>
      <c r="P617" s="325"/>
      <c r="Q617" s="325"/>
      <c r="R617" s="17" t="str">
        <f t="shared" ref="R617:R624" si="85">IF(((M617&gt;=$Z$4)*AND(M617&lt;=$AA$4)),$Y$4,IF(((M617&gt;$AA$4)*AND(M617&lt;=$AA$5)),$Y$5,IF(((M617&gt;$AA$5)*AND(M617&lt;=$AA$6)),$Y$6,IF(((M617&gt;$AA$6)*AND(M617&lt;=$AA$7)),$Y$7,IF(((M617&gt;$AA$7)*AND(M617&lt;=$AA$8)),$Y$8,IF(EXACT(M617,$Y$9),$Z$9))))))</f>
        <v>D</v>
      </c>
      <c r="S617" s="328"/>
      <c r="T617" s="328"/>
      <c r="U617" s="328"/>
      <c r="V617" s="328"/>
    </row>
    <row r="618" spans="1:22" ht="24" x14ac:dyDescent="0.25">
      <c r="A618" s="343"/>
      <c r="B618" s="343"/>
      <c r="C618" s="334"/>
      <c r="D618" s="331"/>
      <c r="E618" s="11" t="str">
        <f>Apreciación!A101</f>
        <v>Estudiantes</v>
      </c>
      <c r="F618" s="12" t="str">
        <f>Apreciación!E101</f>
        <v>Cuenta de 70.3. Considero que la planta física de mi programa académico es: CONSERVADA.</v>
      </c>
      <c r="G618" s="203">
        <f>Apreciación!F101</f>
        <v>8.3832335329341312E-2</v>
      </c>
      <c r="H618" s="203">
        <f>Apreciación!G101</f>
        <v>4.790419161676647E-2</v>
      </c>
      <c r="I618" s="203">
        <f>Apreciación!H101</f>
        <v>0.3532934131736527</v>
      </c>
      <c r="J618" s="203">
        <f>Apreciación!I101</f>
        <v>0.32335329341317365</v>
      </c>
      <c r="K618" s="203">
        <f>Apreciación!J101</f>
        <v>0.15568862275449102</v>
      </c>
      <c r="L618" s="203">
        <f>Apreciación!K101</f>
        <v>3.5928143712574849E-2</v>
      </c>
      <c r="M618" s="96">
        <f t="shared" si="84"/>
        <v>3.6886227544910182</v>
      </c>
      <c r="N618" s="326"/>
      <c r="O618" s="325"/>
      <c r="P618" s="325"/>
      <c r="Q618" s="325"/>
      <c r="R618" s="17" t="str">
        <f t="shared" si="85"/>
        <v>C</v>
      </c>
      <c r="S618" s="329"/>
      <c r="T618" s="328"/>
      <c r="U618" s="328"/>
      <c r="V618" s="328"/>
    </row>
    <row r="619" spans="1:22" ht="36" x14ac:dyDescent="0.25">
      <c r="A619" s="343"/>
      <c r="B619" s="343"/>
      <c r="C619" s="334"/>
      <c r="D619" s="331"/>
      <c r="E619" s="11" t="str">
        <f>Apreciación!A187</f>
        <v>Docentes</v>
      </c>
      <c r="F619" s="12" t="str">
        <f>Apreciación!E187</f>
        <v>Cuenta de 67.1. Considero que la planta física empleada por el programa académico al cual pertenezco es: ADECUADA</v>
      </c>
      <c r="G619" s="203">
        <f>Apreciación!F187</f>
        <v>0.1111111111111111</v>
      </c>
      <c r="H619" s="203">
        <f>Apreciación!G187</f>
        <v>3.7037037037037035E-2</v>
      </c>
      <c r="I619" s="203">
        <f>Apreciación!H187</f>
        <v>0.29629629629629628</v>
      </c>
      <c r="J619" s="203">
        <f>Apreciación!I187</f>
        <v>0.37037037037037035</v>
      </c>
      <c r="K619" s="203">
        <f>Apreciación!J187</f>
        <v>0.18518518518518517</v>
      </c>
      <c r="L619" s="203">
        <f>Apreciación!K187</f>
        <v>0</v>
      </c>
      <c r="M619" s="96">
        <f t="shared" si="84"/>
        <v>3.8296296296296299</v>
      </c>
      <c r="N619" s="324">
        <f>AVERAGE(M619:M621)</f>
        <v>3.782098765432099</v>
      </c>
      <c r="O619" s="325"/>
      <c r="P619" s="325"/>
      <c r="Q619" s="325"/>
      <c r="R619" s="17" t="str">
        <f t="shared" si="85"/>
        <v>C</v>
      </c>
      <c r="S619" s="327" t="str">
        <f>IF(((N619&gt;=$Z$4)*AND(N619&lt;=$AA$4)),$Y$4,IF(((N619&gt;$AA$4)*AND(N619&lt;=$AA$5)),$Y$5,IF(((N619&gt;$AA$5)*AND(N619&lt;=$AA$6)),$Y$6,IF(((N619&gt;$AA$6)*AND(N619&lt;=$AA$7)),$Y$7,IF(((N619&gt;$AA$7)*AND(N619&lt;=$AA$8)),$Y$8,IF(EXACT(N619,$Y$9),$Z$9))))))</f>
        <v>C</v>
      </c>
      <c r="T619" s="328"/>
      <c r="U619" s="328"/>
      <c r="V619" s="328"/>
    </row>
    <row r="620" spans="1:22" ht="36" x14ac:dyDescent="0.25">
      <c r="A620" s="343"/>
      <c r="B620" s="343"/>
      <c r="C620" s="334"/>
      <c r="D620" s="331"/>
      <c r="E620" s="11" t="str">
        <f>Apreciación!A188</f>
        <v>Docentes</v>
      </c>
      <c r="F620" s="12" t="str">
        <f>Apreciación!E188</f>
        <v>Cuenta de 67.2. Considero que la planta física empleada por el programa académico al cual pertenezco es: SUFICIENTE</v>
      </c>
      <c r="G620" s="203">
        <f>Apreciación!F188</f>
        <v>0.14814814814814814</v>
      </c>
      <c r="H620" s="203">
        <f>Apreciación!G188</f>
        <v>3.7037037037037035E-2</v>
      </c>
      <c r="I620" s="203">
        <f>Apreciación!H188</f>
        <v>0.29629629629629628</v>
      </c>
      <c r="J620" s="203">
        <f>Apreciación!I188</f>
        <v>0.40740740740740738</v>
      </c>
      <c r="K620" s="203">
        <f>Apreciación!J188</f>
        <v>0.1111111111111111</v>
      </c>
      <c r="L620" s="203">
        <f>Apreciación!K188</f>
        <v>0</v>
      </c>
      <c r="M620" s="96">
        <f t="shared" si="84"/>
        <v>3.6962962962962962</v>
      </c>
      <c r="N620" s="325"/>
      <c r="O620" s="325"/>
      <c r="P620" s="325"/>
      <c r="Q620" s="325"/>
      <c r="R620" s="17" t="str">
        <f t="shared" si="85"/>
        <v>C</v>
      </c>
      <c r="S620" s="328"/>
      <c r="T620" s="328"/>
      <c r="U620" s="328"/>
      <c r="V620" s="328"/>
    </row>
    <row r="621" spans="1:22" ht="36" x14ac:dyDescent="0.25">
      <c r="A621" s="343"/>
      <c r="B621" s="343"/>
      <c r="C621" s="334"/>
      <c r="D621" s="331"/>
      <c r="E621" s="11" t="str">
        <f>Apreciación!A189</f>
        <v>Docentes</v>
      </c>
      <c r="F621" s="12" t="str">
        <f>Apreciación!E189</f>
        <v>Cuenta de 67.3. Considero que la planta física empleada por el programa académico al cual pertenezco es: MANTENIDA APROPIADAMENTE.</v>
      </c>
      <c r="G621" s="203">
        <f>Apreciación!F189</f>
        <v>7.407407407407407E-2</v>
      </c>
      <c r="H621" s="203">
        <f>Apreciación!G189</f>
        <v>7.407407407407407E-2</v>
      </c>
      <c r="I621" s="203">
        <f>Apreciación!H189</f>
        <v>0.40740740740740738</v>
      </c>
      <c r="J621" s="203">
        <f>Apreciación!I189</f>
        <v>0.25925925925925924</v>
      </c>
      <c r="K621" s="203">
        <f>Apreciación!J189</f>
        <v>0.18518518518518517</v>
      </c>
      <c r="L621" s="203">
        <f>Apreciación!K189</f>
        <v>0</v>
      </c>
      <c r="M621" s="96">
        <f t="shared" si="84"/>
        <v>3.8203703703703704</v>
      </c>
      <c r="N621" s="326"/>
      <c r="O621" s="325"/>
      <c r="P621" s="325"/>
      <c r="Q621" s="325"/>
      <c r="R621" s="17" t="str">
        <f t="shared" si="85"/>
        <v>C</v>
      </c>
      <c r="S621" s="329"/>
      <c r="T621" s="328"/>
      <c r="U621" s="328"/>
      <c r="V621" s="328"/>
    </row>
    <row r="622" spans="1:22" ht="36" x14ac:dyDescent="0.25">
      <c r="A622" s="343"/>
      <c r="B622" s="343"/>
      <c r="C622" s="334"/>
      <c r="D622" s="331"/>
      <c r="E622" s="11" t="str">
        <f>Apreciación!A254</f>
        <v>Administrativos</v>
      </c>
      <c r="F622" s="12" t="str">
        <f>Apreciación!E254</f>
        <v>Cuenta de 24.1. Considero que la planta física empleada por los programas académicos con los cuales me he relacionado es: ADECUADA.</v>
      </c>
      <c r="G622" s="203">
        <f>Apreciación!F254</f>
        <v>1.7543859649122806E-2</v>
      </c>
      <c r="H622" s="203">
        <f>Apreciación!G254</f>
        <v>9.6491228070175433E-2</v>
      </c>
      <c r="I622" s="203">
        <f>Apreciación!H254</f>
        <v>0.46491228070175439</v>
      </c>
      <c r="J622" s="203">
        <f>Apreciación!I254</f>
        <v>0.2982456140350877</v>
      </c>
      <c r="K622" s="203">
        <f>Apreciación!J254</f>
        <v>9.6491228070175433E-2</v>
      </c>
      <c r="L622" s="203">
        <f>Apreciación!K254</f>
        <v>2.6315789473684209E-2</v>
      </c>
      <c r="M622" s="96">
        <f t="shared" si="84"/>
        <v>3.7456140350877196</v>
      </c>
      <c r="N622" s="324">
        <f>AVERAGE(M622:M624)</f>
        <v>3.5902046783625732</v>
      </c>
      <c r="O622" s="325"/>
      <c r="P622" s="325"/>
      <c r="Q622" s="325"/>
      <c r="R622" s="17" t="str">
        <f t="shared" si="85"/>
        <v>C</v>
      </c>
      <c r="S622" s="327" t="str">
        <f>IF(((N622&gt;=$Z$4)*AND(N622&lt;=$AA$4)),$Y$4,IF(((N622&gt;$AA$4)*AND(N622&lt;=$AA$5)),$Y$5,IF(((N622&gt;$AA$5)*AND(N622&lt;=$AA$6)),$Y$6,IF(((N622&gt;$AA$6)*AND(N622&lt;=$AA$7)),$Y$7,IF(((N622&gt;$AA$7)*AND(N622&lt;=$AA$8)),$Y$8,IF(EXACT(N622,$Y$9),$Z$9))))))</f>
        <v>C</v>
      </c>
      <c r="T622" s="328"/>
      <c r="U622" s="328"/>
      <c r="V622" s="328"/>
    </row>
    <row r="623" spans="1:22" ht="36" x14ac:dyDescent="0.25">
      <c r="A623" s="343"/>
      <c r="B623" s="343"/>
      <c r="C623" s="334"/>
      <c r="D623" s="331"/>
      <c r="E623" s="11" t="str">
        <f>Apreciación!A255</f>
        <v>Administrativos</v>
      </c>
      <c r="F623" s="12" t="str">
        <f>Apreciación!E255</f>
        <v>Cuenta de 24.2. Considero que la planta física empleada por los programas académicos con los cuales me he relacionado es: SUFICIENTE.</v>
      </c>
      <c r="G623" s="203">
        <f>Apreciación!F255</f>
        <v>0.10526315789473684</v>
      </c>
      <c r="H623" s="203">
        <f>Apreciación!G255</f>
        <v>0.19298245614035087</v>
      </c>
      <c r="I623" s="203">
        <f>Apreciación!H255</f>
        <v>0.42105263157894735</v>
      </c>
      <c r="J623" s="203">
        <f>Apreciación!I255</f>
        <v>0.20175438596491227</v>
      </c>
      <c r="K623" s="203">
        <f>Apreciación!J255</f>
        <v>5.2631578947368418E-2</v>
      </c>
      <c r="L623" s="203">
        <f>Apreciación!K255</f>
        <v>2.6315789473684209E-2</v>
      </c>
      <c r="M623" s="96">
        <f t="shared" si="84"/>
        <v>3.4035087719298245</v>
      </c>
      <c r="N623" s="325"/>
      <c r="O623" s="325"/>
      <c r="P623" s="325"/>
      <c r="Q623" s="325"/>
      <c r="R623" s="17" t="str">
        <f t="shared" si="85"/>
        <v>D</v>
      </c>
      <c r="S623" s="328"/>
      <c r="T623" s="328"/>
      <c r="U623" s="328"/>
      <c r="V623" s="328"/>
    </row>
    <row r="624" spans="1:22" ht="48" x14ac:dyDescent="0.25">
      <c r="A624" s="343"/>
      <c r="B624" s="343"/>
      <c r="C624" s="335"/>
      <c r="D624" s="332"/>
      <c r="E624" s="11" t="str">
        <f>Apreciación!A256</f>
        <v>Administrativos</v>
      </c>
      <c r="F624" s="12" t="str">
        <f>Apreciación!E256</f>
        <v>Cuenta de 24.3. Considero que la planta física empleada por los programas académicos con los cuales me he relacionado es:. DEBIDAMENTE MANTENIDA.</v>
      </c>
      <c r="G624" s="203">
        <f>Apreciación!F256</f>
        <v>2.6315789473684209E-2</v>
      </c>
      <c r="H624" s="203">
        <f>Apreciación!G256</f>
        <v>0.14035087719298245</v>
      </c>
      <c r="I624" s="203">
        <f>Apreciación!H256</f>
        <v>0.41228070175438597</v>
      </c>
      <c r="J624" s="203">
        <f>Apreciación!I256</f>
        <v>0.2807017543859649</v>
      </c>
      <c r="K624" s="203">
        <f>Apreciación!J256</f>
        <v>9.6491228070175433E-2</v>
      </c>
      <c r="L624" s="203">
        <f>Apreciación!K256</f>
        <v>4.3859649122807015E-2</v>
      </c>
      <c r="M624" s="96">
        <f t="shared" si="84"/>
        <v>3.6214912280701754</v>
      </c>
      <c r="N624" s="326"/>
      <c r="O624" s="326"/>
      <c r="P624" s="325"/>
      <c r="Q624" s="325"/>
      <c r="R624" s="17" t="str">
        <f t="shared" si="85"/>
        <v>C</v>
      </c>
      <c r="S624" s="329"/>
      <c r="T624" s="329"/>
      <c r="U624" s="328"/>
      <c r="V624" s="328"/>
    </row>
    <row r="625" spans="1:22" ht="60" x14ac:dyDescent="0.25">
      <c r="A625" s="343"/>
      <c r="B625" s="344"/>
      <c r="C625" s="58" t="str">
        <f>Final!E244</f>
        <v>e</v>
      </c>
      <c r="D625" s="59" t="str">
        <f>Final!F244</f>
        <v xml:space="preserve">Disponibilidad de infraestructura física para atender las necesidades académicas, administrativas y de bienestar, que sea coherente con la modalidad en que se ofrece el proyecto curricular </v>
      </c>
      <c r="E625" s="61" t="s">
        <v>64</v>
      </c>
      <c r="F625" s="61" t="s">
        <v>64</v>
      </c>
      <c r="G625" s="204" t="s">
        <v>64</v>
      </c>
      <c r="H625" s="204" t="s">
        <v>64</v>
      </c>
      <c r="I625" s="204" t="s">
        <v>64</v>
      </c>
      <c r="J625" s="204" t="s">
        <v>64</v>
      </c>
      <c r="K625" s="204" t="s">
        <v>64</v>
      </c>
      <c r="L625" s="204" t="s">
        <v>64</v>
      </c>
      <c r="M625" s="96" t="s">
        <v>64</v>
      </c>
      <c r="N625" s="96" t="s">
        <v>64</v>
      </c>
      <c r="O625" s="96" t="s">
        <v>64</v>
      </c>
      <c r="P625" s="326"/>
      <c r="Q625" s="325"/>
      <c r="R625" s="17" t="str">
        <f t="shared" ref="R625:T631" si="86">IF(((M625&gt;=$Z$4)*AND(M625&lt;=$AA$4)),$Y$4,IF(((M625&gt;$AA$4)*AND(M625&lt;=$AA$5)),$Y$5,IF(((M625&gt;$AA$5)*AND(M625&lt;=$AA$6)),$Y$6,IF(((M625&gt;$AA$6)*AND(M625&lt;=$AA$7)),$Y$7,IF(((M625&gt;$AA$7)*AND(M625&lt;=$AA$8)),$Y$8,IF(EXACT(M625,$Y$9),$Z$9))))))</f>
        <v>NA</v>
      </c>
      <c r="S625" s="17" t="str">
        <f t="shared" si="86"/>
        <v>NA</v>
      </c>
      <c r="T625" s="17" t="str">
        <f t="shared" si="86"/>
        <v>NA</v>
      </c>
      <c r="U625" s="329"/>
      <c r="V625" s="328"/>
    </row>
    <row r="626" spans="1:22" ht="24" x14ac:dyDescent="0.25">
      <c r="A626" s="343"/>
      <c r="B626" s="342">
        <v>39</v>
      </c>
      <c r="C626" s="58" t="str">
        <f>Final!E245</f>
        <v>a</v>
      </c>
      <c r="D626" s="59" t="str">
        <f>Final!F245</f>
        <v>Origen, monto y distribución de los recursos presupuestales destinados al proyecto curricular.</v>
      </c>
      <c r="E626" s="61" t="s">
        <v>64</v>
      </c>
      <c r="F626" s="61" t="s">
        <v>64</v>
      </c>
      <c r="G626" s="204" t="s">
        <v>64</v>
      </c>
      <c r="H626" s="204" t="s">
        <v>64</v>
      </c>
      <c r="I626" s="204" t="s">
        <v>64</v>
      </c>
      <c r="J626" s="204" t="s">
        <v>64</v>
      </c>
      <c r="K626" s="204" t="s">
        <v>64</v>
      </c>
      <c r="L626" s="204" t="s">
        <v>64</v>
      </c>
      <c r="M626" s="96" t="s">
        <v>64</v>
      </c>
      <c r="N626" s="96" t="s">
        <v>64</v>
      </c>
      <c r="O626" s="96" t="s">
        <v>64</v>
      </c>
      <c r="P626" s="324">
        <f>AVERAGE(O626:O643)</f>
        <v>3.52</v>
      </c>
      <c r="Q626" s="325"/>
      <c r="R626" s="17" t="str">
        <f t="shared" si="86"/>
        <v>NA</v>
      </c>
      <c r="S626" s="17" t="str">
        <f t="shared" si="86"/>
        <v>NA</v>
      </c>
      <c r="T626" s="17" t="str">
        <f t="shared" si="86"/>
        <v>NA</v>
      </c>
      <c r="U626" s="327" t="str">
        <f>IF(((P626&gt;=$Z$4)*AND(P626&lt;=$AA$4)),$Y$4,IF(((P626&gt;$AA$4)*AND(P626&lt;=$AA$5)),$Y$5,IF(((P626&gt;$AA$5)*AND(P626&lt;=$AA$6)),$Y$6,IF(((P626&gt;$AA$6)*AND(P626&lt;=$AA$7)),$Y$7,IF(((P626&gt;$AA$7)*AND(P626&lt;=$AA$8)),$Y$8,IF(EXACT(P626,$Y$9),$Z$9))))))</f>
        <v>C</v>
      </c>
      <c r="V626" s="328"/>
    </row>
    <row r="627" spans="1:22" ht="48" x14ac:dyDescent="0.25">
      <c r="A627" s="343"/>
      <c r="B627" s="343"/>
      <c r="C627" s="58" t="str">
        <f>Final!E246</f>
        <v>b</v>
      </c>
      <c r="D627" s="59" t="str">
        <f>Final!F246</f>
        <v>Mecanismos de seguimiento y verificación a la ejecución presupuestal del proyecto curricular con base en planes de mejoramiento y mantenimiento.</v>
      </c>
      <c r="E627" s="61" t="s">
        <v>64</v>
      </c>
      <c r="F627" s="61" t="s">
        <v>64</v>
      </c>
      <c r="G627" s="204" t="s">
        <v>64</v>
      </c>
      <c r="H627" s="204" t="s">
        <v>64</v>
      </c>
      <c r="I627" s="204" t="s">
        <v>64</v>
      </c>
      <c r="J627" s="204" t="s">
        <v>64</v>
      </c>
      <c r="K627" s="204" t="s">
        <v>64</v>
      </c>
      <c r="L627" s="204" t="s">
        <v>64</v>
      </c>
      <c r="M627" s="96" t="s">
        <v>64</v>
      </c>
      <c r="N627" s="96" t="s">
        <v>64</v>
      </c>
      <c r="O627" s="96" t="s">
        <v>64</v>
      </c>
      <c r="P627" s="325"/>
      <c r="Q627" s="325"/>
      <c r="R627" s="17" t="str">
        <f t="shared" si="86"/>
        <v>NA</v>
      </c>
      <c r="S627" s="17" t="str">
        <f t="shared" si="86"/>
        <v>NA</v>
      </c>
      <c r="T627" s="17" t="str">
        <f t="shared" si="86"/>
        <v>NA</v>
      </c>
      <c r="U627" s="328"/>
      <c r="V627" s="328"/>
    </row>
    <row r="628" spans="1:22" ht="72" x14ac:dyDescent="0.25">
      <c r="A628" s="343"/>
      <c r="B628" s="343"/>
      <c r="C628" s="58" t="str">
        <f>Final!E247</f>
        <v>c</v>
      </c>
      <c r="D628" s="59" t="str">
        <f>Final!F247</f>
        <v>Distribución de la asignación presupuestal para actividades de docencia, investigación, creación artística y cultural, proyección social, bienestar institucional e internacionalización que en forma directa o indirecta se reflejen en el proyecto curricular.</v>
      </c>
      <c r="E628" s="61" t="s">
        <v>64</v>
      </c>
      <c r="F628" s="61" t="s">
        <v>64</v>
      </c>
      <c r="G628" s="204" t="s">
        <v>64</v>
      </c>
      <c r="H628" s="204" t="s">
        <v>64</v>
      </c>
      <c r="I628" s="204" t="s">
        <v>64</v>
      </c>
      <c r="J628" s="204" t="s">
        <v>64</v>
      </c>
      <c r="K628" s="204" t="s">
        <v>64</v>
      </c>
      <c r="L628" s="204" t="s">
        <v>64</v>
      </c>
      <c r="M628" s="96" t="s">
        <v>64</v>
      </c>
      <c r="N628" s="96" t="s">
        <v>64</v>
      </c>
      <c r="O628" s="96" t="s">
        <v>64</v>
      </c>
      <c r="P628" s="325"/>
      <c r="Q628" s="325"/>
      <c r="R628" s="17" t="str">
        <f t="shared" si="86"/>
        <v>NA</v>
      </c>
      <c r="S628" s="17" t="str">
        <f t="shared" si="86"/>
        <v>NA</v>
      </c>
      <c r="T628" s="17" t="str">
        <f t="shared" si="86"/>
        <v>NA</v>
      </c>
      <c r="U628" s="328"/>
      <c r="V628" s="328"/>
    </row>
    <row r="629" spans="1:22" ht="24" x14ac:dyDescent="0.25">
      <c r="A629" s="343"/>
      <c r="B629" s="343"/>
      <c r="C629" s="58" t="str">
        <f>Final!E248</f>
        <v>d</v>
      </c>
      <c r="D629" s="59" t="str">
        <f>Final!F248</f>
        <v>Porcentaje de los ingresos que la Institución dedica a la inversión en el proyecto curricular.</v>
      </c>
      <c r="E629" s="61" t="s">
        <v>64</v>
      </c>
      <c r="F629" s="61" t="s">
        <v>64</v>
      </c>
      <c r="G629" s="204" t="s">
        <v>64</v>
      </c>
      <c r="H629" s="204" t="s">
        <v>64</v>
      </c>
      <c r="I629" s="204" t="s">
        <v>64</v>
      </c>
      <c r="J629" s="204" t="s">
        <v>64</v>
      </c>
      <c r="K629" s="204" t="s">
        <v>64</v>
      </c>
      <c r="L629" s="204" t="s">
        <v>64</v>
      </c>
      <c r="M629" s="96" t="s">
        <v>64</v>
      </c>
      <c r="N629" s="96" t="s">
        <v>64</v>
      </c>
      <c r="O629" s="96" t="s">
        <v>64</v>
      </c>
      <c r="P629" s="325"/>
      <c r="Q629" s="325"/>
      <c r="R629" s="17" t="str">
        <f t="shared" si="86"/>
        <v>NA</v>
      </c>
      <c r="S629" s="17" t="str">
        <f t="shared" si="86"/>
        <v>NA</v>
      </c>
      <c r="T629" s="17" t="str">
        <f t="shared" si="86"/>
        <v>NA</v>
      </c>
      <c r="U629" s="328"/>
      <c r="V629" s="328"/>
    </row>
    <row r="630" spans="1:22" ht="36" x14ac:dyDescent="0.25">
      <c r="A630" s="343"/>
      <c r="B630" s="343"/>
      <c r="C630" s="58" t="str">
        <f>Final!E249</f>
        <v>e</v>
      </c>
      <c r="D630" s="59" t="str">
        <f>Final!F249</f>
        <v>Capacidad del proyecto curricular para generar recursos externos para el apoyo a sus funciones misionales.</v>
      </c>
      <c r="E630" s="61" t="s">
        <v>64</v>
      </c>
      <c r="F630" s="61" t="s">
        <v>64</v>
      </c>
      <c r="G630" s="204" t="s">
        <v>64</v>
      </c>
      <c r="H630" s="204" t="s">
        <v>64</v>
      </c>
      <c r="I630" s="204" t="s">
        <v>64</v>
      </c>
      <c r="J630" s="204" t="s">
        <v>64</v>
      </c>
      <c r="K630" s="204" t="s">
        <v>64</v>
      </c>
      <c r="L630" s="204" t="s">
        <v>64</v>
      </c>
      <c r="M630" s="96" t="s">
        <v>64</v>
      </c>
      <c r="N630" s="96" t="s">
        <v>64</v>
      </c>
      <c r="O630" s="96" t="s">
        <v>64</v>
      </c>
      <c r="P630" s="325"/>
      <c r="Q630" s="325"/>
      <c r="R630" s="17" t="str">
        <f t="shared" si="86"/>
        <v>NA</v>
      </c>
      <c r="S630" s="17" t="str">
        <f t="shared" si="86"/>
        <v>NA</v>
      </c>
      <c r="T630" s="17" t="str">
        <f t="shared" si="86"/>
        <v>NA</v>
      </c>
      <c r="U630" s="328"/>
      <c r="V630" s="328"/>
    </row>
    <row r="631" spans="1:22" ht="48" customHeight="1" x14ac:dyDescent="0.25">
      <c r="A631" s="343"/>
      <c r="B631" s="343"/>
      <c r="C631" s="333" t="str">
        <f>Final!E250</f>
        <v>f</v>
      </c>
      <c r="D631" s="347" t="str">
        <f>Final!F250</f>
        <v>Apreciación de directivos y profesores adscritos al proyecto curricular sobre la suficiencia de los recursos presupuestales de que se dispone en el mismo y sobre la ejecución presupuestal.</v>
      </c>
      <c r="E631" s="11" t="str">
        <f>Apreciación!A282</f>
        <v>Directivos</v>
      </c>
      <c r="F631" s="149" t="str">
        <f>Apreciación!E282</f>
        <v>Conoce las fuentes de financiación con las que se cuenta para el desarrollo de:  Investigación</v>
      </c>
      <c r="G631" s="203">
        <f>Apreciación!F282</f>
        <v>6.6666666666666666E-2</v>
      </c>
      <c r="H631" s="203">
        <f>Apreciación!G282</f>
        <v>6.6666666666666666E-2</v>
      </c>
      <c r="I631" s="203">
        <f>Apreciación!H282</f>
        <v>6.6666666666666666E-2</v>
      </c>
      <c r="J631" s="203">
        <f>Apreciación!I282</f>
        <v>0.26666666666666666</v>
      </c>
      <c r="K631" s="203">
        <f>Apreciación!J282</f>
        <v>0.53333333333333333</v>
      </c>
      <c r="L631" s="203">
        <f>Apreciación!K282</f>
        <v>0</v>
      </c>
      <c r="M631" s="146">
        <f>(G631*$G$2)+(H631*$H$2)+(I631*$I$2)+(J631*$J$2)+(K631*$K$2)+(L631*$L$2)</f>
        <v>4.21</v>
      </c>
      <c r="N631" s="324">
        <f>AVERAGE(M631:M641)</f>
        <v>3.52</v>
      </c>
      <c r="O631" s="324">
        <f>AVERAGE(N631)</f>
        <v>3.52</v>
      </c>
      <c r="P631" s="325"/>
      <c r="Q631" s="325"/>
      <c r="R631" s="17" t="str">
        <f t="shared" si="86"/>
        <v>B</v>
      </c>
      <c r="S631" s="327" t="str">
        <f t="shared" si="86"/>
        <v>C</v>
      </c>
      <c r="T631" s="327" t="str">
        <f t="shared" si="86"/>
        <v>C</v>
      </c>
      <c r="U631" s="328"/>
      <c r="V631" s="328"/>
    </row>
    <row r="632" spans="1:22" ht="24" x14ac:dyDescent="0.25">
      <c r="A632" s="343"/>
      <c r="B632" s="343"/>
      <c r="C632" s="334"/>
      <c r="D632" s="348"/>
      <c r="E632" s="11" t="str">
        <f>Apreciación!A283</f>
        <v>Directivos</v>
      </c>
      <c r="F632" s="12" t="str">
        <f>Apreciación!E283</f>
        <v xml:space="preserve">Conoce las fuentes de financiación con las que se cuenta para el desarrollo de:  Docencia </v>
      </c>
      <c r="G632" s="203">
        <f>Apreciación!F283</f>
        <v>6.6666666666666666E-2</v>
      </c>
      <c r="H632" s="203">
        <f>Apreciación!G283</f>
        <v>6.6666666666666666E-2</v>
      </c>
      <c r="I632" s="203">
        <f>Apreciación!H283</f>
        <v>0.13333333333333333</v>
      </c>
      <c r="J632" s="203">
        <f>Apreciación!I283</f>
        <v>0.33333333333333331</v>
      </c>
      <c r="K632" s="203">
        <f>Apreciación!J283</f>
        <v>0.4</v>
      </c>
      <c r="L632" s="203">
        <f>Apreciación!K283</f>
        <v>0</v>
      </c>
      <c r="M632" s="146">
        <f t="shared" ref="M632:M641" si="87">(G632*$G$2)+(H632*$H$2)+(I632*$I$2)+(J632*$J$2)+(K632*$K$2)+(L632*$L$2)</f>
        <v>4.1033333333333335</v>
      </c>
      <c r="N632" s="325"/>
      <c r="O632" s="325"/>
      <c r="P632" s="325"/>
      <c r="Q632" s="325"/>
      <c r="R632" s="17" t="str">
        <f t="shared" ref="R632:R641" si="88">IF(((M632&gt;=$Z$4)*AND(M632&lt;=$AA$4)),$Y$4,IF(((M632&gt;$AA$4)*AND(M632&lt;=$AA$5)),$Y$5,IF(((M632&gt;$AA$5)*AND(M632&lt;=$AA$6)),$Y$6,IF(((M632&gt;$AA$6)*AND(M632&lt;=$AA$7)),$Y$7,IF(((M632&gt;$AA$7)*AND(M632&lt;=$AA$8)),$Y$8,IF(EXACT(M632,$Y$9),$Z$9))))))</f>
        <v>B</v>
      </c>
      <c r="S632" s="328"/>
      <c r="T632" s="328"/>
      <c r="U632" s="328"/>
      <c r="V632" s="328"/>
    </row>
    <row r="633" spans="1:22" ht="36" x14ac:dyDescent="0.25">
      <c r="A633" s="343"/>
      <c r="B633" s="343"/>
      <c r="C633" s="334"/>
      <c r="D633" s="348"/>
      <c r="E633" s="11" t="str">
        <f>Apreciación!A284</f>
        <v>Directivos</v>
      </c>
      <c r="F633" s="12" t="str">
        <f>Apreciación!E284</f>
        <v>Conoce las fuentes de financiación con las que se cuenta para el desarrollo de:  Extensión y proyección social</v>
      </c>
      <c r="G633" s="203">
        <f>Apreciación!F284</f>
        <v>6.6666666666666666E-2</v>
      </c>
      <c r="H633" s="203">
        <f>Apreciación!G284</f>
        <v>6.6666666666666666E-2</v>
      </c>
      <c r="I633" s="203">
        <f>Apreciación!H284</f>
        <v>0.2</v>
      </c>
      <c r="J633" s="203">
        <f>Apreciación!I284</f>
        <v>0.26666666666666666</v>
      </c>
      <c r="K633" s="203">
        <f>Apreciación!J284</f>
        <v>0.4</v>
      </c>
      <c r="L633" s="203">
        <f>Apreciación!K284</f>
        <v>0</v>
      </c>
      <c r="M633" s="146">
        <f t="shared" si="87"/>
        <v>4.07</v>
      </c>
      <c r="N633" s="325"/>
      <c r="O633" s="325"/>
      <c r="P633" s="325"/>
      <c r="Q633" s="325"/>
      <c r="R633" s="17" t="str">
        <f t="shared" si="88"/>
        <v>B</v>
      </c>
      <c r="S633" s="328"/>
      <c r="T633" s="328"/>
      <c r="U633" s="328"/>
      <c r="V633" s="328"/>
    </row>
    <row r="634" spans="1:22" ht="24" x14ac:dyDescent="0.25">
      <c r="A634" s="343"/>
      <c r="B634" s="343"/>
      <c r="C634" s="334"/>
      <c r="D634" s="348"/>
      <c r="E634" s="11" t="str">
        <f>Apreciación!A285</f>
        <v>Directivos</v>
      </c>
      <c r="F634" s="12" t="str">
        <f>Apreciación!E285</f>
        <v>Considera que los recursos económicos son suficientes para el desarrollo de:  Investigación</v>
      </c>
      <c r="G634" s="203">
        <f>Apreciación!F285</f>
        <v>0.13333333333333333</v>
      </c>
      <c r="H634" s="203">
        <f>Apreciación!G285</f>
        <v>0.13333333333333333</v>
      </c>
      <c r="I634" s="203">
        <f>Apreciación!H285</f>
        <v>0.53333333333333333</v>
      </c>
      <c r="J634" s="203">
        <f>Apreciación!I285</f>
        <v>0.13333333333333333</v>
      </c>
      <c r="K634" s="203">
        <f>Apreciación!J285</f>
        <v>0</v>
      </c>
      <c r="L634" s="203">
        <f>Apreciación!K285</f>
        <v>6.6666666666666666E-2</v>
      </c>
      <c r="M634" s="146">
        <f t="shared" si="87"/>
        <v>3.1533333333333333</v>
      </c>
      <c r="N634" s="325"/>
      <c r="O634" s="325"/>
      <c r="P634" s="325"/>
      <c r="Q634" s="325"/>
      <c r="R634" s="17" t="str">
        <f t="shared" si="88"/>
        <v>D</v>
      </c>
      <c r="S634" s="328"/>
      <c r="T634" s="328"/>
      <c r="U634" s="328"/>
      <c r="V634" s="328"/>
    </row>
    <row r="635" spans="1:22" ht="24" x14ac:dyDescent="0.25">
      <c r="A635" s="343"/>
      <c r="B635" s="343"/>
      <c r="C635" s="334"/>
      <c r="D635" s="348"/>
      <c r="E635" s="11" t="str">
        <f>Apreciación!A286</f>
        <v>Directivos</v>
      </c>
      <c r="F635" s="12" t="str">
        <f>Apreciación!E286</f>
        <v xml:space="preserve">Considera que los recursos económicos son suficientes para el desarrollo de: Docencia </v>
      </c>
      <c r="G635" s="203">
        <f>Apreciación!F286</f>
        <v>0.2</v>
      </c>
      <c r="H635" s="203">
        <f>Apreciación!G286</f>
        <v>0.2</v>
      </c>
      <c r="I635" s="203">
        <f>Apreciación!H286</f>
        <v>0.26666666666666666</v>
      </c>
      <c r="J635" s="203">
        <f>Apreciación!I286</f>
        <v>0.2</v>
      </c>
      <c r="K635" s="203">
        <f>Apreciación!J286</f>
        <v>0</v>
      </c>
      <c r="L635" s="203">
        <f>Apreciación!K286</f>
        <v>0.13333333333333333</v>
      </c>
      <c r="M635" s="146">
        <f t="shared" si="87"/>
        <v>2.7566666666666668</v>
      </c>
      <c r="N635" s="325"/>
      <c r="O635" s="325"/>
      <c r="P635" s="325"/>
      <c r="Q635" s="325"/>
      <c r="R635" s="17" t="str">
        <f t="shared" si="88"/>
        <v>D</v>
      </c>
      <c r="S635" s="328"/>
      <c r="T635" s="328"/>
      <c r="U635" s="328"/>
      <c r="V635" s="328"/>
    </row>
    <row r="636" spans="1:22" ht="36" x14ac:dyDescent="0.25">
      <c r="A636" s="343"/>
      <c r="B636" s="343"/>
      <c r="C636" s="334"/>
      <c r="D636" s="348"/>
      <c r="E636" s="11" t="str">
        <f>Apreciación!A287</f>
        <v>Directivos</v>
      </c>
      <c r="F636" s="12" t="str">
        <f>Apreciación!E287</f>
        <v>Considera que los recursos económicos son suficientes para el desarrollo de: Extensión y proyección social</v>
      </c>
      <c r="G636" s="203">
        <f>Apreciación!F287</f>
        <v>6.6666666666666666E-2</v>
      </c>
      <c r="H636" s="203">
        <f>Apreciación!G287</f>
        <v>0.33333333333333331</v>
      </c>
      <c r="I636" s="203">
        <f>Apreciación!H287</f>
        <v>0.26666666666666666</v>
      </c>
      <c r="J636" s="203">
        <f>Apreciación!I287</f>
        <v>0.13333333333333333</v>
      </c>
      <c r="K636" s="203">
        <f>Apreciación!J287</f>
        <v>6.6666666666666666E-2</v>
      </c>
      <c r="L636" s="203">
        <f>Apreciación!K287</f>
        <v>0.13333333333333333</v>
      </c>
      <c r="M636" s="146">
        <f t="shared" si="87"/>
        <v>2.96</v>
      </c>
      <c r="N636" s="325"/>
      <c r="O636" s="325"/>
      <c r="P636" s="325"/>
      <c r="Q636" s="325"/>
      <c r="R636" s="17" t="str">
        <f t="shared" si="88"/>
        <v>D</v>
      </c>
      <c r="S636" s="328"/>
      <c r="T636" s="328"/>
      <c r="U636" s="328"/>
      <c r="V636" s="328"/>
    </row>
    <row r="637" spans="1:22" ht="36" x14ac:dyDescent="0.25">
      <c r="A637" s="343"/>
      <c r="B637" s="343"/>
      <c r="C637" s="334"/>
      <c r="D637" s="348"/>
      <c r="E637" s="11" t="str">
        <f>Apreciación!A288</f>
        <v>Directivos</v>
      </c>
      <c r="F637" s="12" t="str">
        <f>Apreciación!E288</f>
        <v>Menciona convenios y fuentes de financiación externa (local o extrajera), para el desarrollo de: Investigación</v>
      </c>
      <c r="G637" s="203">
        <f>Apreciación!F288</f>
        <v>0</v>
      </c>
      <c r="H637" s="203">
        <f>Apreciación!G288</f>
        <v>0.13333333333333333</v>
      </c>
      <c r="I637" s="203">
        <f>Apreciación!H288</f>
        <v>6.6666666666666666E-2</v>
      </c>
      <c r="J637" s="203">
        <f>Apreciación!I288</f>
        <v>0.26666666666666666</v>
      </c>
      <c r="K637" s="203">
        <f>Apreciación!J288</f>
        <v>0.4</v>
      </c>
      <c r="L637" s="203">
        <f>Apreciación!K288</f>
        <v>0.13333333333333333</v>
      </c>
      <c r="M637" s="146">
        <f t="shared" si="87"/>
        <v>3.66</v>
      </c>
      <c r="N637" s="325"/>
      <c r="O637" s="325"/>
      <c r="P637" s="325"/>
      <c r="Q637" s="325"/>
      <c r="R637" s="17" t="str">
        <f t="shared" si="88"/>
        <v>C</v>
      </c>
      <c r="S637" s="328"/>
      <c r="T637" s="328"/>
      <c r="U637" s="328"/>
      <c r="V637" s="328"/>
    </row>
    <row r="638" spans="1:22" ht="36" x14ac:dyDescent="0.25">
      <c r="A638" s="343"/>
      <c r="B638" s="343"/>
      <c r="C638" s="334"/>
      <c r="D638" s="348"/>
      <c r="E638" s="11" t="str">
        <f>Apreciación!A289</f>
        <v>Directivos</v>
      </c>
      <c r="F638" s="12" t="str">
        <f>Apreciación!E289</f>
        <v xml:space="preserve">Menciona convenios y fuentes de financiación externa (local o extrajera), para el desarrollo de: Formación docente </v>
      </c>
      <c r="G638" s="203">
        <f>Apreciación!F289</f>
        <v>0</v>
      </c>
      <c r="H638" s="203">
        <f>Apreciación!G289</f>
        <v>0.26666666666666666</v>
      </c>
      <c r="I638" s="203">
        <f>Apreciación!H289</f>
        <v>0.2</v>
      </c>
      <c r="J638" s="203">
        <f>Apreciación!I289</f>
        <v>0.2</v>
      </c>
      <c r="K638" s="203">
        <f>Apreciación!J289</f>
        <v>0.26666666666666666</v>
      </c>
      <c r="L638" s="203">
        <f>Apreciación!K289</f>
        <v>6.6666666666666666E-2</v>
      </c>
      <c r="M638" s="146">
        <f t="shared" si="87"/>
        <v>3.6333333333333337</v>
      </c>
      <c r="N638" s="325"/>
      <c r="O638" s="325"/>
      <c r="P638" s="325"/>
      <c r="Q638" s="325"/>
      <c r="R638" s="17" t="str">
        <f t="shared" si="88"/>
        <v>C</v>
      </c>
      <c r="S638" s="328"/>
      <c r="T638" s="328"/>
      <c r="U638" s="328"/>
      <c r="V638" s="328"/>
    </row>
    <row r="639" spans="1:22" ht="36" x14ac:dyDescent="0.25">
      <c r="A639" s="343"/>
      <c r="B639" s="343"/>
      <c r="C639" s="334"/>
      <c r="D639" s="348"/>
      <c r="E639" s="11" t="str">
        <f>Apreciación!A290</f>
        <v>Directivos</v>
      </c>
      <c r="F639" s="12" t="str">
        <f>Apreciación!E290</f>
        <v>Menciona convenios y fuentes de financiación externa (local o extrajera), para el desarrollo de: Extensión y proyección social</v>
      </c>
      <c r="G639" s="203">
        <f>Apreciación!F290</f>
        <v>0</v>
      </c>
      <c r="H639" s="203">
        <f>Apreciación!G290</f>
        <v>0.13333333333333333</v>
      </c>
      <c r="I639" s="203">
        <f>Apreciación!H290</f>
        <v>0.13333333333333333</v>
      </c>
      <c r="J639" s="203">
        <f>Apreciación!I290</f>
        <v>0.13333333333333333</v>
      </c>
      <c r="K639" s="203">
        <f>Apreciación!J290</f>
        <v>0.4</v>
      </c>
      <c r="L639" s="203">
        <f>Apreciación!K290</f>
        <v>0.2</v>
      </c>
      <c r="M639" s="146">
        <f t="shared" si="87"/>
        <v>3.3466666666666667</v>
      </c>
      <c r="N639" s="325"/>
      <c r="O639" s="325"/>
      <c r="P639" s="325"/>
      <c r="Q639" s="325"/>
      <c r="R639" s="17" t="str">
        <f t="shared" si="88"/>
        <v>D</v>
      </c>
      <c r="S639" s="328"/>
      <c r="T639" s="328"/>
      <c r="U639" s="328"/>
      <c r="V639" s="328"/>
    </row>
    <row r="640" spans="1:22" ht="36" x14ac:dyDescent="0.25">
      <c r="A640" s="343"/>
      <c r="B640" s="343"/>
      <c r="C640" s="334"/>
      <c r="D640" s="348"/>
      <c r="E640" s="11" t="str">
        <f>Apreciación!A294</f>
        <v>Directivos</v>
      </c>
      <c r="F640" s="12" t="str">
        <f>Apreciación!E294</f>
        <v>Menciona los planes de ejecución presupuestal para el mejoramiento de la infraestructura y equipos de apoyo</v>
      </c>
      <c r="G640" s="203">
        <f>Apreciación!F294</f>
        <v>0</v>
      </c>
      <c r="H640" s="203">
        <f>Apreciación!G294</f>
        <v>0.13333333333333333</v>
      </c>
      <c r="I640" s="203">
        <f>Apreciación!H294</f>
        <v>0.13333333333333333</v>
      </c>
      <c r="J640" s="203">
        <f>Apreciación!I294</f>
        <v>0.2</v>
      </c>
      <c r="K640" s="203">
        <f>Apreciación!J294</f>
        <v>0.33333333333333331</v>
      </c>
      <c r="L640" s="203">
        <f>Apreciación!K294</f>
        <v>0.2</v>
      </c>
      <c r="M640" s="146">
        <f t="shared" si="87"/>
        <v>3.31</v>
      </c>
      <c r="N640" s="325"/>
      <c r="O640" s="325"/>
      <c r="P640" s="325"/>
      <c r="Q640" s="325"/>
      <c r="R640" s="17" t="str">
        <f t="shared" si="88"/>
        <v>D</v>
      </c>
      <c r="S640" s="328"/>
      <c r="T640" s="328"/>
      <c r="U640" s="328"/>
      <c r="V640" s="328"/>
    </row>
    <row r="641" spans="1:22" ht="36" x14ac:dyDescent="0.25">
      <c r="A641" s="343"/>
      <c r="B641" s="343"/>
      <c r="C641" s="335"/>
      <c r="D641" s="349"/>
      <c r="E641" s="11" t="str">
        <f>Apreciación!A295</f>
        <v>Directivos</v>
      </c>
      <c r="F641" s="12" t="str">
        <f>Apreciación!E295</f>
        <v>Menciona los medios que se utilizan para garantizar que la ejecución presupuestal sea eficaz y eficiente.</v>
      </c>
      <c r="G641" s="203">
        <f>Apreciación!F295</f>
        <v>0</v>
      </c>
      <c r="H641" s="203">
        <f>Apreciación!G295</f>
        <v>0.13333333333333333</v>
      </c>
      <c r="I641" s="203">
        <f>Apreciación!H295</f>
        <v>0.13333333333333333</v>
      </c>
      <c r="J641" s="203">
        <f>Apreciación!I295</f>
        <v>0.4</v>
      </c>
      <c r="K641" s="203">
        <f>Apreciación!J295</f>
        <v>0.2</v>
      </c>
      <c r="L641" s="203">
        <f>Apreciación!K295</f>
        <v>0.13333333333333333</v>
      </c>
      <c r="M641" s="146">
        <f t="shared" si="87"/>
        <v>3.5166666666666671</v>
      </c>
      <c r="N641" s="326"/>
      <c r="O641" s="326"/>
      <c r="P641" s="325"/>
      <c r="Q641" s="325"/>
      <c r="R641" s="17" t="str">
        <f t="shared" si="88"/>
        <v>C</v>
      </c>
      <c r="S641" s="329"/>
      <c r="T641" s="329"/>
      <c r="U641" s="328"/>
      <c r="V641" s="328"/>
    </row>
    <row r="642" spans="1:22" ht="48" x14ac:dyDescent="0.25">
      <c r="A642" s="343"/>
      <c r="B642" s="343"/>
      <c r="C642" s="58" t="str">
        <f>Final!E251</f>
        <v>g</v>
      </c>
      <c r="D642" s="59" t="str">
        <f>Final!F251</f>
        <v>Existencia de estudio de viabilidad financiera del proyecto curricular, que incluya un plan básico de inversión orientado a la consolidación del Proyecto Educativo.</v>
      </c>
      <c r="E642" s="61" t="s">
        <v>64</v>
      </c>
      <c r="F642" s="61" t="s">
        <v>64</v>
      </c>
      <c r="G642" s="204" t="s">
        <v>64</v>
      </c>
      <c r="H642" s="204" t="s">
        <v>64</v>
      </c>
      <c r="I642" s="204" t="s">
        <v>64</v>
      </c>
      <c r="J642" s="204" t="s">
        <v>64</v>
      </c>
      <c r="K642" s="204" t="s">
        <v>64</v>
      </c>
      <c r="L642" s="204" t="s">
        <v>64</v>
      </c>
      <c r="M642" s="96" t="s">
        <v>64</v>
      </c>
      <c r="N642" s="96" t="s">
        <v>64</v>
      </c>
      <c r="O642" s="96" t="s">
        <v>64</v>
      </c>
      <c r="P642" s="325"/>
      <c r="Q642" s="325"/>
      <c r="R642" s="17" t="str">
        <f t="shared" ref="R642:T647" si="89">IF(((M642&gt;=$Z$4)*AND(M642&lt;=$AA$4)),$Y$4,IF(((M642&gt;$AA$4)*AND(M642&lt;=$AA$5)),$Y$5,IF(((M642&gt;$AA$5)*AND(M642&lt;=$AA$6)),$Y$6,IF(((M642&gt;$AA$6)*AND(M642&lt;=$AA$7)),$Y$7,IF(((M642&gt;$AA$7)*AND(M642&lt;=$AA$8)),$Y$8,IF(EXACT(M642,$Y$9),$Z$9))))))</f>
        <v>NA</v>
      </c>
      <c r="S642" s="17" t="str">
        <f t="shared" si="89"/>
        <v>NA</v>
      </c>
      <c r="T642" s="17" t="str">
        <f t="shared" si="89"/>
        <v>NA</v>
      </c>
      <c r="U642" s="328"/>
      <c r="V642" s="328"/>
    </row>
    <row r="643" spans="1:22" ht="36" x14ac:dyDescent="0.25">
      <c r="A643" s="343"/>
      <c r="B643" s="344"/>
      <c r="C643" s="58" t="str">
        <f>Final!E252</f>
        <v>h</v>
      </c>
      <c r="D643" s="59" t="str">
        <f>Final!F252</f>
        <v>Los planes de mejoramiento del proyecto curricular se soportan en un presupuesto de apropiación programada.</v>
      </c>
      <c r="E643" s="61" t="s">
        <v>64</v>
      </c>
      <c r="F643" s="61" t="s">
        <v>64</v>
      </c>
      <c r="G643" s="204" t="s">
        <v>64</v>
      </c>
      <c r="H643" s="204" t="s">
        <v>64</v>
      </c>
      <c r="I643" s="204" t="s">
        <v>64</v>
      </c>
      <c r="J643" s="204" t="s">
        <v>64</v>
      </c>
      <c r="K643" s="204" t="s">
        <v>64</v>
      </c>
      <c r="L643" s="204" t="s">
        <v>64</v>
      </c>
      <c r="M643" s="96" t="s">
        <v>64</v>
      </c>
      <c r="N643" s="96" t="s">
        <v>64</v>
      </c>
      <c r="O643" s="96" t="s">
        <v>64</v>
      </c>
      <c r="P643" s="326"/>
      <c r="Q643" s="325"/>
      <c r="R643" s="17" t="str">
        <f t="shared" si="89"/>
        <v>NA</v>
      </c>
      <c r="S643" s="17" t="str">
        <f t="shared" si="89"/>
        <v>NA</v>
      </c>
      <c r="T643" s="17" t="str">
        <f t="shared" si="89"/>
        <v>NA</v>
      </c>
      <c r="U643" s="329"/>
      <c r="V643" s="328"/>
    </row>
    <row r="644" spans="1:22" ht="60" x14ac:dyDescent="0.25">
      <c r="A644" s="343"/>
      <c r="B644" s="342">
        <v>40</v>
      </c>
      <c r="C644" s="58" t="str">
        <f>Final!E253</f>
        <v>a</v>
      </c>
      <c r="D644" s="59" t="str">
        <f>Final!F253</f>
        <v>Manejo de los recursos físicos y financieros, en concordancia con los planes de desarrollo, los planes de mejoramiento y el tamaño y la complejidad de la institución y del proyecto curricular.</v>
      </c>
      <c r="E644" s="61" t="s">
        <v>64</v>
      </c>
      <c r="F644" s="61" t="s">
        <v>64</v>
      </c>
      <c r="G644" s="204" t="s">
        <v>64</v>
      </c>
      <c r="H644" s="204" t="s">
        <v>64</v>
      </c>
      <c r="I644" s="204" t="s">
        <v>64</v>
      </c>
      <c r="J644" s="204" t="s">
        <v>64</v>
      </c>
      <c r="K644" s="204" t="s">
        <v>64</v>
      </c>
      <c r="L644" s="204" t="s">
        <v>64</v>
      </c>
      <c r="M644" s="96" t="s">
        <v>64</v>
      </c>
      <c r="N644" s="96" t="s">
        <v>64</v>
      </c>
      <c r="O644" s="96" t="s">
        <v>64</v>
      </c>
      <c r="P644" s="324">
        <f>AVERAGE(O644:O658)</f>
        <v>3.52</v>
      </c>
      <c r="Q644" s="325"/>
      <c r="R644" s="17" t="str">
        <f t="shared" si="89"/>
        <v>NA</v>
      </c>
      <c r="S644" s="17" t="str">
        <f t="shared" si="89"/>
        <v>NA</v>
      </c>
      <c r="T644" s="17" t="str">
        <f t="shared" si="89"/>
        <v>NA</v>
      </c>
      <c r="U644" s="327" t="str">
        <f>IF(((P644&gt;=$Z$4)*AND(P644&lt;=$AA$4)),$Y$4,IF(((P644&gt;$AA$4)*AND(P644&lt;=$AA$5)),$Y$5,IF(((P644&gt;$AA$5)*AND(P644&lt;=$AA$6)),$Y$6,IF(((P644&gt;$AA$6)*AND(P644&lt;=$AA$7)),$Y$7,IF(((P644&gt;$AA$7)*AND(P644&lt;=$AA$8)),$Y$8,IF(EXACT(P644,$Y$9),$Z$9))))))</f>
        <v>C</v>
      </c>
      <c r="V644" s="328"/>
    </row>
    <row r="645" spans="1:22" ht="48" x14ac:dyDescent="0.25">
      <c r="A645" s="343"/>
      <c r="B645" s="343"/>
      <c r="C645" s="58" t="str">
        <f>Final!E254</f>
        <v>b</v>
      </c>
      <c r="D645" s="59" t="str">
        <f>Final!F254</f>
        <v>Criterios y mecanismos para la elaboración, ejecución y seguimiento del presupuesto y para la asignación de recursos físicos y financieros para el proyecto curricular.</v>
      </c>
      <c r="E645" s="61" t="s">
        <v>64</v>
      </c>
      <c r="F645" s="61" t="s">
        <v>64</v>
      </c>
      <c r="G645" s="204" t="s">
        <v>64</v>
      </c>
      <c r="H645" s="204" t="s">
        <v>64</v>
      </c>
      <c r="I645" s="204" t="s">
        <v>64</v>
      </c>
      <c r="J645" s="204" t="s">
        <v>64</v>
      </c>
      <c r="K645" s="204" t="s">
        <v>64</v>
      </c>
      <c r="L645" s="204" t="s">
        <v>64</v>
      </c>
      <c r="M645" s="96" t="s">
        <v>64</v>
      </c>
      <c r="N645" s="96" t="s">
        <v>64</v>
      </c>
      <c r="O645" s="96" t="s">
        <v>64</v>
      </c>
      <c r="P645" s="325"/>
      <c r="Q645" s="325"/>
      <c r="R645" s="17" t="str">
        <f t="shared" si="89"/>
        <v>NA</v>
      </c>
      <c r="S645" s="17" t="str">
        <f t="shared" si="89"/>
        <v>NA</v>
      </c>
      <c r="T645" s="17" t="str">
        <f t="shared" si="89"/>
        <v>NA</v>
      </c>
      <c r="U645" s="328"/>
      <c r="V645" s="328"/>
    </row>
    <row r="646" spans="1:22" ht="36" x14ac:dyDescent="0.25">
      <c r="A646" s="343"/>
      <c r="B646" s="343"/>
      <c r="C646" s="58" t="str">
        <f>Final!E255</f>
        <v>c</v>
      </c>
      <c r="D646" s="59" t="str">
        <f>Final!F255</f>
        <v>Evidencias de los controles legales y administrativos para asegurar el manejo transparente de los recursos.</v>
      </c>
      <c r="E646" s="61" t="s">
        <v>64</v>
      </c>
      <c r="F646" s="61" t="s">
        <v>64</v>
      </c>
      <c r="G646" s="204" t="s">
        <v>64</v>
      </c>
      <c r="H646" s="204" t="s">
        <v>64</v>
      </c>
      <c r="I646" s="204" t="s">
        <v>64</v>
      </c>
      <c r="J646" s="204" t="s">
        <v>64</v>
      </c>
      <c r="K646" s="204" t="s">
        <v>64</v>
      </c>
      <c r="L646" s="204" t="s">
        <v>64</v>
      </c>
      <c r="M646" s="96" t="s">
        <v>64</v>
      </c>
      <c r="N646" s="96" t="s">
        <v>64</v>
      </c>
      <c r="O646" s="96" t="s">
        <v>64</v>
      </c>
      <c r="P646" s="325"/>
      <c r="Q646" s="325"/>
      <c r="R646" s="17" t="str">
        <f t="shared" si="89"/>
        <v>NA</v>
      </c>
      <c r="S646" s="17" t="str">
        <f t="shared" si="89"/>
        <v>NA</v>
      </c>
      <c r="T646" s="17" t="str">
        <f t="shared" si="89"/>
        <v>NA</v>
      </c>
      <c r="U646" s="328"/>
      <c r="V646" s="328"/>
    </row>
    <row r="647" spans="1:22" ht="48" customHeight="1" x14ac:dyDescent="0.25">
      <c r="A647" s="343"/>
      <c r="B647" s="343"/>
      <c r="C647" s="333" t="str">
        <f>Final!E256</f>
        <v>d</v>
      </c>
      <c r="D647" s="347" t="str">
        <f>Final!F256</f>
        <v>Apreciación de directivos y profesores adscritos al proyecto curricular sobre la equidad en la asignación de recursos físicos y financieros para el proyecto curricular.</v>
      </c>
      <c r="E647" s="61" t="str">
        <f>Apreciación!A282</f>
        <v>Directivos</v>
      </c>
      <c r="F647" s="134" t="str">
        <f>Apreciación!E282</f>
        <v>Conoce las fuentes de financiación con las que se cuenta para el desarrollo de:  Investigación</v>
      </c>
      <c r="G647" s="204">
        <f>Apreciación!F282</f>
        <v>6.6666666666666666E-2</v>
      </c>
      <c r="H647" s="204">
        <f>Apreciación!G282</f>
        <v>6.6666666666666666E-2</v>
      </c>
      <c r="I647" s="204">
        <f>Apreciación!H282</f>
        <v>6.6666666666666666E-2</v>
      </c>
      <c r="J647" s="204">
        <f>Apreciación!I282</f>
        <v>0.26666666666666666</v>
      </c>
      <c r="K647" s="204">
        <f>Apreciación!J282</f>
        <v>0.53333333333333333</v>
      </c>
      <c r="L647" s="204">
        <f>Apreciación!K282</f>
        <v>0</v>
      </c>
      <c r="M647" s="146">
        <f>(G647*$G$2)+(H647*$H$2)+(I647*$I$2)+(J647*$J$2)+(K647*$K$2)+(L647*$L$2)</f>
        <v>4.21</v>
      </c>
      <c r="N647" s="324">
        <f>AVERAGE(M647:M657)</f>
        <v>3.52</v>
      </c>
      <c r="O647" s="324">
        <f>AVERAGE(N647)</f>
        <v>3.52</v>
      </c>
      <c r="P647" s="325"/>
      <c r="Q647" s="325"/>
      <c r="R647" s="17" t="str">
        <f t="shared" si="89"/>
        <v>B</v>
      </c>
      <c r="S647" s="327" t="str">
        <f t="shared" si="89"/>
        <v>C</v>
      </c>
      <c r="T647" s="327" t="str">
        <f t="shared" si="89"/>
        <v>C</v>
      </c>
      <c r="U647" s="328"/>
      <c r="V647" s="328"/>
    </row>
    <row r="648" spans="1:22" ht="24" x14ac:dyDescent="0.25">
      <c r="A648" s="343"/>
      <c r="B648" s="343"/>
      <c r="C648" s="334"/>
      <c r="D648" s="348"/>
      <c r="E648" s="61" t="str">
        <f>Apreciación!A283</f>
        <v>Directivos</v>
      </c>
      <c r="F648" s="134" t="str">
        <f>Apreciación!E283</f>
        <v xml:space="preserve">Conoce las fuentes de financiación con las que se cuenta para el desarrollo de:  Docencia </v>
      </c>
      <c r="G648" s="204">
        <f>Apreciación!F283</f>
        <v>6.6666666666666666E-2</v>
      </c>
      <c r="H648" s="204">
        <f>Apreciación!G283</f>
        <v>6.6666666666666666E-2</v>
      </c>
      <c r="I648" s="204">
        <f>Apreciación!H283</f>
        <v>0.13333333333333333</v>
      </c>
      <c r="J648" s="204">
        <f>Apreciación!I283</f>
        <v>0.33333333333333331</v>
      </c>
      <c r="K648" s="204">
        <f>Apreciación!J283</f>
        <v>0.4</v>
      </c>
      <c r="L648" s="204">
        <f>Apreciación!K283</f>
        <v>0</v>
      </c>
      <c r="M648" s="146">
        <f t="shared" ref="M648:M657" si="90">(G648*$G$2)+(H648*$H$2)+(I648*$I$2)+(J648*$J$2)+(K648*$K$2)+(L648*$L$2)</f>
        <v>4.1033333333333335</v>
      </c>
      <c r="N648" s="325"/>
      <c r="O648" s="325"/>
      <c r="P648" s="325"/>
      <c r="Q648" s="325"/>
      <c r="R648" s="17" t="str">
        <f t="shared" ref="R648:R657" si="91">IF(((M648&gt;=$Z$4)*AND(M648&lt;=$AA$4)),$Y$4,IF(((M648&gt;$AA$4)*AND(M648&lt;=$AA$5)),$Y$5,IF(((M648&gt;$AA$5)*AND(M648&lt;=$AA$6)),$Y$6,IF(((M648&gt;$AA$6)*AND(M648&lt;=$AA$7)),$Y$7,IF(((M648&gt;$AA$7)*AND(M648&lt;=$AA$8)),$Y$8,IF(EXACT(M648,$Y$9),$Z$9))))))</f>
        <v>B</v>
      </c>
      <c r="S648" s="328"/>
      <c r="T648" s="328"/>
      <c r="U648" s="328"/>
      <c r="V648" s="328"/>
    </row>
    <row r="649" spans="1:22" ht="36" x14ac:dyDescent="0.25">
      <c r="A649" s="343"/>
      <c r="B649" s="343"/>
      <c r="C649" s="334"/>
      <c r="D649" s="348"/>
      <c r="E649" s="61" t="str">
        <f>Apreciación!A284</f>
        <v>Directivos</v>
      </c>
      <c r="F649" s="134" t="str">
        <f>Apreciación!E284</f>
        <v>Conoce las fuentes de financiación con las que se cuenta para el desarrollo de:  Extensión y proyección social</v>
      </c>
      <c r="G649" s="204">
        <f>Apreciación!F284</f>
        <v>6.6666666666666666E-2</v>
      </c>
      <c r="H649" s="204">
        <f>Apreciación!G284</f>
        <v>6.6666666666666666E-2</v>
      </c>
      <c r="I649" s="204">
        <f>Apreciación!H284</f>
        <v>0.2</v>
      </c>
      <c r="J649" s="204">
        <f>Apreciación!I284</f>
        <v>0.26666666666666666</v>
      </c>
      <c r="K649" s="204">
        <f>Apreciación!J284</f>
        <v>0.4</v>
      </c>
      <c r="L649" s="204">
        <f>Apreciación!K284</f>
        <v>0</v>
      </c>
      <c r="M649" s="146">
        <f t="shared" si="90"/>
        <v>4.07</v>
      </c>
      <c r="N649" s="325"/>
      <c r="O649" s="325"/>
      <c r="P649" s="325"/>
      <c r="Q649" s="325"/>
      <c r="R649" s="17" t="str">
        <f t="shared" si="91"/>
        <v>B</v>
      </c>
      <c r="S649" s="328"/>
      <c r="T649" s="328"/>
      <c r="U649" s="328"/>
      <c r="V649" s="328"/>
    </row>
    <row r="650" spans="1:22" ht="24" x14ac:dyDescent="0.25">
      <c r="A650" s="343"/>
      <c r="B650" s="343"/>
      <c r="C650" s="334"/>
      <c r="D650" s="348"/>
      <c r="E650" s="61" t="str">
        <f>Apreciación!A285</f>
        <v>Directivos</v>
      </c>
      <c r="F650" s="134" t="str">
        <f>Apreciación!E285</f>
        <v>Considera que los recursos económicos son suficientes para el desarrollo de:  Investigación</v>
      </c>
      <c r="G650" s="204">
        <f>Apreciación!F285</f>
        <v>0.13333333333333333</v>
      </c>
      <c r="H650" s="204">
        <f>Apreciación!G285</f>
        <v>0.13333333333333333</v>
      </c>
      <c r="I650" s="204">
        <f>Apreciación!H285</f>
        <v>0.53333333333333333</v>
      </c>
      <c r="J650" s="204">
        <f>Apreciación!I285</f>
        <v>0.13333333333333333</v>
      </c>
      <c r="K650" s="204">
        <f>Apreciación!J285</f>
        <v>0</v>
      </c>
      <c r="L650" s="204">
        <f>Apreciación!K285</f>
        <v>6.6666666666666666E-2</v>
      </c>
      <c r="M650" s="146">
        <f t="shared" si="90"/>
        <v>3.1533333333333333</v>
      </c>
      <c r="N650" s="325"/>
      <c r="O650" s="325"/>
      <c r="P650" s="325"/>
      <c r="Q650" s="325"/>
      <c r="R650" s="17" t="str">
        <f t="shared" si="91"/>
        <v>D</v>
      </c>
      <c r="S650" s="328"/>
      <c r="T650" s="328"/>
      <c r="U650" s="328"/>
      <c r="V650" s="328"/>
    </row>
    <row r="651" spans="1:22" ht="24" x14ac:dyDescent="0.25">
      <c r="A651" s="343"/>
      <c r="B651" s="343"/>
      <c r="C651" s="334"/>
      <c r="D651" s="348"/>
      <c r="E651" s="61" t="str">
        <f>Apreciación!A286</f>
        <v>Directivos</v>
      </c>
      <c r="F651" s="134" t="str">
        <f>Apreciación!E286</f>
        <v xml:space="preserve">Considera que los recursos económicos son suficientes para el desarrollo de: Docencia </v>
      </c>
      <c r="G651" s="204">
        <f>Apreciación!F286</f>
        <v>0.2</v>
      </c>
      <c r="H651" s="204">
        <f>Apreciación!G286</f>
        <v>0.2</v>
      </c>
      <c r="I651" s="204">
        <f>Apreciación!H286</f>
        <v>0.26666666666666666</v>
      </c>
      <c r="J651" s="204">
        <f>Apreciación!I286</f>
        <v>0.2</v>
      </c>
      <c r="K651" s="204">
        <f>Apreciación!J286</f>
        <v>0</v>
      </c>
      <c r="L651" s="204">
        <f>Apreciación!K286</f>
        <v>0.13333333333333333</v>
      </c>
      <c r="M651" s="146">
        <f t="shared" si="90"/>
        <v>2.7566666666666668</v>
      </c>
      <c r="N651" s="325"/>
      <c r="O651" s="325"/>
      <c r="P651" s="325"/>
      <c r="Q651" s="325"/>
      <c r="R651" s="17" t="str">
        <f t="shared" si="91"/>
        <v>D</v>
      </c>
      <c r="S651" s="328"/>
      <c r="T651" s="328"/>
      <c r="U651" s="328"/>
      <c r="V651" s="328"/>
    </row>
    <row r="652" spans="1:22" ht="36" x14ac:dyDescent="0.25">
      <c r="A652" s="343"/>
      <c r="B652" s="343"/>
      <c r="C652" s="334"/>
      <c r="D652" s="348"/>
      <c r="E652" s="61" t="str">
        <f>Apreciación!A287</f>
        <v>Directivos</v>
      </c>
      <c r="F652" s="134" t="str">
        <f>Apreciación!E287</f>
        <v>Considera que los recursos económicos son suficientes para el desarrollo de: Extensión y proyección social</v>
      </c>
      <c r="G652" s="204">
        <f>Apreciación!F287</f>
        <v>6.6666666666666666E-2</v>
      </c>
      <c r="H652" s="204">
        <f>Apreciación!G287</f>
        <v>0.33333333333333331</v>
      </c>
      <c r="I652" s="204">
        <f>Apreciación!H287</f>
        <v>0.26666666666666666</v>
      </c>
      <c r="J652" s="204">
        <f>Apreciación!I287</f>
        <v>0.13333333333333333</v>
      </c>
      <c r="K652" s="204">
        <f>Apreciación!J287</f>
        <v>6.6666666666666666E-2</v>
      </c>
      <c r="L652" s="204">
        <f>Apreciación!K287</f>
        <v>0.13333333333333333</v>
      </c>
      <c r="M652" s="146">
        <f t="shared" si="90"/>
        <v>2.96</v>
      </c>
      <c r="N652" s="325"/>
      <c r="O652" s="325"/>
      <c r="P652" s="325"/>
      <c r="Q652" s="325"/>
      <c r="R652" s="17" t="str">
        <f t="shared" si="91"/>
        <v>D</v>
      </c>
      <c r="S652" s="328"/>
      <c r="T652" s="328"/>
      <c r="U652" s="328"/>
      <c r="V652" s="328"/>
    </row>
    <row r="653" spans="1:22" ht="36" x14ac:dyDescent="0.25">
      <c r="A653" s="343"/>
      <c r="B653" s="343"/>
      <c r="C653" s="334"/>
      <c r="D653" s="348"/>
      <c r="E653" s="61" t="str">
        <f>Apreciación!A288</f>
        <v>Directivos</v>
      </c>
      <c r="F653" s="134" t="str">
        <f>Apreciación!E288</f>
        <v>Menciona convenios y fuentes de financiación externa (local o extrajera), para el desarrollo de: Investigación</v>
      </c>
      <c r="G653" s="204">
        <f>Apreciación!F288</f>
        <v>0</v>
      </c>
      <c r="H653" s="204">
        <f>Apreciación!G288</f>
        <v>0.13333333333333333</v>
      </c>
      <c r="I653" s="204">
        <f>Apreciación!H288</f>
        <v>6.6666666666666666E-2</v>
      </c>
      <c r="J653" s="204">
        <f>Apreciación!I288</f>
        <v>0.26666666666666666</v>
      </c>
      <c r="K653" s="204">
        <f>Apreciación!J288</f>
        <v>0.4</v>
      </c>
      <c r="L653" s="204">
        <f>Apreciación!K288</f>
        <v>0.13333333333333333</v>
      </c>
      <c r="M653" s="146">
        <f t="shared" si="90"/>
        <v>3.66</v>
      </c>
      <c r="N653" s="325"/>
      <c r="O653" s="325"/>
      <c r="P653" s="325"/>
      <c r="Q653" s="325"/>
      <c r="R653" s="17" t="str">
        <f t="shared" si="91"/>
        <v>C</v>
      </c>
      <c r="S653" s="328"/>
      <c r="T653" s="328"/>
      <c r="U653" s="328"/>
      <c r="V653" s="328"/>
    </row>
    <row r="654" spans="1:22" ht="36" x14ac:dyDescent="0.25">
      <c r="A654" s="343"/>
      <c r="B654" s="343"/>
      <c r="C654" s="334"/>
      <c r="D654" s="348"/>
      <c r="E654" s="61" t="str">
        <f>Apreciación!A289</f>
        <v>Directivos</v>
      </c>
      <c r="F654" s="134" t="str">
        <f>Apreciación!E289</f>
        <v xml:space="preserve">Menciona convenios y fuentes de financiación externa (local o extrajera), para el desarrollo de: Formación docente </v>
      </c>
      <c r="G654" s="204">
        <f>Apreciación!F289</f>
        <v>0</v>
      </c>
      <c r="H654" s="204">
        <f>Apreciación!G289</f>
        <v>0.26666666666666666</v>
      </c>
      <c r="I654" s="204">
        <f>Apreciación!H289</f>
        <v>0.2</v>
      </c>
      <c r="J654" s="204">
        <f>Apreciación!I289</f>
        <v>0.2</v>
      </c>
      <c r="K654" s="204">
        <f>Apreciación!J289</f>
        <v>0.26666666666666666</v>
      </c>
      <c r="L654" s="204">
        <f>Apreciación!K289</f>
        <v>6.6666666666666666E-2</v>
      </c>
      <c r="M654" s="146">
        <f t="shared" si="90"/>
        <v>3.6333333333333337</v>
      </c>
      <c r="N654" s="325"/>
      <c r="O654" s="325"/>
      <c r="P654" s="325"/>
      <c r="Q654" s="325"/>
      <c r="R654" s="17" t="str">
        <f t="shared" si="91"/>
        <v>C</v>
      </c>
      <c r="S654" s="328"/>
      <c r="T654" s="328"/>
      <c r="U654" s="328"/>
      <c r="V654" s="328"/>
    </row>
    <row r="655" spans="1:22" ht="36" x14ac:dyDescent="0.25">
      <c r="A655" s="343"/>
      <c r="B655" s="343"/>
      <c r="C655" s="334"/>
      <c r="D655" s="348"/>
      <c r="E655" s="61" t="str">
        <f>Apreciación!A290</f>
        <v>Directivos</v>
      </c>
      <c r="F655" s="134" t="str">
        <f>Apreciación!E290</f>
        <v>Menciona convenios y fuentes de financiación externa (local o extrajera), para el desarrollo de: Extensión y proyección social</v>
      </c>
      <c r="G655" s="204">
        <f>Apreciación!F290</f>
        <v>0</v>
      </c>
      <c r="H655" s="204">
        <f>Apreciación!G290</f>
        <v>0.13333333333333333</v>
      </c>
      <c r="I655" s="204">
        <f>Apreciación!H290</f>
        <v>0.13333333333333333</v>
      </c>
      <c r="J655" s="204">
        <f>Apreciación!I290</f>
        <v>0.13333333333333333</v>
      </c>
      <c r="K655" s="204">
        <f>Apreciación!J290</f>
        <v>0.4</v>
      </c>
      <c r="L655" s="204">
        <f>Apreciación!K290</f>
        <v>0.2</v>
      </c>
      <c r="M655" s="146">
        <f t="shared" si="90"/>
        <v>3.3466666666666667</v>
      </c>
      <c r="N655" s="325"/>
      <c r="O655" s="325"/>
      <c r="P655" s="325"/>
      <c r="Q655" s="325"/>
      <c r="R655" s="17" t="str">
        <f t="shared" si="91"/>
        <v>D</v>
      </c>
      <c r="S655" s="328"/>
      <c r="T655" s="328"/>
      <c r="U655" s="328"/>
      <c r="V655" s="328"/>
    </row>
    <row r="656" spans="1:22" ht="36" x14ac:dyDescent="0.25">
      <c r="A656" s="343"/>
      <c r="B656" s="343"/>
      <c r="C656" s="334"/>
      <c r="D656" s="348"/>
      <c r="E656" s="61" t="str">
        <f>Apreciación!A294</f>
        <v>Directivos</v>
      </c>
      <c r="F656" s="134" t="str">
        <f>Apreciación!E294</f>
        <v>Menciona los planes de ejecución presupuestal para el mejoramiento de la infraestructura y equipos de apoyo</v>
      </c>
      <c r="G656" s="204">
        <f>Apreciación!F294</f>
        <v>0</v>
      </c>
      <c r="H656" s="204">
        <f>Apreciación!G294</f>
        <v>0.13333333333333333</v>
      </c>
      <c r="I656" s="204">
        <f>Apreciación!H294</f>
        <v>0.13333333333333333</v>
      </c>
      <c r="J656" s="204">
        <f>Apreciación!I294</f>
        <v>0.2</v>
      </c>
      <c r="K656" s="204">
        <f>Apreciación!J294</f>
        <v>0.33333333333333331</v>
      </c>
      <c r="L656" s="204">
        <f>Apreciación!K294</f>
        <v>0.2</v>
      </c>
      <c r="M656" s="146">
        <f t="shared" si="90"/>
        <v>3.31</v>
      </c>
      <c r="N656" s="325"/>
      <c r="O656" s="325"/>
      <c r="P656" s="325"/>
      <c r="Q656" s="325"/>
      <c r="R656" s="17" t="str">
        <f t="shared" si="91"/>
        <v>D</v>
      </c>
      <c r="S656" s="328"/>
      <c r="T656" s="328"/>
      <c r="U656" s="328"/>
      <c r="V656" s="328"/>
    </row>
    <row r="657" spans="1:22" ht="36" x14ac:dyDescent="0.25">
      <c r="A657" s="343"/>
      <c r="B657" s="343"/>
      <c r="C657" s="335"/>
      <c r="D657" s="349"/>
      <c r="E657" s="61" t="str">
        <f>Apreciación!A295</f>
        <v>Directivos</v>
      </c>
      <c r="F657" s="134" t="str">
        <f>Apreciación!E295</f>
        <v>Menciona los medios que se utilizan para garantizar que la ejecución presupuestal sea eficaz y eficiente.</v>
      </c>
      <c r="G657" s="204">
        <f>Apreciación!F295</f>
        <v>0</v>
      </c>
      <c r="H657" s="204">
        <f>Apreciación!G295</f>
        <v>0.13333333333333333</v>
      </c>
      <c r="I657" s="204">
        <f>Apreciación!H295</f>
        <v>0.13333333333333333</v>
      </c>
      <c r="J657" s="204">
        <f>Apreciación!I295</f>
        <v>0.4</v>
      </c>
      <c r="K657" s="204">
        <f>Apreciación!J295</f>
        <v>0.2</v>
      </c>
      <c r="L657" s="204">
        <f>Apreciación!K295</f>
        <v>0.13333333333333333</v>
      </c>
      <c r="M657" s="146">
        <f t="shared" si="90"/>
        <v>3.5166666666666671</v>
      </c>
      <c r="N657" s="326"/>
      <c r="O657" s="326"/>
      <c r="P657" s="325"/>
      <c r="Q657" s="325"/>
      <c r="R657" s="17" t="str">
        <f t="shared" si="91"/>
        <v>C</v>
      </c>
      <c r="S657" s="329"/>
      <c r="T657" s="329"/>
      <c r="U657" s="328"/>
      <c r="V657" s="328"/>
    </row>
    <row r="658" spans="1:22" ht="84" x14ac:dyDescent="0.25">
      <c r="A658" s="344"/>
      <c r="B658" s="344"/>
      <c r="C658" s="58" t="str">
        <f>Final!E257</f>
        <v>e</v>
      </c>
      <c r="D658" s="59" t="str">
        <f>Final!F257</f>
        <v>En los programas de salud, donde sea pertinente, evidencia las dinámicas de administración compartida entre las Institución de Educación Superior y el Hospital Universitario o la IPS, en cuanto a convenios docentes-asistenciales y escenarios de prácticas, entre otros.</v>
      </c>
      <c r="E658" s="61" t="s">
        <v>64</v>
      </c>
      <c r="F658" s="61" t="s">
        <v>64</v>
      </c>
      <c r="G658" s="204" t="s">
        <v>64</v>
      </c>
      <c r="H658" s="204" t="s">
        <v>64</v>
      </c>
      <c r="I658" s="204" t="s">
        <v>64</v>
      </c>
      <c r="J658" s="204" t="s">
        <v>64</v>
      </c>
      <c r="K658" s="204" t="s">
        <v>64</v>
      </c>
      <c r="L658" s="204" t="s">
        <v>64</v>
      </c>
      <c r="M658" s="96" t="s">
        <v>64</v>
      </c>
      <c r="N658" s="96" t="s">
        <v>64</v>
      </c>
      <c r="O658" s="96" t="s">
        <v>64</v>
      </c>
      <c r="P658" s="326"/>
      <c r="Q658" s="326"/>
      <c r="R658" s="17" t="str">
        <f>IF(((M658&gt;=$Z$4)*AND(M658&lt;=$AA$4)),$Y$4,IF(((M658&gt;$AA$4)*AND(M658&lt;=$AA$5)),$Y$5,IF(((M658&gt;$AA$5)*AND(M658&lt;=$AA$6)),$Y$6,IF(((M658&gt;$AA$6)*AND(M658&lt;=$AA$7)),$Y$7,IF(((M658&gt;$AA$7)*AND(M658&lt;=$AA$8)),$Y$8,IF(EXACT(M658,$Y$9),$Z$9))))))</f>
        <v>NA</v>
      </c>
      <c r="S658" s="17" t="str">
        <f>IF(((N658&gt;=$Z$4)*AND(N658&lt;=$AA$4)),$Y$4,IF(((N658&gt;$AA$4)*AND(N658&lt;=$AA$5)),$Y$5,IF(((N658&gt;$AA$5)*AND(N658&lt;=$AA$6)),$Y$6,IF(((N658&gt;$AA$6)*AND(N658&lt;=$AA$7)),$Y$7,IF(((N658&gt;$AA$7)*AND(N658&lt;=$AA$8)),$Y$8,IF(EXACT(N658,$Y$9),$Z$9))))))</f>
        <v>NA</v>
      </c>
      <c r="T658" s="17" t="str">
        <f>IF(((O658&gt;=$Z$4)*AND(O658&lt;=$AA$4)),$Y$4,IF(((O658&gt;$AA$4)*AND(O658&lt;=$AA$5)),$Y$5,IF(((O658&gt;$AA$5)*AND(O658&lt;=$AA$6)),$Y$6,IF(((O658&gt;$AA$6)*AND(O658&lt;=$AA$7)),$Y$7,IF(((O658&gt;$AA$7)*AND(O658&lt;=$AA$8)),$Y$8,IF(EXACT(O658,$Y$9),$Z$9))))))</f>
        <v>NA</v>
      </c>
      <c r="U658" s="329"/>
      <c r="V658" s="329"/>
    </row>
  </sheetData>
  <autoFilter ref="A3:AA658">
    <filterColumn colId="25" showButton="0"/>
  </autoFilter>
  <mergeCells count="590">
    <mergeCell ref="V613:V658"/>
    <mergeCell ref="O131:O132"/>
    <mergeCell ref="P644:P658"/>
    <mergeCell ref="Q613:Q658"/>
    <mergeCell ref="S616:S618"/>
    <mergeCell ref="S619:S621"/>
    <mergeCell ref="S622:S624"/>
    <mergeCell ref="T616:T624"/>
    <mergeCell ref="U613:U625"/>
    <mergeCell ref="U626:U643"/>
    <mergeCell ref="U644:U658"/>
    <mergeCell ref="U517:U545"/>
    <mergeCell ref="U546:U564"/>
    <mergeCell ref="U596:U612"/>
    <mergeCell ref="U583:U595"/>
    <mergeCell ref="V583:V612"/>
    <mergeCell ref="T252:T295"/>
    <mergeCell ref="S567:S568"/>
    <mergeCell ref="T296:T301"/>
    <mergeCell ref="S234:S238"/>
    <mergeCell ref="S247:S249"/>
    <mergeCell ref="O243:O245"/>
    <mergeCell ref="S517:S519"/>
    <mergeCell ref="T558:T562"/>
    <mergeCell ref="A517:A581"/>
    <mergeCell ref="C538:C545"/>
    <mergeCell ref="N622:N624"/>
    <mergeCell ref="O616:O624"/>
    <mergeCell ref="P613:P625"/>
    <mergeCell ref="Q583:Q612"/>
    <mergeCell ref="P517:P545"/>
    <mergeCell ref="P546:P564"/>
    <mergeCell ref="O534:O537"/>
    <mergeCell ref="O538:O545"/>
    <mergeCell ref="O551:O557"/>
    <mergeCell ref="P565:P582"/>
    <mergeCell ref="Q517:Q582"/>
    <mergeCell ref="O528:O530"/>
    <mergeCell ref="O558:O562"/>
    <mergeCell ref="N556:N557"/>
    <mergeCell ref="O523:O527"/>
    <mergeCell ref="O565:O570"/>
    <mergeCell ref="A583:A612"/>
    <mergeCell ref="P583:P595"/>
    <mergeCell ref="N599:N612"/>
    <mergeCell ref="O599:O612"/>
    <mergeCell ref="P596:P612"/>
    <mergeCell ref="O585:O588"/>
    <mergeCell ref="S565:S566"/>
    <mergeCell ref="T528:T530"/>
    <mergeCell ref="S569:S570"/>
    <mergeCell ref="P129:P179"/>
    <mergeCell ref="O129:O130"/>
    <mergeCell ref="O350:O354"/>
    <mergeCell ref="N347:N348"/>
    <mergeCell ref="P180:P242"/>
    <mergeCell ref="N240:N241"/>
    <mergeCell ref="N517:N519"/>
    <mergeCell ref="N534:N537"/>
    <mergeCell ref="O517:O522"/>
    <mergeCell ref="O252:O295"/>
    <mergeCell ref="O476:O477"/>
    <mergeCell ref="P410:P424"/>
    <mergeCell ref="O360:O366"/>
    <mergeCell ref="O343:O344"/>
    <mergeCell ref="O346:O348"/>
    <mergeCell ref="O430:O450"/>
    <mergeCell ref="N365:N366"/>
    <mergeCell ref="N204:N206"/>
    <mergeCell ref="O180:O202"/>
    <mergeCell ref="N207:N208"/>
    <mergeCell ref="S137:S139"/>
    <mergeCell ref="D137:D142"/>
    <mergeCell ref="D129:D130"/>
    <mergeCell ref="N137:N139"/>
    <mergeCell ref="D204:D208"/>
    <mergeCell ref="D346:D348"/>
    <mergeCell ref="D247:D251"/>
    <mergeCell ref="O168:O178"/>
    <mergeCell ref="D336:D338"/>
    <mergeCell ref="D314:D331"/>
    <mergeCell ref="N302:N303"/>
    <mergeCell ref="N305:N309"/>
    <mergeCell ref="D220:D229"/>
    <mergeCell ref="D243:D245"/>
    <mergeCell ref="D230:D241"/>
    <mergeCell ref="O210:O217"/>
    <mergeCell ref="O220:O229"/>
    <mergeCell ref="N336:N338"/>
    <mergeCell ref="N314:N319"/>
    <mergeCell ref="N322:N330"/>
    <mergeCell ref="O336:O338"/>
    <mergeCell ref="O314:O331"/>
    <mergeCell ref="O296:O301"/>
    <mergeCell ref="O302:O309"/>
    <mergeCell ref="N180:N189"/>
    <mergeCell ref="A4:A43"/>
    <mergeCell ref="A44:A74"/>
    <mergeCell ref="B53:B56"/>
    <mergeCell ref="B57:B65"/>
    <mergeCell ref="B66:B74"/>
    <mergeCell ref="C44:C49"/>
    <mergeCell ref="C67:C69"/>
    <mergeCell ref="C71:C73"/>
    <mergeCell ref="C83:C84"/>
    <mergeCell ref="C77:C81"/>
    <mergeCell ref="B75:B81"/>
    <mergeCell ref="B82:B88"/>
    <mergeCell ref="C54:C55"/>
    <mergeCell ref="C59:C64"/>
    <mergeCell ref="C25:C30"/>
    <mergeCell ref="A75:A128"/>
    <mergeCell ref="C126:C128"/>
    <mergeCell ref="C37:C38"/>
    <mergeCell ref="C35:C36"/>
    <mergeCell ref="A451:A469"/>
    <mergeCell ref="A470:A494"/>
    <mergeCell ref="A495:A516"/>
    <mergeCell ref="A613:A658"/>
    <mergeCell ref="B4:B23"/>
    <mergeCell ref="B24:B32"/>
    <mergeCell ref="B583:B595"/>
    <mergeCell ref="B451:B461"/>
    <mergeCell ref="B462:B469"/>
    <mergeCell ref="B487:B494"/>
    <mergeCell ref="B119:B121"/>
    <mergeCell ref="B495:B513"/>
    <mergeCell ref="B514:B516"/>
    <mergeCell ref="B350:B358"/>
    <mergeCell ref="B359:B374"/>
    <mergeCell ref="B375:B398"/>
    <mergeCell ref="B129:B179"/>
    <mergeCell ref="B180:B242"/>
    <mergeCell ref="B252:B340"/>
    <mergeCell ref="B341:B349"/>
    <mergeCell ref="B399:B409"/>
    <mergeCell ref="B410:B424"/>
    <mergeCell ref="B33:B43"/>
    <mergeCell ref="B44:B52"/>
    <mergeCell ref="Z3:AA3"/>
    <mergeCell ref="T4:T18"/>
    <mergeCell ref="N15:N18"/>
    <mergeCell ref="O4:O18"/>
    <mergeCell ref="N25:N27"/>
    <mergeCell ref="N28:N29"/>
    <mergeCell ref="B89:B104"/>
    <mergeCell ref="V4:V43"/>
    <mergeCell ref="N46:N47"/>
    <mergeCell ref="N48:N49"/>
    <mergeCell ref="O44:O49"/>
    <mergeCell ref="P44:P52"/>
    <mergeCell ref="S44:S45"/>
    <mergeCell ref="S46:S47"/>
    <mergeCell ref="S48:S49"/>
    <mergeCell ref="T44:T49"/>
    <mergeCell ref="U33:U43"/>
    <mergeCell ref="C4:C18"/>
    <mergeCell ref="U66:U74"/>
    <mergeCell ref="Q44:Q74"/>
    <mergeCell ref="V44:V74"/>
    <mergeCell ref="O67:O69"/>
    <mergeCell ref="N71:N73"/>
    <mergeCell ref="O71:O73"/>
    <mergeCell ref="U57:U65"/>
    <mergeCell ref="U44:U52"/>
    <mergeCell ref="P53:P56"/>
    <mergeCell ref="T67:T69"/>
    <mergeCell ref="T71:T73"/>
    <mergeCell ref="D71:D73"/>
    <mergeCell ref="P57:P65"/>
    <mergeCell ref="D67:D69"/>
    <mergeCell ref="D59:D64"/>
    <mergeCell ref="N59:N64"/>
    <mergeCell ref="S68:S69"/>
    <mergeCell ref="S71:S73"/>
    <mergeCell ref="N68:N69"/>
    <mergeCell ref="O59:O64"/>
    <mergeCell ref="S59:S64"/>
    <mergeCell ref="T59:T64"/>
    <mergeCell ref="O54:O55"/>
    <mergeCell ref="T54:T55"/>
    <mergeCell ref="D25:D30"/>
    <mergeCell ref="T25:T30"/>
    <mergeCell ref="D44:D49"/>
    <mergeCell ref="N44:N45"/>
    <mergeCell ref="O25:O30"/>
    <mergeCell ref="D37:D38"/>
    <mergeCell ref="N37:N38"/>
    <mergeCell ref="O37:O38"/>
    <mergeCell ref="S37:S38"/>
    <mergeCell ref="T37:T38"/>
    <mergeCell ref="D35:D36"/>
    <mergeCell ref="N35:N36"/>
    <mergeCell ref="O35:O36"/>
    <mergeCell ref="S35:S36"/>
    <mergeCell ref="T35:T36"/>
    <mergeCell ref="D77:D81"/>
    <mergeCell ref="N77:N78"/>
    <mergeCell ref="N79:N81"/>
    <mergeCell ref="O83:O84"/>
    <mergeCell ref="T83:T84"/>
    <mergeCell ref="D1:V1"/>
    <mergeCell ref="N4:N6"/>
    <mergeCell ref="N7:N10"/>
    <mergeCell ref="N11:N14"/>
    <mergeCell ref="D4:D18"/>
    <mergeCell ref="S4:S6"/>
    <mergeCell ref="S7:S10"/>
    <mergeCell ref="S11:S14"/>
    <mergeCell ref="S15:S18"/>
    <mergeCell ref="U4:U23"/>
    <mergeCell ref="U24:U32"/>
    <mergeCell ref="P24:P32"/>
    <mergeCell ref="P33:P43"/>
    <mergeCell ref="Q4:Q43"/>
    <mergeCell ref="P4:P23"/>
    <mergeCell ref="S25:S27"/>
    <mergeCell ref="S28:S29"/>
    <mergeCell ref="D54:D55"/>
    <mergeCell ref="U53:U56"/>
    <mergeCell ref="D107:D108"/>
    <mergeCell ref="C107:C108"/>
    <mergeCell ref="N107:N108"/>
    <mergeCell ref="O107:O108"/>
    <mergeCell ref="P105:P111"/>
    <mergeCell ref="D95:D103"/>
    <mergeCell ref="C95:C103"/>
    <mergeCell ref="N95:N98"/>
    <mergeCell ref="N99:N103"/>
    <mergeCell ref="O95:O103"/>
    <mergeCell ref="P89:P104"/>
    <mergeCell ref="D126:D128"/>
    <mergeCell ref="P82:P88"/>
    <mergeCell ref="B105:B111"/>
    <mergeCell ref="B112:B114"/>
    <mergeCell ref="B115:B118"/>
    <mergeCell ref="D83:D84"/>
    <mergeCell ref="B122:B128"/>
    <mergeCell ref="U75:U81"/>
    <mergeCell ref="U82:U88"/>
    <mergeCell ref="U89:U104"/>
    <mergeCell ref="U105:U111"/>
    <mergeCell ref="U112:U114"/>
    <mergeCell ref="U115:U118"/>
    <mergeCell ref="U119:U121"/>
    <mergeCell ref="U122:U128"/>
    <mergeCell ref="P122:P128"/>
    <mergeCell ref="Q75:Q128"/>
    <mergeCell ref="S77:S78"/>
    <mergeCell ref="S79:S81"/>
    <mergeCell ref="S95:S98"/>
    <mergeCell ref="S99:S103"/>
    <mergeCell ref="S107:S108"/>
    <mergeCell ref="P112:P114"/>
    <mergeCell ref="P115:P118"/>
    <mergeCell ref="V75:V128"/>
    <mergeCell ref="S146:S150"/>
    <mergeCell ref="S151:S160"/>
    <mergeCell ref="S190:S200"/>
    <mergeCell ref="S215:S217"/>
    <mergeCell ref="T210:T217"/>
    <mergeCell ref="A129:A450"/>
    <mergeCell ref="T137:T142"/>
    <mergeCell ref="N430:N436"/>
    <mergeCell ref="N437:N443"/>
    <mergeCell ref="N444:N450"/>
    <mergeCell ref="D415:D424"/>
    <mergeCell ref="C415:C424"/>
    <mergeCell ref="D430:D450"/>
    <mergeCell ref="C430:C450"/>
    <mergeCell ref="N421:N424"/>
    <mergeCell ref="O415:O424"/>
    <mergeCell ref="C129:C130"/>
    <mergeCell ref="D131:D132"/>
    <mergeCell ref="C131:C132"/>
    <mergeCell ref="N151:N160"/>
    <mergeCell ref="N190:N200"/>
    <mergeCell ref="T243:T245"/>
    <mergeCell ref="T204:T208"/>
    <mergeCell ref="V495:V516"/>
    <mergeCell ref="U243:U251"/>
    <mergeCell ref="V129:V450"/>
    <mergeCell ref="S444:S450"/>
    <mergeCell ref="U180:U242"/>
    <mergeCell ref="U252:U340"/>
    <mergeCell ref="U341:U349"/>
    <mergeCell ref="U350:U358"/>
    <mergeCell ref="U359:U374"/>
    <mergeCell ref="U375:U398"/>
    <mergeCell ref="U399:U409"/>
    <mergeCell ref="U410:U424"/>
    <mergeCell ref="U425:U450"/>
    <mergeCell ref="T302:T309"/>
    <mergeCell ref="T350:T354"/>
    <mergeCell ref="S367:S370"/>
    <mergeCell ref="S371:S373"/>
    <mergeCell ref="T367:T373"/>
    <mergeCell ref="S375:S387"/>
    <mergeCell ref="T375:T391"/>
    <mergeCell ref="T346:T348"/>
    <mergeCell ref="S352:S354"/>
    <mergeCell ref="S360:S364"/>
    <mergeCell ref="S365:S366"/>
    <mergeCell ref="V451:V469"/>
    <mergeCell ref="P470:P486"/>
    <mergeCell ref="U470:U486"/>
    <mergeCell ref="P451:P461"/>
    <mergeCell ref="P462:P469"/>
    <mergeCell ref="Q451:Q469"/>
    <mergeCell ref="V470:V494"/>
    <mergeCell ref="S471:S473"/>
    <mergeCell ref="S474:S475"/>
    <mergeCell ref="T470:T475"/>
    <mergeCell ref="T476:T477"/>
    <mergeCell ref="U487:U494"/>
    <mergeCell ref="S506:S509"/>
    <mergeCell ref="O470:O475"/>
    <mergeCell ref="Q495:Q516"/>
    <mergeCell ref="S499:S502"/>
    <mergeCell ref="S503:S505"/>
    <mergeCell ref="S180:S189"/>
    <mergeCell ref="S305:S309"/>
    <mergeCell ref="S250:S251"/>
    <mergeCell ref="S389:S390"/>
    <mergeCell ref="S350:S351"/>
    <mergeCell ref="S240:S241"/>
    <mergeCell ref="S288:S295"/>
    <mergeCell ref="S297:S301"/>
    <mergeCell ref="S243:S244"/>
    <mergeCell ref="S230:S233"/>
    <mergeCell ref="O204:O208"/>
    <mergeCell ref="D367:D373"/>
    <mergeCell ref="C367:C373"/>
    <mergeCell ref="T404:T409"/>
    <mergeCell ref="T430:T450"/>
    <mergeCell ref="S140:S142"/>
    <mergeCell ref="S336:S338"/>
    <mergeCell ref="T336:T338"/>
    <mergeCell ref="T360:T366"/>
    <mergeCell ref="S210:S214"/>
    <mergeCell ref="T343:T344"/>
    <mergeCell ref="T230:T241"/>
    <mergeCell ref="C137:C142"/>
    <mergeCell ref="D143:D163"/>
    <mergeCell ref="C143:C163"/>
    <mergeCell ref="D168:D178"/>
    <mergeCell ref="C168:C178"/>
    <mergeCell ref="N168:N170"/>
    <mergeCell ref="N171:N174"/>
    <mergeCell ref="N175:N176"/>
    <mergeCell ref="N177:N178"/>
    <mergeCell ref="N140:N142"/>
    <mergeCell ref="N143:N145"/>
    <mergeCell ref="N161:N163"/>
    <mergeCell ref="N146:N150"/>
    <mergeCell ref="N499:N502"/>
    <mergeCell ref="N503:N505"/>
    <mergeCell ref="N506:N509"/>
    <mergeCell ref="N367:N370"/>
    <mergeCell ref="O367:O373"/>
    <mergeCell ref="O485:O486"/>
    <mergeCell ref="N471:N473"/>
    <mergeCell ref="O404:O409"/>
    <mergeCell ref="O499:O509"/>
    <mergeCell ref="N418:N420"/>
    <mergeCell ref="N415:N417"/>
    <mergeCell ref="O375:O391"/>
    <mergeCell ref="N371:N373"/>
    <mergeCell ref="U495:U513"/>
    <mergeCell ref="U514:U516"/>
    <mergeCell ref="P399:P409"/>
    <mergeCell ref="V517:V582"/>
    <mergeCell ref="S558:S559"/>
    <mergeCell ref="S561:S562"/>
    <mergeCell ref="S520:S522"/>
    <mergeCell ref="T517:T522"/>
    <mergeCell ref="T534:T537"/>
    <mergeCell ref="T538:T545"/>
    <mergeCell ref="T551:T557"/>
    <mergeCell ref="T565:T570"/>
    <mergeCell ref="S415:S417"/>
    <mergeCell ref="S418:S420"/>
    <mergeCell ref="T415:T424"/>
    <mergeCell ref="Q470:Q494"/>
    <mergeCell ref="T485:T486"/>
    <mergeCell ref="S430:S436"/>
    <mergeCell ref="S437:S443"/>
    <mergeCell ref="Q129:Q450"/>
    <mergeCell ref="P425:P450"/>
    <mergeCell ref="T129:T130"/>
    <mergeCell ref="T131:T132"/>
    <mergeCell ref="S201:S202"/>
    <mergeCell ref="D631:D641"/>
    <mergeCell ref="C631:C641"/>
    <mergeCell ref="N631:N641"/>
    <mergeCell ref="O631:O641"/>
    <mergeCell ref="S631:S641"/>
    <mergeCell ref="T631:T641"/>
    <mergeCell ref="N573:N575"/>
    <mergeCell ref="N576:N578"/>
    <mergeCell ref="N579:N580"/>
    <mergeCell ref="N581:N582"/>
    <mergeCell ref="D573:D582"/>
    <mergeCell ref="C573:C582"/>
    <mergeCell ref="T585:T588"/>
    <mergeCell ref="S599:S612"/>
    <mergeCell ref="T599:T612"/>
    <mergeCell ref="S647:S657"/>
    <mergeCell ref="T647:T657"/>
    <mergeCell ref="S573:S575"/>
    <mergeCell ref="S576:S578"/>
    <mergeCell ref="S579:S580"/>
    <mergeCell ref="S581:S582"/>
    <mergeCell ref="T573:T582"/>
    <mergeCell ref="P626:P643"/>
    <mergeCell ref="O647:O657"/>
    <mergeCell ref="O589:O591"/>
    <mergeCell ref="T589:T591"/>
    <mergeCell ref="S589:S591"/>
    <mergeCell ref="S585:S587"/>
    <mergeCell ref="O573:O582"/>
    <mergeCell ref="B613:B625"/>
    <mergeCell ref="B626:B643"/>
    <mergeCell ref="B644:B658"/>
    <mergeCell ref="N585:N587"/>
    <mergeCell ref="D589:D591"/>
    <mergeCell ref="C589:C591"/>
    <mergeCell ref="N589:N591"/>
    <mergeCell ref="D523:D527"/>
    <mergeCell ref="D528:D530"/>
    <mergeCell ref="C528:C530"/>
    <mergeCell ref="D558:D562"/>
    <mergeCell ref="D647:D657"/>
    <mergeCell ref="C647:C657"/>
    <mergeCell ref="N647:N657"/>
    <mergeCell ref="N565:N566"/>
    <mergeCell ref="N567:N568"/>
    <mergeCell ref="N569:N570"/>
    <mergeCell ref="D551:D557"/>
    <mergeCell ref="C551:C557"/>
    <mergeCell ref="B565:B582"/>
    <mergeCell ref="D616:D624"/>
    <mergeCell ref="C616:C624"/>
    <mergeCell ref="N616:N618"/>
    <mergeCell ref="N619:N621"/>
    <mergeCell ref="B517:B545"/>
    <mergeCell ref="D517:D522"/>
    <mergeCell ref="C517:C522"/>
    <mergeCell ref="B596:B612"/>
    <mergeCell ref="D585:D588"/>
    <mergeCell ref="C585:C588"/>
    <mergeCell ref="D599:D612"/>
    <mergeCell ref="C599:C612"/>
    <mergeCell ref="B470:B486"/>
    <mergeCell ref="C558:C562"/>
    <mergeCell ref="C523:C527"/>
    <mergeCell ref="D538:D545"/>
    <mergeCell ref="D470:D475"/>
    <mergeCell ref="C470:C475"/>
    <mergeCell ref="D476:D477"/>
    <mergeCell ref="C476:C477"/>
    <mergeCell ref="D485:D486"/>
    <mergeCell ref="C485:C486"/>
    <mergeCell ref="D499:D509"/>
    <mergeCell ref="C499:C509"/>
    <mergeCell ref="B243:B251"/>
    <mergeCell ref="N297:N301"/>
    <mergeCell ref="C243:C245"/>
    <mergeCell ref="N243:N244"/>
    <mergeCell ref="D343:D344"/>
    <mergeCell ref="C343:C344"/>
    <mergeCell ref="B546:B564"/>
    <mergeCell ref="D565:D570"/>
    <mergeCell ref="C565:C570"/>
    <mergeCell ref="D534:D537"/>
    <mergeCell ref="C534:C537"/>
    <mergeCell ref="N250:N251"/>
    <mergeCell ref="D404:D409"/>
    <mergeCell ref="C404:C409"/>
    <mergeCell ref="N404:N406"/>
    <mergeCell ref="N407:N409"/>
    <mergeCell ref="B425:B450"/>
    <mergeCell ref="D375:D391"/>
    <mergeCell ref="C375:C391"/>
    <mergeCell ref="N375:N387"/>
    <mergeCell ref="N389:N390"/>
    <mergeCell ref="N252:N271"/>
    <mergeCell ref="N272:N287"/>
    <mergeCell ref="C346:C348"/>
    <mergeCell ref="D350:D354"/>
    <mergeCell ref="C350:C354"/>
    <mergeCell ref="D360:D366"/>
    <mergeCell ref="C360:C366"/>
    <mergeCell ref="D252:D295"/>
    <mergeCell ref="C252:C295"/>
    <mergeCell ref="D180:D202"/>
    <mergeCell ref="C180:C202"/>
    <mergeCell ref="C204:C208"/>
    <mergeCell ref="C336:C338"/>
    <mergeCell ref="C314:C331"/>
    <mergeCell ref="D296:D301"/>
    <mergeCell ref="C296:C301"/>
    <mergeCell ref="D302:D309"/>
    <mergeCell ref="C302:C309"/>
    <mergeCell ref="C220:C229"/>
    <mergeCell ref="D210:D217"/>
    <mergeCell ref="C210:C217"/>
    <mergeCell ref="C247:C251"/>
    <mergeCell ref="C230:C241"/>
    <mergeCell ref="N230:N233"/>
    <mergeCell ref="N350:N351"/>
    <mergeCell ref="N320:N321"/>
    <mergeCell ref="N210:N214"/>
    <mergeCell ref="N215:N217"/>
    <mergeCell ref="O247:O251"/>
    <mergeCell ref="O230:O241"/>
    <mergeCell ref="N288:N295"/>
    <mergeCell ref="N220:N227"/>
    <mergeCell ref="N201:N202"/>
    <mergeCell ref="T247:T251"/>
    <mergeCell ref="N558:N559"/>
    <mergeCell ref="N561:N562"/>
    <mergeCell ref="N520:N522"/>
    <mergeCell ref="N523:N524"/>
    <mergeCell ref="N542:N545"/>
    <mergeCell ref="N551:N554"/>
    <mergeCell ref="N538:N541"/>
    <mergeCell ref="S252:S271"/>
    <mergeCell ref="S272:S287"/>
    <mergeCell ref="P375:P398"/>
    <mergeCell ref="P514:P516"/>
    <mergeCell ref="P495:P513"/>
    <mergeCell ref="N474:N475"/>
    <mergeCell ref="P487:P494"/>
    <mergeCell ref="N360:N364"/>
    <mergeCell ref="N352:N354"/>
    <mergeCell ref="S542:S545"/>
    <mergeCell ref="S551:S554"/>
    <mergeCell ref="S556:S557"/>
    <mergeCell ref="N228:N229"/>
    <mergeCell ref="N234:N238"/>
    <mergeCell ref="N247:N249"/>
    <mergeCell ref="S168:S170"/>
    <mergeCell ref="S171:S174"/>
    <mergeCell ref="S175:S176"/>
    <mergeCell ref="S177:S178"/>
    <mergeCell ref="T168:T178"/>
    <mergeCell ref="U565:U582"/>
    <mergeCell ref="P252:P340"/>
    <mergeCell ref="S314:S319"/>
    <mergeCell ref="S320:S321"/>
    <mergeCell ref="S322:S330"/>
    <mergeCell ref="T314:T331"/>
    <mergeCell ref="S347:S348"/>
    <mergeCell ref="P341:P349"/>
    <mergeCell ref="P350:P358"/>
    <mergeCell ref="P359:P374"/>
    <mergeCell ref="S523:S524"/>
    <mergeCell ref="T523:T527"/>
    <mergeCell ref="T180:T202"/>
    <mergeCell ref="S421:S424"/>
    <mergeCell ref="S404:S406"/>
    <mergeCell ref="S407:S409"/>
    <mergeCell ref="S534:S537"/>
    <mergeCell ref="S538:S541"/>
    <mergeCell ref="T499:T509"/>
    <mergeCell ref="P119:P121"/>
    <mergeCell ref="P66:P74"/>
    <mergeCell ref="S143:S145"/>
    <mergeCell ref="S161:S163"/>
    <mergeCell ref="T143:T163"/>
    <mergeCell ref="U451:U461"/>
    <mergeCell ref="U462:U469"/>
    <mergeCell ref="U129:U179"/>
    <mergeCell ref="O126:O128"/>
    <mergeCell ref="T126:T128"/>
    <mergeCell ref="O137:O142"/>
    <mergeCell ref="T77:T81"/>
    <mergeCell ref="T95:T103"/>
    <mergeCell ref="T107:T108"/>
    <mergeCell ref="O77:O81"/>
    <mergeCell ref="P75:P81"/>
    <mergeCell ref="O143:O163"/>
    <mergeCell ref="P243:P251"/>
    <mergeCell ref="S204:S206"/>
    <mergeCell ref="S207:S208"/>
    <mergeCell ref="T220:T229"/>
    <mergeCell ref="S220:S227"/>
    <mergeCell ref="S228:S229"/>
    <mergeCell ref="S302:S303"/>
  </mergeCells>
  <conditionalFormatting sqref="R4:V4 R7:S7 R5:R6 R11:S11 R8:R10 R15:S15 R12:R14 R24:U24 R16:R18 R28:S28 R26:R27 R33:U33 R29 R46:S46 R45 R48:S48 R47 R53:U53 R49 R66:U66 R67:T67 R70:T71 R69 R72:R73 R30:S30 R68:S68 R19:T23 R31:T32 R25:T25 R44:V44 R50:T52 R57:U57 R54:T54 R58:T59 R65:T65 R74:T74 R75:V75 R79:S79 R78 R80:R81 R99:S99 R105:U105 R112:U112 R90:T95 R76:T77 R89:U89 R83:T83 R104:T104 R109:T111 R106:T107 R115:U115 R113:T114 R119:U119 R116:T118 R122:U122 R120:T121 R123:T126 R129:V129 R131:T131 R130:S130 R132:S132 R133:T137 R140:S140 R138:R139 R143:T143 R141:R142 R180:U180 R162:R163 R190:S190 R215:S215 R211:R214 R216:R217 R230:T230 R243:U243 R245:S245 R244 R246:T247 R252:U252 R302:T302 R298:R301 R297:S297 R304:S305 R303 R341:U341 R306:R309 R342:T343 R344:S344 R350:U350 R359:U359 R360:T360 R375:U375 R399:U399 R407:S407 R405:R406 R408:R409 R410:U410 R418:S418 R416:R417 R425:U425 R426:T430 R437:S437 R438:R443 R444:S444 R445:R450 R242:T242 R349:T349 R355:T358 R400:T404 R411:T415 R451:V451 R462:U462 R452:T461 R463:T469 R470:V470 R487:U487 R486:S486 R488:T494 R495:V495 R339:T340 R337:R338 R514:U514 R515:T516 R496:T499 R503:S503 R500:R502 R506:S506 R504:R505 R510:T513 R507:R509 R517:V517 R518:R519 R538:T538 R535:R537 R542:S542 R539:R541 R546:U546 R543:R545 R547:T551 R552:R554 R557 R567:S567 R566 R569:S569 R568 R571:T573 R570 S576 R565:U565 S579 R583:V583 R589:T589 R588:S588 R596:U596 R600:R612 R597:T599 R592:T595 R613:V613 R619:S619 R617:R618 R620:R621 R622:S622 R626:U626 R623:R624 R625:T625 R614:T616 R644:U644 R108 R60:R64 R96:R98 R100:R103 R82:U82 R151:S151 R144:R150 R161:S161 R152:R160 R203:T204 R209:T210 R207:S207 R205:R206 R208 R229 R218:T220 R228:S228 R221:R227 R234:S234 R248:R249 R272:S272 R253:R271 R288:S288 R273:R287 R296:T296 R289:R295 U253:U295 R310:T314 R320:S320 R315:R319 R322:S322 R321 R332:T336 R323:R330 R331:S331 R347:S347 R348 R345:T346 R365:S365 R361:R364 R366 R352:S352 R351 R353:R354 R367:T367 R371:S371 R368:R370 R374:T374 R372:R373 R388:S389 R376:R387 R392:T398 R390 R391:S391 U376:U391 R419:R424 S421 R471:S471 R474:S474 R472:R473 R475 R476:T476 R478:T485 R477:S477 R520:S520 R521:R522 R555:S556 R558:T558 R560:S561 R559 R563:T564 R562 R574:R582 S581 R627:T631 R642:T643 R632:R641 R645:T647 R658:T658 R648:R657 R231:R233 R181:R189 R235:R241 R39:T43 R38 R34:T35 R37:T37 R36 R164:T168 R171:S171 R169:R170 R175:S175 R172:R174 R177:S177 R176 R179:T179 R178 R191:R202 R590:R591 R584:T585 R586:R587 T586:T587 R523:T523 R528:T528 R524 R525:S527 R431:R436 R250:S250 R251 S146 R56:T56 R55:S55 R85:T88 R84:S84 R127:S128 R531:T534 R529:S530">
    <cfRule type="containsText" dxfId="61" priority="162" operator="containsText" text="E">
      <formula>NOT(ISERROR(SEARCH("E",R4)))</formula>
    </cfRule>
    <cfRule type="containsText" dxfId="60" priority="163" operator="containsText" text="D">
      <formula>NOT(ISERROR(SEARCH("D",R4)))</formula>
    </cfRule>
    <cfRule type="containsText" dxfId="59" priority="164" operator="containsText" text="C">
      <formula>NOT(ISERROR(SEARCH("C",R4)))</formula>
    </cfRule>
    <cfRule type="containsText" dxfId="58" priority="165" operator="containsText" text="B">
      <formula>NOT(ISERROR(SEARCH("B",R4)))</formula>
    </cfRule>
    <cfRule type="containsText" dxfId="57" priority="166" operator="containsText" text="A">
      <formula>NOT(ISERROR(SEARCH("A",R4)))</formula>
    </cfRule>
  </conditionalFormatting>
  <conditionalFormatting sqref="Y4">
    <cfRule type="containsText" dxfId="56" priority="147" operator="containsText" text="E">
      <formula>NOT(ISERROR(SEARCH("E",Y4)))</formula>
    </cfRule>
    <cfRule type="containsText" dxfId="55" priority="148" operator="containsText" text="D">
      <formula>NOT(ISERROR(SEARCH("D",Y4)))</formula>
    </cfRule>
    <cfRule type="containsText" dxfId="54" priority="149" operator="containsText" text="C">
      <formula>NOT(ISERROR(SEARCH("C",Y4)))</formula>
    </cfRule>
    <cfRule type="containsText" dxfId="53" priority="150" operator="containsText" text="B">
      <formula>NOT(ISERROR(SEARCH("B",Y4)))</formula>
    </cfRule>
    <cfRule type="containsText" dxfId="52" priority="151" operator="containsText" text="A">
      <formula>NOT(ISERROR(SEARCH("A",Y4)))</formula>
    </cfRule>
  </conditionalFormatting>
  <conditionalFormatting sqref="Y5:Y8">
    <cfRule type="containsText" dxfId="51" priority="142" operator="containsText" text="E">
      <formula>NOT(ISERROR(SEARCH("E",Y5)))</formula>
    </cfRule>
    <cfRule type="containsText" dxfId="50" priority="143" operator="containsText" text="D">
      <formula>NOT(ISERROR(SEARCH("D",Y5)))</formula>
    </cfRule>
    <cfRule type="containsText" dxfId="49" priority="144" operator="containsText" text="C">
      <formula>NOT(ISERROR(SEARCH("C",Y5)))</formula>
    </cfRule>
    <cfRule type="containsText" dxfId="48" priority="145" operator="containsText" text="B">
      <formula>NOT(ISERROR(SEARCH("B",Y5)))</formula>
    </cfRule>
    <cfRule type="containsText" dxfId="47" priority="146" operator="containsText" text="A">
      <formula>NOT(ISERROR(SEARCH("A",Y5)))</formula>
    </cfRule>
  </conditionalFormatting>
  <conditionalFormatting sqref="S201">
    <cfRule type="containsText" dxfId="46" priority="30" operator="containsText" text="E">
      <formula>NOT(ISERROR(SEARCH("E",S201)))</formula>
    </cfRule>
    <cfRule type="containsText" dxfId="45" priority="31" operator="containsText" text="D">
      <formula>NOT(ISERROR(SEARCH("D",S201)))</formula>
    </cfRule>
    <cfRule type="containsText" dxfId="44" priority="32" operator="containsText" text="C">
      <formula>NOT(ISERROR(SEARCH("C",S201)))</formula>
    </cfRule>
    <cfRule type="containsText" dxfId="43" priority="33" operator="containsText" text="B">
      <formula>NOT(ISERROR(SEARCH("B",S201)))</formula>
    </cfRule>
    <cfRule type="containsText" dxfId="42" priority="34" operator="containsText" text="A">
      <formula>NOT(ISERROR(SEARCH("A",S201)))</formula>
    </cfRule>
  </conditionalFormatting>
  <conditionalFormatting sqref="S239:S240">
    <cfRule type="containsText" dxfId="41" priority="24" operator="containsText" text="E">
      <formula>NOT(ISERROR(SEARCH("E",S239)))</formula>
    </cfRule>
    <cfRule type="containsText" dxfId="40" priority="25" operator="containsText" text="D">
      <formula>NOT(ISERROR(SEARCH("D",S239)))</formula>
    </cfRule>
    <cfRule type="containsText" dxfId="39" priority="26" operator="containsText" text="C">
      <formula>NOT(ISERROR(SEARCH("C",S239)))</formula>
    </cfRule>
    <cfRule type="containsText" dxfId="38" priority="27" operator="containsText" text="B">
      <formula>NOT(ISERROR(SEARCH("B",S239)))</formula>
    </cfRule>
    <cfRule type="containsText" dxfId="37" priority="28" operator="containsText" text="A">
      <formula>NOT(ISERROR(SEARCH("A",S239)))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35" operator="containsText" id="{B384650D-E7BE-400A-91BF-43012444EE4C}">
            <xm:f>NOT(ISERROR(SEARCH($Y$9,R4)))</xm:f>
            <xm:f>$Y$9</xm:f>
            <x14:dxf>
              <fill>
                <patternFill>
                  <bgColor theme="0" tint="-0.24994659260841701"/>
                </patternFill>
              </fill>
            </x14:dxf>
          </x14:cfRule>
          <xm:sqref>R4:V4 R7:S7 R5:R6 R11:S11 R8:R10 R15:S15 R12:R14 R24:U24 R16:R18 R28:S28 R26:R27 R33:U33 R29 R46:S46 R45 R48:S48 R47 R53:U53 R49 R66:U66 R67:T67 R70:T71 R69 R72:R73 R30:S30 R68:S68 R19:T23 R31:T32 R25:T25 R44:V44 R50:T52 R57:U57 R54:T54 R58:T59 R65:T65 R74:T74 R75:V75 R79:S79 R78 R80:R81 R99:S99 R105:U105 R112:U112 R90:T95 R76:T77 R89:U89 R83:T83 R104:T104 R109:T111 R106:T107 R115:U115 R113:T114 R119:U119 R116:T118 R122:U122 R120:T121 R123:T126 R129:V129 R131:T131 R130:S130 R132:S132 R133:T137 R140:S140 R138:R139 R143:T143 R141:R142 R180:U180 R162:R163 R190:S190 R215:S215 R211:R214 R216:R217 R230:T230 R243:U243 R245:S245 R244 R246:T247 R252:U252 R302:T302 R298:R301 R297:S297 R304:S305 R303 R341:U341 R306:R309 R342:T343 R344:S344 R350:U350 R359:U359 R360:T360 R375:U375 R399:U399 R407:S407 R405:R406 R408:R409 R410:U410 R418:S418 R416:R417 R425:U425 R426:T430 R437:S437 R438:R443 R444:S444 R445:R450 R242:T242 R349:T349 R355:T358 R400:T404 R411:T415 R451:V451 R462:U462 R452:T461 R463:T469 R470:V470 R487:U487 R486:S486 R488:T494 R495:V495 R339:T340 R337:R338 R514:U514 R515:T516 R496:T499 R503:S503 R500:R502 R506:S506 R504:R505 R510:T513 R507:R509 R517:V517 R518:R519 R538:T538 R535:R537 R542:S542 R539:R541 R546:U546 R543:R545 R547:T551 R552:R554 R557 R567:S567 R566 R569:S569 R568 R571:T573 R570 S576 R565:U565 S579 R583:V583 R589:T589 R588:S588 R596:U596 R600:R612 R597:T599 R592:T595 R613:V613 R619:S619 R617:R618 R620:R621 R622:S622 R626:U626 R623:R624 R625:T625 R614:T616 R644:U644 R108 R60:R64 R96:R98 R100:R103 R82:U82 R151:S151 R144:R150 R161:S161 R152:R160 R203:T204 R209:T210 R207:S207 R205:R206 R208 R229 R218:T220 R228:S228 R221:R227 R234:S234 R248:R249 R272:S272 R253:R271 R288:S288 R273:R287 R296:T296 R289:R295 U253:U295 R310:T314 R320:S320 R315:R319 R322:S322 R321 R332:T336 R323:R330 R331:S331 R347:S347 R348 R345:T346 R365:S365 R361:R364 R366 R352:S352 R351 R353:R354 R367:T367 R371:S371 R368:R370 R374:T374 R372:R373 R388:S389 R376:R387 R392:T398 R390 R391:S391 U376:U391 R419:R424 S421 R471:S471 R474:S474 R472:R473 R475 R476:T476 R478:T485 R477:S477 R520:S520 R521:R522 R555:S556 R558:T558 R560:S561 R559 R563:T564 R562 R574:R582 S581 R627:T631 R642:T643 R632:R641 R645:T647 R658:T658 R648:R657 R231:R233 R181:R189 R235:R241 R39:T43 R38 R34:T35 R37:T37 R36 R164:T168 R171:S171 R169:R170 R175:S175 R172:R174 R177:S177 R176 R179:T179 R178 R191:R202 R590:R591 R584:T585 R586:R587 T586:T587 R523:T523 R528:T528 R524 R525:S527 R431:R436 R250:S250 R251 S146 R56:T56 R55:S55 R85:T88 R84:S84 R127:S128 R531:T534 R529:S530</xm:sqref>
        </x14:conditionalFormatting>
        <x14:conditionalFormatting xmlns:xm="http://schemas.microsoft.com/office/excel/2006/main">
          <x14:cfRule type="containsText" priority="29" operator="containsText" id="{12881CA3-F6EE-40E1-80C3-F993EBBF07A2}">
            <xm:f>NOT(ISERROR(SEARCH($Y$9,S201)))</xm:f>
            <xm:f>$Y$9</xm:f>
            <x14:dxf>
              <fill>
                <patternFill>
                  <bgColor theme="0" tint="-0.24994659260841701"/>
                </patternFill>
              </fill>
            </x14:dxf>
          </x14:cfRule>
          <xm:sqref>S201</xm:sqref>
        </x14:conditionalFormatting>
        <x14:conditionalFormatting xmlns:xm="http://schemas.microsoft.com/office/excel/2006/main">
          <x14:cfRule type="containsText" priority="23" operator="containsText" id="{120BF865-CD0F-4732-96B8-3C69BED39D02}">
            <xm:f>NOT(ISERROR(SEARCH($Y$9,S239)))</xm:f>
            <xm:f>$Y$9</xm:f>
            <x14:dxf>
              <fill>
                <patternFill>
                  <bgColor theme="0" tint="-0.24994659260841701"/>
                </patternFill>
              </fill>
            </x14:dxf>
          </x14:cfRule>
          <xm:sqref>S239:S240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45"/>
  <sheetViews>
    <sheetView topLeftCell="G584" zoomScale="154" zoomScaleNormal="154" workbookViewId="0">
      <selection activeCell="H602" sqref="H602"/>
    </sheetView>
  </sheetViews>
  <sheetFormatPr baseColWidth="10" defaultColWidth="11.42578125" defaultRowHeight="15" x14ac:dyDescent="0.25"/>
  <cols>
    <col min="1" max="1" width="6.85546875" style="3" bestFit="1" customWidth="1"/>
    <col min="2" max="2" width="3.7109375" style="3" bestFit="1" customWidth="1"/>
    <col min="3" max="3" width="3.42578125" style="3" bestFit="1" customWidth="1"/>
    <col min="4" max="4" width="42.28515625" style="3" customWidth="1"/>
    <col min="5" max="5" width="39.85546875" style="3" customWidth="1"/>
    <col min="6" max="6" width="43.28515625" style="281" customWidth="1"/>
    <col min="7" max="7" width="62" style="3" customWidth="1"/>
    <col min="8" max="8" width="14.42578125" style="3" customWidth="1"/>
    <col min="9" max="9" width="11.42578125" style="3"/>
    <col min="10" max="10" width="12.7109375" style="3" bestFit="1" customWidth="1"/>
    <col min="11" max="11" width="10.85546875" style="3" customWidth="1"/>
    <col min="12" max="12" width="10" style="3" bestFit="1" customWidth="1"/>
    <col min="13" max="14" width="11.42578125" style="3"/>
    <col min="15" max="15" width="17.42578125" style="3" customWidth="1"/>
    <col min="16" max="16384" width="11.42578125" style="3"/>
  </cols>
  <sheetData>
    <row r="1" spans="1:15" ht="23.25" x14ac:dyDescent="0.25">
      <c r="D1" s="351" t="s">
        <v>19</v>
      </c>
      <c r="E1" s="351"/>
      <c r="F1" s="369"/>
      <c r="G1" s="351"/>
      <c r="H1" s="351"/>
      <c r="I1" s="102"/>
      <c r="J1" s="38"/>
      <c r="K1" s="38"/>
      <c r="L1" s="38"/>
      <c r="M1" s="38"/>
    </row>
    <row r="2" spans="1:15" ht="94.5" customHeight="1" x14ac:dyDescent="0.25">
      <c r="A2" s="22" t="s">
        <v>18</v>
      </c>
      <c r="B2" s="47" t="s">
        <v>21</v>
      </c>
      <c r="C2" s="22" t="s">
        <v>58</v>
      </c>
      <c r="D2" s="22" t="s">
        <v>15</v>
      </c>
      <c r="E2" s="22" t="s">
        <v>66</v>
      </c>
      <c r="F2" s="22" t="s">
        <v>95</v>
      </c>
      <c r="G2" s="22" t="s">
        <v>7</v>
      </c>
      <c r="H2" s="22" t="s">
        <v>20</v>
      </c>
      <c r="I2" s="22" t="s">
        <v>779</v>
      </c>
      <c r="J2" s="46" t="s">
        <v>69</v>
      </c>
      <c r="K2" s="46" t="s">
        <v>73</v>
      </c>
      <c r="L2" s="46" t="s">
        <v>70</v>
      </c>
    </row>
    <row r="3" spans="1:15" ht="60" customHeight="1" x14ac:dyDescent="0.25">
      <c r="A3" s="243">
        <v>1</v>
      </c>
      <c r="B3" s="9">
        <v>1</v>
      </c>
      <c r="C3" s="234" t="str">
        <f>Final!E2</f>
        <v>a</v>
      </c>
      <c r="D3" s="323" t="str">
        <f>Final!F2</f>
        <v>Apropiación de la visión y la misión institucional por parte de la comunidad académica</v>
      </c>
      <c r="E3" s="362" t="s">
        <v>67</v>
      </c>
      <c r="F3" s="253" t="s">
        <v>2862</v>
      </c>
      <c r="G3" s="44" t="s">
        <v>2863</v>
      </c>
      <c r="H3" s="45" t="str">
        <f t="shared" ref="H3:H29" si="0">IF((LEN(F3)=$O$4)*OR(LEN(G3)=$O$4),$N$4,IF(EXACT(F3,$N$5),$N$5,$N$3))</f>
        <v>SI</v>
      </c>
      <c r="I3" s="45">
        <f t="shared" ref="I3:I34" si="1">IF(EXACT(H3,$N$3),$O$3,IF(EXACT(H3,$N$5),$N$5,$O$4))</f>
        <v>5</v>
      </c>
      <c r="J3" s="378">
        <f>AVERAGE(I3:I8)</f>
        <v>5</v>
      </c>
      <c r="K3" s="378">
        <f>AVERAGE(J3:J46)</f>
        <v>5</v>
      </c>
      <c r="L3" s="382">
        <f>(K3*Ponderación!D2)+(K47*Ponderación!D3)+(K65*Ponderación!D4)</f>
        <v>4.4340277777777777</v>
      </c>
      <c r="N3" s="98" t="s">
        <v>781</v>
      </c>
      <c r="O3" s="98">
        <v>5</v>
      </c>
    </row>
    <row r="4" spans="1:15" x14ac:dyDescent="0.25">
      <c r="A4" s="243">
        <v>1</v>
      </c>
      <c r="B4" s="9">
        <v>1</v>
      </c>
      <c r="C4" s="234" t="s">
        <v>55</v>
      </c>
      <c r="D4" s="323"/>
      <c r="E4" s="364"/>
      <c r="F4" s="253" t="s">
        <v>450</v>
      </c>
      <c r="G4" s="72" t="s">
        <v>2864</v>
      </c>
      <c r="H4" s="45" t="str">
        <f t="shared" si="0"/>
        <v>SI</v>
      </c>
      <c r="I4" s="45">
        <f t="shared" si="1"/>
        <v>5</v>
      </c>
      <c r="J4" s="378"/>
      <c r="K4" s="378"/>
      <c r="L4" s="382"/>
      <c r="N4" s="98" t="s">
        <v>780</v>
      </c>
      <c r="O4" s="98">
        <v>0</v>
      </c>
    </row>
    <row r="5" spans="1:15" ht="30" x14ac:dyDescent="0.25">
      <c r="A5" s="243">
        <v>1</v>
      </c>
      <c r="B5" s="9">
        <v>1</v>
      </c>
      <c r="C5" s="234" t="s">
        <v>55</v>
      </c>
      <c r="D5" s="323"/>
      <c r="E5" s="364"/>
      <c r="F5" s="370" t="s">
        <v>451</v>
      </c>
      <c r="G5" s="72" t="s">
        <v>452</v>
      </c>
      <c r="H5" s="45" t="str">
        <f t="shared" si="0"/>
        <v>SI</v>
      </c>
      <c r="I5" s="45">
        <f t="shared" si="1"/>
        <v>5</v>
      </c>
      <c r="J5" s="378"/>
      <c r="K5" s="378"/>
      <c r="L5" s="382"/>
      <c r="N5" s="98" t="s">
        <v>64</v>
      </c>
      <c r="O5" s="98"/>
    </row>
    <row r="6" spans="1:15" ht="30" x14ac:dyDescent="0.25">
      <c r="A6" s="243">
        <v>1</v>
      </c>
      <c r="B6" s="9">
        <v>1</v>
      </c>
      <c r="C6" s="234" t="s">
        <v>55</v>
      </c>
      <c r="D6" s="323"/>
      <c r="E6" s="364"/>
      <c r="F6" s="370"/>
      <c r="G6" s="72" t="s">
        <v>453</v>
      </c>
      <c r="H6" s="45" t="str">
        <f t="shared" si="0"/>
        <v>SI</v>
      </c>
      <c r="I6" s="45">
        <f t="shared" si="1"/>
        <v>5</v>
      </c>
      <c r="J6" s="378"/>
      <c r="K6" s="378"/>
      <c r="L6" s="382"/>
    </row>
    <row r="7" spans="1:15" ht="30" x14ac:dyDescent="0.25">
      <c r="A7" s="243">
        <v>1</v>
      </c>
      <c r="B7" s="9">
        <v>1</v>
      </c>
      <c r="C7" s="234" t="s">
        <v>55</v>
      </c>
      <c r="D7" s="323"/>
      <c r="E7" s="363"/>
      <c r="F7" s="254" t="s">
        <v>456</v>
      </c>
      <c r="G7" s="72" t="s">
        <v>455</v>
      </c>
      <c r="H7" s="45" t="str">
        <f t="shared" si="0"/>
        <v>SI</v>
      </c>
      <c r="I7" s="45">
        <f t="shared" si="1"/>
        <v>5</v>
      </c>
      <c r="J7" s="378"/>
      <c r="K7" s="378"/>
      <c r="L7" s="382"/>
    </row>
    <row r="8" spans="1:15" ht="164.25" customHeight="1" x14ac:dyDescent="0.25">
      <c r="A8" s="243">
        <v>1</v>
      </c>
      <c r="B8" s="9">
        <v>1</v>
      </c>
      <c r="C8" s="236" t="s">
        <v>55</v>
      </c>
      <c r="D8" s="323"/>
      <c r="E8" s="21" t="s">
        <v>68</v>
      </c>
      <c r="F8" s="278" t="s">
        <v>2961</v>
      </c>
      <c r="G8" s="72" t="s">
        <v>2962</v>
      </c>
      <c r="H8" s="45" t="str">
        <f t="shared" si="0"/>
        <v>SI</v>
      </c>
      <c r="I8" s="45">
        <f t="shared" si="1"/>
        <v>5</v>
      </c>
      <c r="J8" s="379"/>
      <c r="K8" s="378"/>
      <c r="L8" s="382"/>
    </row>
    <row r="9" spans="1:15" ht="30" customHeight="1" x14ac:dyDescent="0.25">
      <c r="A9" s="243">
        <v>1</v>
      </c>
      <c r="B9" s="9">
        <v>1</v>
      </c>
      <c r="C9" s="234" t="s">
        <v>56</v>
      </c>
      <c r="D9" s="359" t="s">
        <v>65</v>
      </c>
      <c r="E9" s="21" t="s">
        <v>74</v>
      </c>
      <c r="F9" s="278" t="s">
        <v>2866</v>
      </c>
      <c r="G9" s="72" t="s">
        <v>2865</v>
      </c>
      <c r="H9" s="45" t="str">
        <f t="shared" si="0"/>
        <v>SI</v>
      </c>
      <c r="I9" s="45">
        <f t="shared" si="1"/>
        <v>5</v>
      </c>
      <c r="J9" s="377">
        <f>AVERAGE(I9:I17)</f>
        <v>5</v>
      </c>
      <c r="K9" s="378"/>
      <c r="L9" s="382"/>
    </row>
    <row r="10" spans="1:15" ht="120" x14ac:dyDescent="0.25">
      <c r="A10" s="243">
        <v>1</v>
      </c>
      <c r="B10" s="9">
        <v>1</v>
      </c>
      <c r="C10" s="234" t="s">
        <v>56</v>
      </c>
      <c r="D10" s="360"/>
      <c r="E10" s="21" t="s">
        <v>75</v>
      </c>
      <c r="F10" s="278" t="s">
        <v>448</v>
      </c>
      <c r="G10" s="72" t="s">
        <v>449</v>
      </c>
      <c r="H10" s="45" t="str">
        <f t="shared" si="0"/>
        <v>SI</v>
      </c>
      <c r="I10" s="45">
        <f t="shared" si="1"/>
        <v>5</v>
      </c>
      <c r="J10" s="378"/>
      <c r="K10" s="378"/>
      <c r="L10" s="382"/>
    </row>
    <row r="11" spans="1:15" ht="45" x14ac:dyDescent="0.25">
      <c r="A11" s="243">
        <v>1</v>
      </c>
      <c r="B11" s="9">
        <v>1</v>
      </c>
      <c r="C11" s="234" t="s">
        <v>56</v>
      </c>
      <c r="D11" s="360"/>
      <c r="E11" s="21" t="s">
        <v>76</v>
      </c>
      <c r="F11" s="278" t="s">
        <v>2866</v>
      </c>
      <c r="G11" s="72" t="s">
        <v>2865</v>
      </c>
      <c r="H11" s="45" t="str">
        <f t="shared" si="0"/>
        <v>SI</v>
      </c>
      <c r="I11" s="45">
        <f t="shared" si="1"/>
        <v>5</v>
      </c>
      <c r="J11" s="378"/>
      <c r="K11" s="378"/>
      <c r="L11" s="382"/>
    </row>
    <row r="12" spans="1:15" ht="30" x14ac:dyDescent="0.25">
      <c r="A12" s="243">
        <v>1</v>
      </c>
      <c r="B12" s="9">
        <v>1</v>
      </c>
      <c r="C12" s="234" t="s">
        <v>56</v>
      </c>
      <c r="D12" s="360"/>
      <c r="E12" s="362" t="s">
        <v>77</v>
      </c>
      <c r="F12" s="278" t="s">
        <v>2985</v>
      </c>
      <c r="G12" s="72" t="s">
        <v>2869</v>
      </c>
      <c r="H12" s="45" t="str">
        <f t="shared" si="0"/>
        <v>SI</v>
      </c>
      <c r="I12" s="45">
        <f t="shared" si="1"/>
        <v>5</v>
      </c>
      <c r="J12" s="378"/>
      <c r="K12" s="378"/>
      <c r="L12" s="382"/>
    </row>
    <row r="13" spans="1:15" ht="30" x14ac:dyDescent="0.25">
      <c r="A13" s="243">
        <v>1</v>
      </c>
      <c r="B13" s="9">
        <v>1</v>
      </c>
      <c r="C13" s="234" t="s">
        <v>56</v>
      </c>
      <c r="D13" s="360"/>
      <c r="E13" s="363"/>
      <c r="F13" s="278" t="s">
        <v>2868</v>
      </c>
      <c r="G13" s="72" t="s">
        <v>2867</v>
      </c>
      <c r="H13" s="105" t="str">
        <f t="shared" si="0"/>
        <v>SI</v>
      </c>
      <c r="I13" s="105">
        <f t="shared" si="1"/>
        <v>5</v>
      </c>
      <c r="J13" s="378"/>
      <c r="K13" s="378"/>
      <c r="L13" s="382"/>
    </row>
    <row r="14" spans="1:15" ht="45" x14ac:dyDescent="0.25">
      <c r="A14" s="243">
        <v>1</v>
      </c>
      <c r="B14" s="9">
        <v>1</v>
      </c>
      <c r="C14" s="234" t="s">
        <v>56</v>
      </c>
      <c r="D14" s="360"/>
      <c r="E14" s="21" t="s">
        <v>78</v>
      </c>
      <c r="F14" s="278" t="s">
        <v>2870</v>
      </c>
      <c r="G14" s="72" t="s">
        <v>2892</v>
      </c>
      <c r="H14" s="45" t="str">
        <f t="shared" si="0"/>
        <v>SI</v>
      </c>
      <c r="I14" s="45">
        <f t="shared" si="1"/>
        <v>5</v>
      </c>
      <c r="J14" s="378"/>
      <c r="K14" s="378"/>
      <c r="L14" s="382"/>
    </row>
    <row r="15" spans="1:15" ht="30" x14ac:dyDescent="0.25">
      <c r="A15" s="243">
        <v>1</v>
      </c>
      <c r="B15" s="9">
        <v>1</v>
      </c>
      <c r="C15" s="234" t="s">
        <v>56</v>
      </c>
      <c r="D15" s="360"/>
      <c r="E15" s="21" t="s">
        <v>79</v>
      </c>
      <c r="F15" s="278" t="s">
        <v>2871</v>
      </c>
      <c r="G15" s="72" t="s">
        <v>2871</v>
      </c>
      <c r="H15" s="45" t="str">
        <f t="shared" si="0"/>
        <v>SI</v>
      </c>
      <c r="I15" s="45">
        <f t="shared" si="1"/>
        <v>5</v>
      </c>
      <c r="J15" s="378"/>
      <c r="K15" s="378"/>
      <c r="L15" s="382"/>
    </row>
    <row r="16" spans="1:15" ht="30" x14ac:dyDescent="0.25">
      <c r="A16" s="243">
        <v>1</v>
      </c>
      <c r="B16" s="9">
        <v>1</v>
      </c>
      <c r="C16" s="234" t="s">
        <v>56</v>
      </c>
      <c r="D16" s="360"/>
      <c r="E16" s="21" t="s">
        <v>92</v>
      </c>
      <c r="F16" s="278" t="s">
        <v>92</v>
      </c>
      <c r="G16" s="72" t="s">
        <v>2872</v>
      </c>
      <c r="H16" s="45" t="str">
        <f t="shared" si="0"/>
        <v>SI</v>
      </c>
      <c r="I16" s="45">
        <f t="shared" si="1"/>
        <v>5</v>
      </c>
      <c r="J16" s="378"/>
      <c r="K16" s="378"/>
      <c r="L16" s="382"/>
    </row>
    <row r="17" spans="1:12" ht="30" x14ac:dyDescent="0.25">
      <c r="A17" s="243">
        <v>1</v>
      </c>
      <c r="B17" s="9">
        <v>1</v>
      </c>
      <c r="C17" s="234" t="s">
        <v>56</v>
      </c>
      <c r="D17" s="361"/>
      <c r="E17" s="233" t="s">
        <v>2873</v>
      </c>
      <c r="F17" s="278" t="s">
        <v>2873</v>
      </c>
      <c r="G17" s="72" t="s">
        <v>2874</v>
      </c>
      <c r="H17" s="105" t="str">
        <f t="shared" si="0"/>
        <v>SI</v>
      </c>
      <c r="I17" s="105">
        <f t="shared" si="1"/>
        <v>5</v>
      </c>
      <c r="J17" s="379"/>
      <c r="K17" s="378"/>
      <c r="L17" s="382"/>
    </row>
    <row r="18" spans="1:12" ht="30" customHeight="1" x14ac:dyDescent="0.25">
      <c r="A18" s="243">
        <v>1</v>
      </c>
      <c r="B18" s="9">
        <v>1</v>
      </c>
      <c r="C18" s="234" t="s">
        <v>80</v>
      </c>
      <c r="D18" s="359" t="s">
        <v>3123</v>
      </c>
      <c r="E18" s="21" t="s">
        <v>82</v>
      </c>
      <c r="F18" s="278" t="s">
        <v>450</v>
      </c>
      <c r="G18" s="72" t="s">
        <v>457</v>
      </c>
      <c r="H18" s="45" t="str">
        <f t="shared" si="0"/>
        <v>SI</v>
      </c>
      <c r="I18" s="45">
        <f t="shared" si="1"/>
        <v>5</v>
      </c>
      <c r="J18" s="377">
        <f>AVERAGE(I18:I24)</f>
        <v>5</v>
      </c>
      <c r="K18" s="378"/>
      <c r="L18" s="382"/>
    </row>
    <row r="19" spans="1:12" ht="30" x14ac:dyDescent="0.25">
      <c r="A19" s="243">
        <v>1</v>
      </c>
      <c r="B19" s="9">
        <v>1</v>
      </c>
      <c r="C19" s="235" t="s">
        <v>80</v>
      </c>
      <c r="D19" s="360"/>
      <c r="E19" s="21" t="s">
        <v>74</v>
      </c>
      <c r="F19" s="278" t="s">
        <v>2866</v>
      </c>
      <c r="G19" s="72" t="s">
        <v>2865</v>
      </c>
      <c r="H19" s="45" t="str">
        <f t="shared" si="0"/>
        <v>SI</v>
      </c>
      <c r="I19" s="45">
        <f t="shared" si="1"/>
        <v>5</v>
      </c>
      <c r="J19" s="378"/>
      <c r="K19" s="378"/>
      <c r="L19" s="382"/>
    </row>
    <row r="20" spans="1:12" ht="113.1" customHeight="1" x14ac:dyDescent="0.25">
      <c r="A20" s="243">
        <v>1</v>
      </c>
      <c r="B20" s="9">
        <v>1</v>
      </c>
      <c r="C20" s="234" t="s">
        <v>80</v>
      </c>
      <c r="D20" s="360"/>
      <c r="E20" s="21" t="s">
        <v>83</v>
      </c>
      <c r="F20" s="278" t="s">
        <v>448</v>
      </c>
      <c r="G20" s="71" t="s">
        <v>449</v>
      </c>
      <c r="H20" s="45" t="str">
        <f t="shared" si="0"/>
        <v>SI</v>
      </c>
      <c r="I20" s="45">
        <f t="shared" si="1"/>
        <v>5</v>
      </c>
      <c r="J20" s="378"/>
      <c r="K20" s="378"/>
      <c r="L20" s="382"/>
    </row>
    <row r="21" spans="1:12" x14ac:dyDescent="0.25">
      <c r="A21" s="243">
        <v>1</v>
      </c>
      <c r="B21" s="9">
        <v>1</v>
      </c>
      <c r="C21" s="235" t="s">
        <v>80</v>
      </c>
      <c r="D21" s="360"/>
      <c r="E21" s="373" t="s">
        <v>84</v>
      </c>
      <c r="F21" s="375" t="s">
        <v>2880</v>
      </c>
      <c r="G21" s="72" t="s">
        <v>2882</v>
      </c>
      <c r="H21" s="45" t="str">
        <f t="shared" si="0"/>
        <v>SI</v>
      </c>
      <c r="I21" s="45">
        <f t="shared" si="1"/>
        <v>5</v>
      </c>
      <c r="J21" s="378"/>
      <c r="K21" s="378"/>
      <c r="L21" s="382"/>
    </row>
    <row r="22" spans="1:12" x14ac:dyDescent="0.25">
      <c r="A22" s="243">
        <v>1</v>
      </c>
      <c r="B22" s="9">
        <v>1</v>
      </c>
      <c r="C22" s="234" t="s">
        <v>80</v>
      </c>
      <c r="D22" s="360"/>
      <c r="E22" s="374"/>
      <c r="F22" s="376"/>
      <c r="G22" s="72" t="s">
        <v>2881</v>
      </c>
      <c r="H22" s="105" t="str">
        <f t="shared" si="0"/>
        <v>SI</v>
      </c>
      <c r="I22" s="105">
        <f t="shared" si="1"/>
        <v>5</v>
      </c>
      <c r="J22" s="378"/>
      <c r="K22" s="378"/>
      <c r="L22" s="382"/>
    </row>
    <row r="23" spans="1:12" ht="105" x14ac:dyDescent="0.25">
      <c r="A23" s="243">
        <v>1</v>
      </c>
      <c r="B23" s="9">
        <v>1</v>
      </c>
      <c r="C23" s="235" t="s">
        <v>80</v>
      </c>
      <c r="D23" s="360"/>
      <c r="E23" s="21" t="s">
        <v>400</v>
      </c>
      <c r="F23" s="278" t="s">
        <v>2866</v>
      </c>
      <c r="G23" s="72" t="s">
        <v>2865</v>
      </c>
      <c r="H23" s="45" t="str">
        <f t="shared" si="0"/>
        <v>SI</v>
      </c>
      <c r="I23" s="45">
        <f t="shared" si="1"/>
        <v>5</v>
      </c>
      <c r="J23" s="378"/>
      <c r="K23" s="378"/>
      <c r="L23" s="382"/>
    </row>
    <row r="24" spans="1:12" ht="30" x14ac:dyDescent="0.25">
      <c r="A24" s="243">
        <v>1</v>
      </c>
      <c r="B24" s="9">
        <v>1</v>
      </c>
      <c r="C24" s="234" t="s">
        <v>80</v>
      </c>
      <c r="D24" s="361"/>
      <c r="E24" s="233" t="s">
        <v>92</v>
      </c>
      <c r="F24" s="278" t="s">
        <v>92</v>
      </c>
      <c r="G24" s="72" t="s">
        <v>2872</v>
      </c>
      <c r="H24" s="105" t="str">
        <f t="shared" si="0"/>
        <v>SI</v>
      </c>
      <c r="I24" s="105">
        <f t="shared" si="1"/>
        <v>5</v>
      </c>
      <c r="J24" s="379"/>
      <c r="K24" s="378"/>
      <c r="L24" s="382"/>
    </row>
    <row r="25" spans="1:12" ht="30" x14ac:dyDescent="0.25">
      <c r="A25" s="243">
        <v>1</v>
      </c>
      <c r="B25" s="9">
        <v>1</v>
      </c>
      <c r="C25" s="237" t="s">
        <v>81</v>
      </c>
      <c r="D25" s="380" t="s">
        <v>52</v>
      </c>
      <c r="E25" s="359" t="s">
        <v>85</v>
      </c>
      <c r="F25" s="9" t="s">
        <v>2876</v>
      </c>
      <c r="G25" s="72" t="s">
        <v>2875</v>
      </c>
      <c r="H25" s="45" t="str">
        <f t="shared" si="0"/>
        <v>SI</v>
      </c>
      <c r="I25" s="45">
        <f t="shared" si="1"/>
        <v>5</v>
      </c>
      <c r="J25" s="377">
        <f>AVERAGE(I25:I34)</f>
        <v>5</v>
      </c>
      <c r="K25" s="378"/>
      <c r="L25" s="382"/>
    </row>
    <row r="26" spans="1:12" x14ac:dyDescent="0.25">
      <c r="A26" s="243">
        <v>1</v>
      </c>
      <c r="B26" s="9">
        <v>1</v>
      </c>
      <c r="C26" s="237" t="s">
        <v>81</v>
      </c>
      <c r="D26" s="380"/>
      <c r="E26" s="361"/>
      <c r="F26" s="9" t="s">
        <v>2878</v>
      </c>
      <c r="G26" s="44" t="s">
        <v>2877</v>
      </c>
      <c r="H26" s="105" t="str">
        <f t="shared" si="0"/>
        <v>SI</v>
      </c>
      <c r="I26" s="105">
        <f t="shared" si="1"/>
        <v>5</v>
      </c>
      <c r="J26" s="378"/>
      <c r="K26" s="378"/>
      <c r="L26" s="382"/>
    </row>
    <row r="27" spans="1:12" ht="30" customHeight="1" x14ac:dyDescent="0.25">
      <c r="A27" s="243">
        <v>1</v>
      </c>
      <c r="B27" s="9">
        <v>1</v>
      </c>
      <c r="C27" s="237" t="s">
        <v>81</v>
      </c>
      <c r="D27" s="380"/>
      <c r="E27" s="362" t="s">
        <v>86</v>
      </c>
      <c r="F27" s="278" t="s">
        <v>465</v>
      </c>
      <c r="G27" s="72" t="s">
        <v>466</v>
      </c>
      <c r="H27" s="45" t="str">
        <f t="shared" si="0"/>
        <v>SI</v>
      </c>
      <c r="I27" s="45">
        <f t="shared" si="1"/>
        <v>5</v>
      </c>
      <c r="J27" s="378"/>
      <c r="K27" s="378"/>
      <c r="L27" s="382"/>
    </row>
    <row r="28" spans="1:12" ht="90" x14ac:dyDescent="0.25">
      <c r="A28" s="243">
        <v>1</v>
      </c>
      <c r="B28" s="9">
        <v>1</v>
      </c>
      <c r="C28" s="237" t="s">
        <v>81</v>
      </c>
      <c r="D28" s="380"/>
      <c r="E28" s="364"/>
      <c r="F28" s="278" t="s">
        <v>468</v>
      </c>
      <c r="G28" s="72" t="s">
        <v>467</v>
      </c>
      <c r="H28" s="45" t="str">
        <f t="shared" si="0"/>
        <v>SI</v>
      </c>
      <c r="I28" s="45">
        <f t="shared" si="1"/>
        <v>5</v>
      </c>
      <c r="J28" s="378"/>
      <c r="K28" s="378"/>
      <c r="L28" s="382"/>
    </row>
    <row r="29" spans="1:12" ht="30" x14ac:dyDescent="0.25">
      <c r="A29" s="243">
        <v>1</v>
      </c>
      <c r="B29" s="9">
        <v>1</v>
      </c>
      <c r="C29" s="237" t="s">
        <v>81</v>
      </c>
      <c r="D29" s="380"/>
      <c r="E29" s="364"/>
      <c r="F29" s="371" t="s">
        <v>470</v>
      </c>
      <c r="G29" s="72" t="s">
        <v>2879</v>
      </c>
      <c r="H29" s="105" t="str">
        <f t="shared" si="0"/>
        <v>SI</v>
      </c>
      <c r="I29" s="105">
        <f t="shared" si="1"/>
        <v>5</v>
      </c>
      <c r="J29" s="378"/>
      <c r="K29" s="378"/>
      <c r="L29" s="382"/>
    </row>
    <row r="30" spans="1:12" ht="30" x14ac:dyDescent="0.25">
      <c r="A30" s="243">
        <v>1</v>
      </c>
      <c r="B30" s="9">
        <v>1</v>
      </c>
      <c r="C30" s="237" t="s">
        <v>81</v>
      </c>
      <c r="D30" s="380"/>
      <c r="E30" s="363"/>
      <c r="F30" s="372"/>
      <c r="G30" s="72" t="s">
        <v>469</v>
      </c>
      <c r="H30" s="45" t="str">
        <f>IF((LEN(F29)=$O$4)*OR(LEN(G30)=$O$4),$N$4,IF(EXACT(F29,$N$5),$N$5,$N$3))</f>
        <v>SI</v>
      </c>
      <c r="I30" s="45">
        <f t="shared" si="1"/>
        <v>5</v>
      </c>
      <c r="J30" s="378"/>
      <c r="K30" s="378"/>
      <c r="L30" s="382"/>
    </row>
    <row r="31" spans="1:12" ht="25.35" customHeight="1" x14ac:dyDescent="0.25">
      <c r="A31" s="243">
        <v>1</v>
      </c>
      <c r="B31" s="9">
        <v>1</v>
      </c>
      <c r="C31" s="237" t="s">
        <v>81</v>
      </c>
      <c r="D31" s="380"/>
      <c r="E31" s="362" t="s">
        <v>401</v>
      </c>
      <c r="F31" s="278" t="s">
        <v>458</v>
      </c>
      <c r="G31" s="72" t="s">
        <v>459</v>
      </c>
      <c r="H31" s="45" t="str">
        <f t="shared" ref="H31:H69" si="2">IF((LEN(F31)=$O$4)*OR(LEN(G31)=$O$4),$N$4,IF(EXACT(F31,$N$5),$N$5,$N$3))</f>
        <v>SI</v>
      </c>
      <c r="I31" s="45">
        <f t="shared" si="1"/>
        <v>5</v>
      </c>
      <c r="J31" s="378"/>
      <c r="K31" s="378"/>
      <c r="L31" s="382"/>
    </row>
    <row r="32" spans="1:12" ht="45" x14ac:dyDescent="0.25">
      <c r="A32" s="243">
        <v>1</v>
      </c>
      <c r="B32" s="9">
        <v>1</v>
      </c>
      <c r="C32" s="237" t="s">
        <v>81</v>
      </c>
      <c r="D32" s="380"/>
      <c r="E32" s="364"/>
      <c r="F32" s="278" t="s">
        <v>460</v>
      </c>
      <c r="G32" s="72" t="s">
        <v>455</v>
      </c>
      <c r="H32" s="45" t="str">
        <f t="shared" si="2"/>
        <v>SI</v>
      </c>
      <c r="I32" s="45">
        <f t="shared" si="1"/>
        <v>5</v>
      </c>
      <c r="J32" s="378"/>
      <c r="K32" s="378"/>
      <c r="L32" s="382"/>
    </row>
    <row r="33" spans="1:12" x14ac:dyDescent="0.25">
      <c r="A33" s="243">
        <v>1</v>
      </c>
      <c r="B33" s="9">
        <v>1</v>
      </c>
      <c r="C33" s="237" t="s">
        <v>81</v>
      </c>
      <c r="D33" s="380"/>
      <c r="E33" s="364"/>
      <c r="F33" s="278" t="s">
        <v>461</v>
      </c>
      <c r="G33" s="72" t="s">
        <v>462</v>
      </c>
      <c r="H33" s="45" t="str">
        <f t="shared" si="2"/>
        <v>SI</v>
      </c>
      <c r="I33" s="45">
        <f t="shared" si="1"/>
        <v>5</v>
      </c>
      <c r="J33" s="378"/>
      <c r="K33" s="378"/>
      <c r="L33" s="382"/>
    </row>
    <row r="34" spans="1:12" x14ac:dyDescent="0.25">
      <c r="A34" s="243">
        <v>1</v>
      </c>
      <c r="B34" s="9">
        <v>1</v>
      </c>
      <c r="C34" s="237" t="s">
        <v>81</v>
      </c>
      <c r="D34" s="380"/>
      <c r="E34" s="364"/>
      <c r="F34" s="278" t="s">
        <v>463</v>
      </c>
      <c r="G34" s="72" t="s">
        <v>464</v>
      </c>
      <c r="H34" s="45" t="str">
        <f t="shared" si="2"/>
        <v>SI</v>
      </c>
      <c r="I34" s="45">
        <f t="shared" si="1"/>
        <v>5</v>
      </c>
      <c r="J34" s="378"/>
      <c r="K34" s="378"/>
      <c r="L34" s="382"/>
    </row>
    <row r="35" spans="1:12" ht="101.25" customHeight="1" x14ac:dyDescent="0.25">
      <c r="A35" s="243">
        <v>1</v>
      </c>
      <c r="B35" s="9">
        <v>1</v>
      </c>
      <c r="C35" s="234" t="s">
        <v>87</v>
      </c>
      <c r="D35" s="359" t="s">
        <v>53</v>
      </c>
      <c r="E35" s="21" t="s">
        <v>90</v>
      </c>
      <c r="F35" s="278" t="s">
        <v>93</v>
      </c>
      <c r="G35" s="72" t="s">
        <v>472</v>
      </c>
      <c r="H35" s="45" t="str">
        <f t="shared" si="2"/>
        <v>SI</v>
      </c>
      <c r="I35" s="45">
        <f t="shared" ref="I35:I67" si="3">IF(EXACT(H35,$N$3),$O$3,IF(EXACT(H35,$N$5),$N$5,$O$4))</f>
        <v>5</v>
      </c>
      <c r="J35" s="377">
        <f>AVERAGE(I35:I42)</f>
        <v>5</v>
      </c>
      <c r="K35" s="378"/>
      <c r="L35" s="382"/>
    </row>
    <row r="36" spans="1:12" ht="36.75" customHeight="1" x14ac:dyDescent="0.25">
      <c r="A36" s="243">
        <v>1</v>
      </c>
      <c r="B36" s="9">
        <v>1</v>
      </c>
      <c r="C36" s="235" t="s">
        <v>87</v>
      </c>
      <c r="D36" s="360"/>
      <c r="E36" s="302" t="s">
        <v>473</v>
      </c>
      <c r="F36" s="278" t="s">
        <v>473</v>
      </c>
      <c r="G36" s="72" t="s">
        <v>2963</v>
      </c>
      <c r="H36" s="45" t="str">
        <f t="shared" si="2"/>
        <v>SI</v>
      </c>
      <c r="I36" s="45">
        <f t="shared" si="3"/>
        <v>5</v>
      </c>
      <c r="J36" s="378"/>
      <c r="K36" s="378"/>
      <c r="L36" s="382"/>
    </row>
    <row r="37" spans="1:12" ht="36.75" customHeight="1" x14ac:dyDescent="0.25">
      <c r="A37" s="243">
        <v>1</v>
      </c>
      <c r="B37" s="9">
        <v>1</v>
      </c>
      <c r="C37" s="237" t="s">
        <v>87</v>
      </c>
      <c r="D37" s="360"/>
      <c r="E37" s="302" t="s">
        <v>474</v>
      </c>
      <c r="F37" s="278" t="s">
        <v>474</v>
      </c>
      <c r="G37" s="74" t="s">
        <v>475</v>
      </c>
      <c r="H37" s="45" t="str">
        <f t="shared" si="2"/>
        <v>SI</v>
      </c>
      <c r="I37" s="45">
        <f t="shared" si="3"/>
        <v>5</v>
      </c>
      <c r="J37" s="378"/>
      <c r="K37" s="378"/>
      <c r="L37" s="382"/>
    </row>
    <row r="38" spans="1:12" ht="33" customHeight="1" x14ac:dyDescent="0.25">
      <c r="A38" s="243">
        <v>1</v>
      </c>
      <c r="B38" s="9">
        <v>1</v>
      </c>
      <c r="C38" s="235" t="s">
        <v>87</v>
      </c>
      <c r="D38" s="360"/>
      <c r="E38" s="302" t="s">
        <v>754</v>
      </c>
      <c r="F38" s="278" t="s">
        <v>2967</v>
      </c>
      <c r="G38" s="74"/>
      <c r="H38" s="45" t="str">
        <f t="shared" si="2"/>
        <v>SI</v>
      </c>
      <c r="I38" s="45">
        <f t="shared" si="3"/>
        <v>5</v>
      </c>
      <c r="J38" s="378"/>
      <c r="K38" s="378"/>
      <c r="L38" s="382"/>
    </row>
    <row r="39" spans="1:12" ht="45" x14ac:dyDescent="0.25">
      <c r="A39" s="243">
        <v>1</v>
      </c>
      <c r="B39" s="9">
        <v>1</v>
      </c>
      <c r="C39" s="237" t="s">
        <v>87</v>
      </c>
      <c r="D39" s="360"/>
      <c r="E39" s="21" t="s">
        <v>91</v>
      </c>
      <c r="F39" s="9" t="s">
        <v>2884</v>
      </c>
      <c r="G39" s="44" t="s">
        <v>2883</v>
      </c>
      <c r="H39" s="45" t="str">
        <f t="shared" si="2"/>
        <v>SI</v>
      </c>
      <c r="I39" s="45">
        <f t="shared" si="3"/>
        <v>5</v>
      </c>
      <c r="J39" s="378"/>
      <c r="K39" s="378"/>
      <c r="L39" s="382"/>
    </row>
    <row r="40" spans="1:12" ht="24" customHeight="1" x14ac:dyDescent="0.25">
      <c r="A40" s="243">
        <v>1</v>
      </c>
      <c r="B40" s="9">
        <v>1</v>
      </c>
      <c r="C40" s="235" t="s">
        <v>87</v>
      </c>
      <c r="D40" s="360"/>
      <c r="E40" s="362" t="s">
        <v>471</v>
      </c>
      <c r="F40" s="9" t="s">
        <v>2888</v>
      </c>
      <c r="G40" s="44" t="s">
        <v>2888</v>
      </c>
      <c r="H40" s="45" t="str">
        <f t="shared" si="2"/>
        <v>SI</v>
      </c>
      <c r="I40" s="45">
        <f t="shared" si="3"/>
        <v>5</v>
      </c>
      <c r="J40" s="378"/>
      <c r="K40" s="378"/>
      <c r="L40" s="382"/>
    </row>
    <row r="41" spans="1:12" ht="27" customHeight="1" x14ac:dyDescent="0.25">
      <c r="A41" s="243">
        <v>1</v>
      </c>
      <c r="B41" s="9">
        <v>1</v>
      </c>
      <c r="C41" s="237" t="s">
        <v>87</v>
      </c>
      <c r="D41" s="360"/>
      <c r="E41" s="364"/>
      <c r="F41" s="9" t="s">
        <v>2887</v>
      </c>
      <c r="G41" s="44" t="s">
        <v>2887</v>
      </c>
      <c r="H41" s="105" t="str">
        <f t="shared" si="2"/>
        <v>SI</v>
      </c>
      <c r="I41" s="105">
        <f t="shared" si="3"/>
        <v>5</v>
      </c>
      <c r="J41" s="378"/>
      <c r="K41" s="378"/>
      <c r="L41" s="382"/>
    </row>
    <row r="42" spans="1:12" ht="29.25" customHeight="1" x14ac:dyDescent="0.25">
      <c r="A42" s="243">
        <v>1</v>
      </c>
      <c r="B42" s="9">
        <v>1</v>
      </c>
      <c r="C42" s="235" t="s">
        <v>87</v>
      </c>
      <c r="D42" s="361"/>
      <c r="E42" s="363"/>
      <c r="F42" s="9" t="s">
        <v>2885</v>
      </c>
      <c r="G42" s="44" t="s">
        <v>2886</v>
      </c>
      <c r="H42" s="105" t="str">
        <f t="shared" si="2"/>
        <v>SI</v>
      </c>
      <c r="I42" s="105">
        <f t="shared" si="3"/>
        <v>5</v>
      </c>
      <c r="J42" s="379"/>
      <c r="K42" s="378"/>
      <c r="L42" s="382"/>
    </row>
    <row r="43" spans="1:12" ht="105" x14ac:dyDescent="0.25">
      <c r="A43" s="243">
        <v>1</v>
      </c>
      <c r="B43" s="9">
        <v>1</v>
      </c>
      <c r="C43" s="237" t="s">
        <v>88</v>
      </c>
      <c r="D43" s="380" t="s">
        <v>54</v>
      </c>
      <c r="E43" s="21" t="s">
        <v>93</v>
      </c>
      <c r="F43" s="278" t="s">
        <v>93</v>
      </c>
      <c r="G43" s="72" t="s">
        <v>472</v>
      </c>
      <c r="H43" s="45" t="str">
        <f t="shared" si="2"/>
        <v>SI</v>
      </c>
      <c r="I43" s="45">
        <f t="shared" si="3"/>
        <v>5</v>
      </c>
      <c r="J43" s="377">
        <f>AVERAGE(I43:I46)</f>
        <v>5</v>
      </c>
      <c r="K43" s="378"/>
      <c r="L43" s="382"/>
    </row>
    <row r="44" spans="1:12" x14ac:dyDescent="0.25">
      <c r="A44" s="243">
        <v>1</v>
      </c>
      <c r="B44" s="9">
        <v>1</v>
      </c>
      <c r="C44" s="237" t="s">
        <v>88</v>
      </c>
      <c r="D44" s="380"/>
      <c r="E44" s="254" t="s">
        <v>2889</v>
      </c>
      <c r="F44" s="253" t="s">
        <v>2862</v>
      </c>
      <c r="G44" s="44" t="s">
        <v>2863</v>
      </c>
      <c r="H44" s="45" t="str">
        <f t="shared" si="2"/>
        <v>SI</v>
      </c>
      <c r="I44" s="45">
        <f t="shared" si="3"/>
        <v>5</v>
      </c>
      <c r="J44" s="378"/>
      <c r="K44" s="378"/>
      <c r="L44" s="382"/>
    </row>
    <row r="45" spans="1:12" ht="36.75" customHeight="1" x14ac:dyDescent="0.25">
      <c r="A45" s="243">
        <v>1</v>
      </c>
      <c r="B45" s="9">
        <v>1</v>
      </c>
      <c r="C45" s="237" t="s">
        <v>88</v>
      </c>
      <c r="D45" s="380"/>
      <c r="E45" s="271" t="s">
        <v>737</v>
      </c>
      <c r="F45" s="278" t="s">
        <v>2904</v>
      </c>
      <c r="G45" s="249" t="s">
        <v>2903</v>
      </c>
      <c r="H45" s="45" t="str">
        <f t="shared" si="2"/>
        <v>SI</v>
      </c>
      <c r="I45" s="45">
        <f t="shared" si="3"/>
        <v>5</v>
      </c>
      <c r="J45" s="378"/>
      <c r="K45" s="378"/>
      <c r="L45" s="382"/>
    </row>
    <row r="46" spans="1:12" ht="30" x14ac:dyDescent="0.25">
      <c r="A46" s="243">
        <v>1</v>
      </c>
      <c r="B46" s="9">
        <v>1</v>
      </c>
      <c r="C46" s="237" t="s">
        <v>88</v>
      </c>
      <c r="D46" s="380"/>
      <c r="E46" s="273" t="s">
        <v>94</v>
      </c>
      <c r="F46" s="278" t="s">
        <v>2965</v>
      </c>
      <c r="G46" s="44" t="s">
        <v>2964</v>
      </c>
      <c r="H46" s="45" t="str">
        <f t="shared" si="2"/>
        <v>SI</v>
      </c>
      <c r="I46" s="45">
        <f t="shared" si="3"/>
        <v>5</v>
      </c>
      <c r="J46" s="378"/>
      <c r="K46" s="378"/>
      <c r="L46" s="382"/>
    </row>
    <row r="47" spans="1:12" ht="30" x14ac:dyDescent="0.25">
      <c r="A47" s="243">
        <v>1</v>
      </c>
      <c r="B47" s="245">
        <v>2</v>
      </c>
      <c r="C47" s="237" t="str">
        <f>Final!E8</f>
        <v>a</v>
      </c>
      <c r="D47" s="362" t="str">
        <f>Final!F8</f>
        <v>Estrategias y mecanismos establecidos para la discusión, actualización, difusión y evaluación del Proyecto Educativo del proyecto curricular (PEP)</v>
      </c>
      <c r="E47" s="21" t="s">
        <v>403</v>
      </c>
      <c r="F47" s="278" t="s">
        <v>2866</v>
      </c>
      <c r="G47" s="72" t="s">
        <v>2865</v>
      </c>
      <c r="H47" s="45" t="str">
        <f t="shared" si="2"/>
        <v>SI</v>
      </c>
      <c r="I47" s="45">
        <f t="shared" si="3"/>
        <v>5</v>
      </c>
      <c r="J47" s="377">
        <f>AVERAGE(I48:I54)</f>
        <v>5</v>
      </c>
      <c r="K47" s="377">
        <f>AVERAGE(J47:J64)</f>
        <v>5</v>
      </c>
      <c r="L47" s="382"/>
    </row>
    <row r="48" spans="1:12" ht="30" x14ac:dyDescent="0.25">
      <c r="A48" s="243">
        <v>1</v>
      </c>
      <c r="B48" s="245">
        <v>2</v>
      </c>
      <c r="C48" s="237" t="s">
        <v>55</v>
      </c>
      <c r="D48" s="364"/>
      <c r="E48" s="21" t="s">
        <v>404</v>
      </c>
      <c r="F48" s="278" t="s">
        <v>477</v>
      </c>
      <c r="G48" s="71" t="s">
        <v>454</v>
      </c>
      <c r="H48" s="45" t="str">
        <f t="shared" si="2"/>
        <v>SI</v>
      </c>
      <c r="I48" s="45">
        <f t="shared" si="3"/>
        <v>5</v>
      </c>
      <c r="J48" s="378"/>
      <c r="K48" s="378"/>
      <c r="L48" s="382"/>
    </row>
    <row r="49" spans="1:12" ht="117" customHeight="1" x14ac:dyDescent="0.25">
      <c r="A49" s="243">
        <v>1</v>
      </c>
      <c r="B49" s="245">
        <v>2</v>
      </c>
      <c r="C49" s="237" t="s">
        <v>55</v>
      </c>
      <c r="D49" s="364"/>
      <c r="E49" s="21" t="s">
        <v>405</v>
      </c>
      <c r="F49" s="278" t="s">
        <v>448</v>
      </c>
      <c r="G49" s="72" t="s">
        <v>449</v>
      </c>
      <c r="H49" s="45" t="str">
        <f t="shared" si="2"/>
        <v>SI</v>
      </c>
      <c r="I49" s="45">
        <f t="shared" si="3"/>
        <v>5</v>
      </c>
      <c r="J49" s="378"/>
      <c r="K49" s="378"/>
      <c r="L49" s="382"/>
    </row>
    <row r="50" spans="1:12" ht="45" x14ac:dyDescent="0.25">
      <c r="A50" s="243">
        <v>1</v>
      </c>
      <c r="B50" s="245">
        <v>2</v>
      </c>
      <c r="C50" s="237" t="s">
        <v>55</v>
      </c>
      <c r="D50" s="364"/>
      <c r="E50" s="21" t="s">
        <v>406</v>
      </c>
      <c r="F50" s="278" t="s">
        <v>2870</v>
      </c>
      <c r="G50" s="72" t="s">
        <v>2892</v>
      </c>
      <c r="H50" s="45" t="str">
        <f t="shared" si="2"/>
        <v>SI</v>
      </c>
      <c r="I50" s="45">
        <f t="shared" si="3"/>
        <v>5</v>
      </c>
      <c r="J50" s="378"/>
      <c r="K50" s="378"/>
      <c r="L50" s="382"/>
    </row>
    <row r="51" spans="1:12" ht="45" x14ac:dyDescent="0.25">
      <c r="A51" s="243">
        <v>1</v>
      </c>
      <c r="B51" s="245">
        <v>2</v>
      </c>
      <c r="C51" s="237" t="str">
        <f>Final!E12</f>
        <v>a</v>
      </c>
      <c r="D51" s="364"/>
      <c r="E51" s="21" t="s">
        <v>407</v>
      </c>
      <c r="F51" s="278" t="s">
        <v>2866</v>
      </c>
      <c r="G51" s="72" t="s">
        <v>2865</v>
      </c>
      <c r="H51" s="45" t="str">
        <f t="shared" si="2"/>
        <v>SI</v>
      </c>
      <c r="I51" s="45">
        <f t="shared" si="3"/>
        <v>5</v>
      </c>
      <c r="J51" s="378"/>
      <c r="K51" s="378"/>
      <c r="L51" s="382"/>
    </row>
    <row r="52" spans="1:12" ht="45" x14ac:dyDescent="0.25">
      <c r="A52" s="243">
        <v>1</v>
      </c>
      <c r="B52" s="245">
        <v>2</v>
      </c>
      <c r="C52" s="237" t="s">
        <v>55</v>
      </c>
      <c r="D52" s="364"/>
      <c r="E52" s="21" t="s">
        <v>408</v>
      </c>
      <c r="F52" s="278" t="s">
        <v>2866</v>
      </c>
      <c r="G52" s="72" t="s">
        <v>2865</v>
      </c>
      <c r="H52" s="45" t="str">
        <f t="shared" si="2"/>
        <v>SI</v>
      </c>
      <c r="I52" s="45">
        <f t="shared" si="3"/>
        <v>5</v>
      </c>
      <c r="J52" s="378"/>
      <c r="K52" s="378"/>
      <c r="L52" s="382"/>
    </row>
    <row r="53" spans="1:12" x14ac:dyDescent="0.25">
      <c r="A53" s="243"/>
      <c r="B53" s="245"/>
      <c r="C53" s="272"/>
      <c r="D53" s="364"/>
      <c r="E53" s="359" t="s">
        <v>409</v>
      </c>
      <c r="F53" s="375" t="s">
        <v>2880</v>
      </c>
      <c r="G53" s="72" t="s">
        <v>2882</v>
      </c>
      <c r="H53" s="105" t="str">
        <f>IF((LEN(F53)=$O$4)*OR(LEN(G53)=$O$4),$N$4,IF(EXACT(F53,$N$5),$N$5,$N$3))</f>
        <v>SI</v>
      </c>
      <c r="I53" s="105">
        <f>IF(EXACT(H53,$N$3),$O$3,IF(EXACT(H53,$N$5),$N$5,$O$4))</f>
        <v>5</v>
      </c>
      <c r="J53" s="378"/>
      <c r="K53" s="378"/>
      <c r="L53" s="382"/>
    </row>
    <row r="54" spans="1:12" x14ac:dyDescent="0.25">
      <c r="A54" s="243">
        <v>1</v>
      </c>
      <c r="B54" s="245">
        <v>2</v>
      </c>
      <c r="C54" s="237" t="s">
        <v>55</v>
      </c>
      <c r="D54" s="363"/>
      <c r="E54" s="361"/>
      <c r="F54" s="376"/>
      <c r="G54" s="72" t="s">
        <v>2881</v>
      </c>
      <c r="H54" s="45" t="str">
        <f t="shared" si="2"/>
        <v>SI</v>
      </c>
      <c r="I54" s="45">
        <f t="shared" si="3"/>
        <v>5</v>
      </c>
      <c r="J54" s="379"/>
      <c r="K54" s="378"/>
      <c r="L54" s="382"/>
    </row>
    <row r="55" spans="1:12" ht="33.75" customHeight="1" x14ac:dyDescent="0.25">
      <c r="A55" s="243">
        <v>1</v>
      </c>
      <c r="B55" s="245">
        <v>2</v>
      </c>
      <c r="C55" s="234" t="str">
        <f>Final!E9</f>
        <v>b</v>
      </c>
      <c r="D55" s="362" t="str">
        <f>Final!F9</f>
        <v>Apropiación del Proyecto Educativo del proyecto curricular por parte de la comunidad académica respectiva</v>
      </c>
      <c r="E55" s="21" t="s">
        <v>49</v>
      </c>
      <c r="F55" s="278" t="s">
        <v>2866</v>
      </c>
      <c r="G55" s="72" t="s">
        <v>2865</v>
      </c>
      <c r="H55" s="45" t="str">
        <f t="shared" si="2"/>
        <v>SI</v>
      </c>
      <c r="I55" s="45">
        <f t="shared" si="3"/>
        <v>5</v>
      </c>
      <c r="J55" s="377">
        <f>AVERAGE(I55:I57)</f>
        <v>5</v>
      </c>
      <c r="K55" s="378"/>
      <c r="L55" s="382"/>
    </row>
    <row r="56" spans="1:12" x14ac:dyDescent="0.25">
      <c r="A56" s="243"/>
      <c r="B56" s="245"/>
      <c r="C56" s="270"/>
      <c r="D56" s="364"/>
      <c r="E56" s="359" t="s">
        <v>84</v>
      </c>
      <c r="F56" s="362" t="s">
        <v>2880</v>
      </c>
      <c r="G56" s="72" t="s">
        <v>2882</v>
      </c>
      <c r="H56" s="105" t="str">
        <f>IF((LEN(F56)=$O$4)*OR(LEN(G56)=$O$4),$N$4,IF(EXACT(F56,$N$5),$N$5,$N$3))</f>
        <v>SI</v>
      </c>
      <c r="I56" s="105">
        <f>IF(EXACT(H56,$N$3),$O$3,IF(EXACT(H56,$N$5),$N$5,$O$4))</f>
        <v>5</v>
      </c>
      <c r="J56" s="378"/>
      <c r="K56" s="378"/>
      <c r="L56" s="382"/>
    </row>
    <row r="57" spans="1:12" ht="23.25" customHeight="1" x14ac:dyDescent="0.25">
      <c r="A57" s="243">
        <v>1</v>
      </c>
      <c r="B57" s="245">
        <v>2</v>
      </c>
      <c r="C57" s="234" t="s">
        <v>56</v>
      </c>
      <c r="D57" s="364"/>
      <c r="E57" s="361"/>
      <c r="F57" s="363"/>
      <c r="G57" s="72" t="s">
        <v>2881</v>
      </c>
      <c r="H57" s="45" t="str">
        <f t="shared" si="2"/>
        <v>SI</v>
      </c>
      <c r="I57" s="45">
        <f t="shared" si="3"/>
        <v>5</v>
      </c>
      <c r="J57" s="379"/>
      <c r="K57" s="378"/>
      <c r="L57" s="382"/>
    </row>
    <row r="58" spans="1:12" ht="60" x14ac:dyDescent="0.25">
      <c r="A58" s="243">
        <v>1</v>
      </c>
      <c r="B58" s="245">
        <v>2</v>
      </c>
      <c r="C58" s="242" t="str">
        <f>Final!E10</f>
        <v>c</v>
      </c>
      <c r="D58" s="362" t="str">
        <f>Final!F10</f>
        <v>Modelo pedagógico o concepción de aprendizaje que sustentan la metodología de enseñanza en que se ofrece el proyecto curricular evaluado. Los fundamentos pedagógicos o concepciones de aprendizaje asumidos por el proyecto curricular son coherentes e inciden en las metodologías de enseñanza.</v>
      </c>
      <c r="E58" s="21" t="s">
        <v>410</v>
      </c>
      <c r="F58" s="278" t="s">
        <v>2870</v>
      </c>
      <c r="G58" s="72" t="s">
        <v>2892</v>
      </c>
      <c r="H58" s="45" t="str">
        <f t="shared" si="2"/>
        <v>SI</v>
      </c>
      <c r="I58" s="45">
        <f t="shared" si="3"/>
        <v>5</v>
      </c>
      <c r="J58" s="377">
        <f>AVERAGE(I58:I61)</f>
        <v>5</v>
      </c>
      <c r="K58" s="378"/>
      <c r="L58" s="382"/>
    </row>
    <row r="59" spans="1:12" ht="120" x14ac:dyDescent="0.25">
      <c r="A59" s="243">
        <v>1</v>
      </c>
      <c r="B59" s="245">
        <v>2</v>
      </c>
      <c r="C59" s="9" t="s">
        <v>80</v>
      </c>
      <c r="D59" s="364"/>
      <c r="E59" s="21" t="s">
        <v>2966</v>
      </c>
      <c r="F59" s="278" t="s">
        <v>448</v>
      </c>
      <c r="G59" s="72" t="s">
        <v>449</v>
      </c>
      <c r="H59" s="45" t="str">
        <f t="shared" si="2"/>
        <v>SI</v>
      </c>
      <c r="I59" s="45">
        <f t="shared" si="3"/>
        <v>5</v>
      </c>
      <c r="J59" s="378"/>
      <c r="K59" s="378"/>
      <c r="L59" s="382"/>
    </row>
    <row r="60" spans="1:12" ht="30" x14ac:dyDescent="0.25">
      <c r="A60" s="243">
        <v>1</v>
      </c>
      <c r="B60" s="245">
        <v>2</v>
      </c>
      <c r="C60" s="9" t="s">
        <v>80</v>
      </c>
      <c r="D60" s="364"/>
      <c r="E60" s="21" t="s">
        <v>74</v>
      </c>
      <c r="F60" s="278" t="s">
        <v>2866</v>
      </c>
      <c r="G60" s="72" t="s">
        <v>2865</v>
      </c>
      <c r="H60" s="45" t="str">
        <f t="shared" si="2"/>
        <v>SI</v>
      </c>
      <c r="I60" s="45">
        <f t="shared" si="3"/>
        <v>5</v>
      </c>
      <c r="J60" s="378"/>
      <c r="K60" s="378"/>
      <c r="L60" s="382"/>
    </row>
    <row r="61" spans="1:12" ht="75" x14ac:dyDescent="0.25">
      <c r="A61" s="243">
        <v>1</v>
      </c>
      <c r="B61" s="245">
        <v>2</v>
      </c>
      <c r="C61" s="244" t="s">
        <v>80</v>
      </c>
      <c r="D61" s="363"/>
      <c r="E61" s="21" t="s">
        <v>411</v>
      </c>
      <c r="F61" s="278" t="s">
        <v>478</v>
      </c>
      <c r="G61" s="71" t="s">
        <v>479</v>
      </c>
      <c r="H61" s="45" t="str">
        <f t="shared" si="2"/>
        <v>SI</v>
      </c>
      <c r="I61" s="45">
        <f t="shared" si="3"/>
        <v>5</v>
      </c>
      <c r="J61" s="379"/>
      <c r="K61" s="378"/>
      <c r="L61" s="382"/>
    </row>
    <row r="62" spans="1:12" ht="75" x14ac:dyDescent="0.25">
      <c r="A62" s="243">
        <v>1</v>
      </c>
      <c r="B62" s="245">
        <v>2</v>
      </c>
      <c r="C62" s="237" t="str">
        <f>Final!E11</f>
        <v>d</v>
      </c>
      <c r="D62" s="362" t="str">
        <f>Final!F11</f>
        <v>Coherencia entre el Proyecto Educativo del proyecto curricular y las actividades académicas desarrolladas.</v>
      </c>
      <c r="E62" s="21" t="s">
        <v>412</v>
      </c>
      <c r="F62" s="278" t="s">
        <v>2870</v>
      </c>
      <c r="G62" s="72" t="s">
        <v>2892</v>
      </c>
      <c r="H62" s="45" t="str">
        <f t="shared" si="2"/>
        <v>SI</v>
      </c>
      <c r="I62" s="45">
        <f t="shared" si="3"/>
        <v>5</v>
      </c>
      <c r="J62" s="377">
        <f>AVERAGE(I62:I64)</f>
        <v>5</v>
      </c>
      <c r="K62" s="378"/>
      <c r="L62" s="382"/>
    </row>
    <row r="63" spans="1:12" ht="75" x14ac:dyDescent="0.25">
      <c r="A63" s="243">
        <v>1</v>
      </c>
      <c r="B63" s="245">
        <v>2</v>
      </c>
      <c r="C63" s="237" t="s">
        <v>81</v>
      </c>
      <c r="D63" s="364"/>
      <c r="E63" s="21" t="s">
        <v>413</v>
      </c>
      <c r="F63" s="278" t="s">
        <v>2880</v>
      </c>
      <c r="G63" s="72" t="s">
        <v>2882</v>
      </c>
      <c r="H63" s="45" t="str">
        <f t="shared" si="2"/>
        <v>SI</v>
      </c>
      <c r="I63" s="45">
        <f t="shared" si="3"/>
        <v>5</v>
      </c>
      <c r="J63" s="378"/>
      <c r="K63" s="378"/>
      <c r="L63" s="382"/>
    </row>
    <row r="64" spans="1:12" x14ac:dyDescent="0.25">
      <c r="A64" s="243">
        <v>1</v>
      </c>
      <c r="B64" s="245">
        <v>2</v>
      </c>
      <c r="C64" s="236" t="s">
        <v>81</v>
      </c>
      <c r="D64" s="363"/>
      <c r="E64" s="21" t="s">
        <v>409</v>
      </c>
      <c r="F64" s="278" t="s">
        <v>2880</v>
      </c>
      <c r="G64" s="72" t="s">
        <v>2881</v>
      </c>
      <c r="H64" s="45" t="str">
        <f t="shared" si="2"/>
        <v>SI</v>
      </c>
      <c r="I64" s="45">
        <f t="shared" si="3"/>
        <v>5</v>
      </c>
      <c r="J64" s="379"/>
      <c r="K64" s="379"/>
      <c r="L64" s="382"/>
    </row>
    <row r="65" spans="1:12" ht="30" x14ac:dyDescent="0.25">
      <c r="A65" s="243">
        <v>1</v>
      </c>
      <c r="B65" s="245">
        <v>3</v>
      </c>
      <c r="C65" s="234" t="str">
        <f>Final!E12</f>
        <v>a</v>
      </c>
      <c r="D65" s="362" t="str">
        <f>Final!F12</f>
        <v>Análisis realizados sobre las tendencias y líneas de desarrollo de la disciplina o profesión en el ámbito local, regional, nacional e internacional, y su incidencia en el proyecto curricular.</v>
      </c>
      <c r="E65" s="21" t="s">
        <v>74</v>
      </c>
      <c r="F65" s="278" t="s">
        <v>2866</v>
      </c>
      <c r="G65" s="72" t="s">
        <v>2865</v>
      </c>
      <c r="H65" s="45" t="str">
        <f t="shared" si="2"/>
        <v>SI</v>
      </c>
      <c r="I65" s="45">
        <f t="shared" si="3"/>
        <v>5</v>
      </c>
      <c r="J65" s="377">
        <f>AVERAGE(I65:I68)</f>
        <v>2.5</v>
      </c>
      <c r="K65" s="381">
        <f>AVERAGE(J65:J102)</f>
        <v>3.4907407407407405</v>
      </c>
      <c r="L65" s="382"/>
    </row>
    <row r="66" spans="1:12" ht="45" x14ac:dyDescent="0.25">
      <c r="A66" s="243">
        <v>1</v>
      </c>
      <c r="B66" s="245">
        <v>3</v>
      </c>
      <c r="C66" s="235" t="s">
        <v>55</v>
      </c>
      <c r="D66" s="364"/>
      <c r="E66" s="21" t="s">
        <v>414</v>
      </c>
      <c r="F66" s="278" t="s">
        <v>2870</v>
      </c>
      <c r="G66" s="72" t="s">
        <v>2892</v>
      </c>
      <c r="H66" s="45" t="str">
        <f t="shared" si="2"/>
        <v>SI</v>
      </c>
      <c r="I66" s="45">
        <f t="shared" si="3"/>
        <v>5</v>
      </c>
      <c r="J66" s="378"/>
      <c r="K66" s="382"/>
      <c r="L66" s="382"/>
    </row>
    <row r="67" spans="1:12" ht="30" x14ac:dyDescent="0.25">
      <c r="A67" s="243">
        <v>1</v>
      </c>
      <c r="B67" s="245">
        <v>3</v>
      </c>
      <c r="C67" s="235" t="s">
        <v>55</v>
      </c>
      <c r="D67" s="364"/>
      <c r="E67" s="21" t="s">
        <v>415</v>
      </c>
      <c r="F67" s="280"/>
      <c r="G67" s="10"/>
      <c r="H67" s="45" t="str">
        <f t="shared" si="2"/>
        <v>NO</v>
      </c>
      <c r="I67" s="45">
        <f t="shared" si="3"/>
        <v>0</v>
      </c>
      <c r="J67" s="378"/>
      <c r="K67" s="382"/>
      <c r="L67" s="382"/>
    </row>
    <row r="68" spans="1:12" x14ac:dyDescent="0.25">
      <c r="A68" s="243">
        <v>1</v>
      </c>
      <c r="B68" s="245">
        <v>3</v>
      </c>
      <c r="C68" s="236" t="s">
        <v>55</v>
      </c>
      <c r="D68" s="363"/>
      <c r="E68" s="21" t="s">
        <v>92</v>
      </c>
      <c r="F68" s="280"/>
      <c r="G68" s="10"/>
      <c r="H68" s="45" t="str">
        <f t="shared" si="2"/>
        <v>NO</v>
      </c>
      <c r="I68" s="45">
        <f t="shared" ref="I68:I104" si="4">IF(EXACT(H68,$N$3),$O$3,IF(EXACT(H68,$N$5),$N$5,$O$4))</f>
        <v>0</v>
      </c>
      <c r="J68" s="379"/>
      <c r="K68" s="382"/>
      <c r="L68" s="382"/>
    </row>
    <row r="69" spans="1:12" ht="30" x14ac:dyDescent="0.25">
      <c r="A69" s="243">
        <v>1</v>
      </c>
      <c r="B69" s="245">
        <v>3</v>
      </c>
      <c r="C69" s="234" t="str">
        <f>Final!E13</f>
        <v>b</v>
      </c>
      <c r="D69" s="362" t="str">
        <f>Final!F13</f>
        <v>Estudios orientados a identificar las necesidades y requerimientos del entorno laboral (local, regional y nacional) en términos de requerimientos de formación del recurso humano en los ámbitos productivos, educativos, artísticos, tecnológicos, de talento humano, competitividad, etc. propios del campo de conocimiento del proyecto curricular. Acciones del proyecto curricular para atenderlos.</v>
      </c>
      <c r="E69" s="21" t="s">
        <v>74</v>
      </c>
      <c r="F69" s="278" t="s">
        <v>2866</v>
      </c>
      <c r="G69" s="72" t="s">
        <v>2865</v>
      </c>
      <c r="H69" s="45" t="str">
        <f t="shared" si="2"/>
        <v>SI</v>
      </c>
      <c r="I69" s="45">
        <f t="shared" si="4"/>
        <v>5</v>
      </c>
      <c r="J69" s="377">
        <f>AVERAGE(I69:I73)</f>
        <v>4</v>
      </c>
      <c r="K69" s="382"/>
      <c r="L69" s="382"/>
    </row>
    <row r="70" spans="1:12" ht="45" x14ac:dyDescent="0.25">
      <c r="A70" s="243">
        <v>1</v>
      </c>
      <c r="B70" s="245">
        <v>3</v>
      </c>
      <c r="C70" s="235" t="s">
        <v>56</v>
      </c>
      <c r="D70" s="364"/>
      <c r="E70" s="21" t="s">
        <v>416</v>
      </c>
      <c r="F70" s="278" t="s">
        <v>2870</v>
      </c>
      <c r="G70" s="72" t="s">
        <v>2892</v>
      </c>
      <c r="H70" s="45" t="str">
        <f t="shared" ref="H70:H148" si="5">IF((LEN(F70)=$O$4)*OR(LEN(G70)=$O$4),$N$4,IF(EXACT(F70,$N$5),$N$5,$N$3))</f>
        <v>SI</v>
      </c>
      <c r="I70" s="45">
        <f t="shared" si="4"/>
        <v>5</v>
      </c>
      <c r="J70" s="378"/>
      <c r="K70" s="382"/>
      <c r="L70" s="382"/>
    </row>
    <row r="71" spans="1:12" ht="75" x14ac:dyDescent="0.25">
      <c r="A71" s="243">
        <v>1</v>
      </c>
      <c r="B71" s="245">
        <v>3</v>
      </c>
      <c r="C71" s="235" t="s">
        <v>56</v>
      </c>
      <c r="D71" s="364"/>
      <c r="E71" s="21" t="s">
        <v>417</v>
      </c>
      <c r="F71" s="280"/>
      <c r="G71" s="10"/>
      <c r="H71" s="45" t="str">
        <f t="shared" si="5"/>
        <v>NO</v>
      </c>
      <c r="I71" s="45">
        <f t="shared" si="4"/>
        <v>0</v>
      </c>
      <c r="J71" s="378"/>
      <c r="K71" s="382"/>
      <c r="L71" s="382"/>
    </row>
    <row r="72" spans="1:12" x14ac:dyDescent="0.25">
      <c r="A72" s="243"/>
      <c r="B72" s="245"/>
      <c r="C72" s="279"/>
      <c r="D72" s="364"/>
      <c r="E72" s="362" t="s">
        <v>409</v>
      </c>
      <c r="F72" s="9" t="s">
        <v>2917</v>
      </c>
      <c r="G72" s="72" t="s">
        <v>2882</v>
      </c>
      <c r="H72" s="105" t="str">
        <f t="shared" si="5"/>
        <v>SI</v>
      </c>
      <c r="I72" s="105">
        <f t="shared" si="4"/>
        <v>5</v>
      </c>
      <c r="J72" s="378"/>
      <c r="K72" s="382"/>
      <c r="L72" s="382"/>
    </row>
    <row r="73" spans="1:12" x14ac:dyDescent="0.25">
      <c r="A73" s="243">
        <v>1</v>
      </c>
      <c r="B73" s="245">
        <v>3</v>
      </c>
      <c r="C73" s="236" t="s">
        <v>56</v>
      </c>
      <c r="D73" s="363"/>
      <c r="E73" s="363"/>
      <c r="F73" s="9" t="s">
        <v>2918</v>
      </c>
      <c r="G73" s="72" t="s">
        <v>2881</v>
      </c>
      <c r="H73" s="45" t="str">
        <f t="shared" si="5"/>
        <v>SI</v>
      </c>
      <c r="I73" s="45">
        <f t="shared" si="4"/>
        <v>5</v>
      </c>
      <c r="J73" s="379"/>
      <c r="K73" s="382"/>
      <c r="L73" s="382"/>
    </row>
    <row r="74" spans="1:12" ht="30" x14ac:dyDescent="0.25">
      <c r="A74" s="243">
        <v>1</v>
      </c>
      <c r="B74" s="245">
        <v>3</v>
      </c>
      <c r="C74" s="234" t="str">
        <f>Final!E14</f>
        <v>c</v>
      </c>
      <c r="D74" s="362" t="str">
        <f>Final!F14</f>
        <v>Estudios que demuestren la necesidad social, económica, cultural y educativa del proyecto curricular en la metodología que se ofrece.</v>
      </c>
      <c r="E74" s="21" t="s">
        <v>74</v>
      </c>
      <c r="F74" s="278" t="s">
        <v>2866</v>
      </c>
      <c r="G74" s="72" t="s">
        <v>2865</v>
      </c>
      <c r="H74" s="45" t="str">
        <f t="shared" si="5"/>
        <v>SI</v>
      </c>
      <c r="I74" s="45">
        <f t="shared" si="4"/>
        <v>5</v>
      </c>
      <c r="J74" s="377">
        <f>AVERAGE(I74:I78)</f>
        <v>4</v>
      </c>
      <c r="K74" s="382"/>
      <c r="L74" s="382"/>
    </row>
    <row r="75" spans="1:12" ht="45" x14ac:dyDescent="0.25">
      <c r="A75" s="243">
        <v>1</v>
      </c>
      <c r="B75" s="245">
        <v>3</v>
      </c>
      <c r="C75" s="235" t="s">
        <v>80</v>
      </c>
      <c r="D75" s="364"/>
      <c r="E75" s="21" t="s">
        <v>418</v>
      </c>
      <c r="F75" s="278" t="s">
        <v>2870</v>
      </c>
      <c r="G75" s="72" t="s">
        <v>2892</v>
      </c>
      <c r="H75" s="45" t="str">
        <f t="shared" si="5"/>
        <v>SI</v>
      </c>
      <c r="I75" s="45">
        <f t="shared" si="4"/>
        <v>5</v>
      </c>
      <c r="J75" s="378"/>
      <c r="K75" s="382"/>
      <c r="L75" s="382"/>
    </row>
    <row r="76" spans="1:12" ht="45" x14ac:dyDescent="0.25">
      <c r="A76" s="243">
        <v>1</v>
      </c>
      <c r="B76" s="245">
        <v>3</v>
      </c>
      <c r="C76" s="235" t="s">
        <v>80</v>
      </c>
      <c r="D76" s="364"/>
      <c r="E76" s="21" t="s">
        <v>419</v>
      </c>
      <c r="F76" s="280"/>
      <c r="G76" s="10"/>
      <c r="H76" s="45" t="str">
        <f t="shared" si="5"/>
        <v>NO</v>
      </c>
      <c r="I76" s="45">
        <f t="shared" si="4"/>
        <v>0</v>
      </c>
      <c r="J76" s="378"/>
      <c r="K76" s="382"/>
      <c r="L76" s="382"/>
    </row>
    <row r="77" spans="1:12" x14ac:dyDescent="0.25">
      <c r="A77" s="243"/>
      <c r="B77" s="245"/>
      <c r="C77" s="279"/>
      <c r="D77" s="364"/>
      <c r="E77" s="362" t="s">
        <v>409</v>
      </c>
      <c r="F77" s="9" t="s">
        <v>2917</v>
      </c>
      <c r="G77" s="72" t="s">
        <v>2882</v>
      </c>
      <c r="H77" s="105" t="str">
        <f>IF((LEN(F77)=$O$4)*OR(LEN(G77)=$O$4),$N$4,IF(EXACT(F77,$N$5),$N$5,$N$3))</f>
        <v>SI</v>
      </c>
      <c r="I77" s="105">
        <f t="shared" si="4"/>
        <v>5</v>
      </c>
      <c r="J77" s="378"/>
      <c r="K77" s="382"/>
      <c r="L77" s="382"/>
    </row>
    <row r="78" spans="1:12" x14ac:dyDescent="0.25">
      <c r="A78" s="243">
        <v>1</v>
      </c>
      <c r="B78" s="245">
        <v>3</v>
      </c>
      <c r="C78" s="236" t="s">
        <v>80</v>
      </c>
      <c r="D78" s="363"/>
      <c r="E78" s="363"/>
      <c r="F78" s="9" t="s">
        <v>2918</v>
      </c>
      <c r="G78" s="72" t="s">
        <v>2881</v>
      </c>
      <c r="H78" s="45" t="str">
        <f t="shared" si="5"/>
        <v>SI</v>
      </c>
      <c r="I78" s="45">
        <f t="shared" si="4"/>
        <v>5</v>
      </c>
      <c r="J78" s="379"/>
      <c r="K78" s="382"/>
      <c r="L78" s="382"/>
    </row>
    <row r="79" spans="1:12" ht="30" x14ac:dyDescent="0.25">
      <c r="A79" s="243">
        <v>1</v>
      </c>
      <c r="B79" s="245">
        <v>3</v>
      </c>
      <c r="C79" s="234" t="str">
        <f>Final!E15</f>
        <v>d</v>
      </c>
      <c r="D79" s="362" t="str">
        <f>Final!F15</f>
        <v>Correspondencia entre el perfil laboral y ocupacional del sector productivo, educativo, cultural y el perfil profesional expresado en el Proyecto Educativo del proyecto curricular.</v>
      </c>
      <c r="E79" s="21" t="s">
        <v>74</v>
      </c>
      <c r="F79" s="278" t="s">
        <v>2866</v>
      </c>
      <c r="G79" s="72" t="s">
        <v>2865</v>
      </c>
      <c r="H79" s="45" t="str">
        <f t="shared" si="5"/>
        <v>SI</v>
      </c>
      <c r="I79" s="45">
        <f t="shared" si="4"/>
        <v>5</v>
      </c>
      <c r="J79" s="377">
        <f>AVERAGE(I79:I83)</f>
        <v>4</v>
      </c>
      <c r="K79" s="382"/>
      <c r="L79" s="382"/>
    </row>
    <row r="80" spans="1:12" ht="45" x14ac:dyDescent="0.25">
      <c r="A80" s="243">
        <v>1</v>
      </c>
      <c r="B80" s="245">
        <v>3</v>
      </c>
      <c r="C80" s="235" t="s">
        <v>81</v>
      </c>
      <c r="D80" s="364"/>
      <c r="E80" s="21" t="s">
        <v>420</v>
      </c>
      <c r="F80" s="278" t="s">
        <v>2870</v>
      </c>
      <c r="G80" s="72" t="s">
        <v>2892</v>
      </c>
      <c r="H80" s="45" t="str">
        <f t="shared" si="5"/>
        <v>SI</v>
      </c>
      <c r="I80" s="45">
        <f t="shared" si="4"/>
        <v>5</v>
      </c>
      <c r="J80" s="378"/>
      <c r="K80" s="382"/>
      <c r="L80" s="382"/>
    </row>
    <row r="81" spans="1:12" ht="45" x14ac:dyDescent="0.25">
      <c r="A81" s="243">
        <v>1</v>
      </c>
      <c r="B81" s="245">
        <v>3</v>
      </c>
      <c r="C81" s="235" t="s">
        <v>81</v>
      </c>
      <c r="D81" s="364"/>
      <c r="E81" s="21" t="s">
        <v>421</v>
      </c>
      <c r="F81" s="280"/>
      <c r="G81" s="10"/>
      <c r="H81" s="45" t="str">
        <f t="shared" si="5"/>
        <v>NO</v>
      </c>
      <c r="I81" s="45">
        <f t="shared" si="4"/>
        <v>0</v>
      </c>
      <c r="J81" s="378"/>
      <c r="K81" s="382"/>
      <c r="L81" s="382"/>
    </row>
    <row r="82" spans="1:12" x14ac:dyDescent="0.25">
      <c r="A82" s="243"/>
      <c r="B82" s="245"/>
      <c r="C82" s="279"/>
      <c r="D82" s="364"/>
      <c r="E82" s="362" t="s">
        <v>409</v>
      </c>
      <c r="F82" s="9" t="s">
        <v>2917</v>
      </c>
      <c r="G82" s="72" t="s">
        <v>2882</v>
      </c>
      <c r="H82" s="105" t="str">
        <f>IF((LEN(F82)=$O$4)*OR(LEN(G82)=$O$4),$N$4,IF(EXACT(F82,$N$5),$N$5,$N$3))</f>
        <v>SI</v>
      </c>
      <c r="I82" s="105">
        <f t="shared" si="4"/>
        <v>5</v>
      </c>
      <c r="J82" s="378"/>
      <c r="K82" s="382"/>
      <c r="L82" s="382"/>
    </row>
    <row r="83" spans="1:12" x14ac:dyDescent="0.25">
      <c r="A83" s="243">
        <v>1</v>
      </c>
      <c r="B83" s="245">
        <v>3</v>
      </c>
      <c r="C83" s="236" t="s">
        <v>81</v>
      </c>
      <c r="D83" s="363"/>
      <c r="E83" s="363"/>
      <c r="F83" s="9" t="s">
        <v>2918</v>
      </c>
      <c r="G83" s="72" t="s">
        <v>2881</v>
      </c>
      <c r="H83" s="45" t="str">
        <f t="shared" si="5"/>
        <v>SI</v>
      </c>
      <c r="I83" s="45">
        <f t="shared" si="4"/>
        <v>5</v>
      </c>
      <c r="J83" s="379"/>
      <c r="K83" s="382"/>
      <c r="L83" s="382"/>
    </row>
    <row r="84" spans="1:12" ht="30" x14ac:dyDescent="0.25">
      <c r="A84" s="243">
        <v>1</v>
      </c>
      <c r="B84" s="245">
        <v>3</v>
      </c>
      <c r="C84" s="234" t="str">
        <f>Final!E16</f>
        <v>e</v>
      </c>
      <c r="D84" s="362" t="str">
        <f>Final!F16</f>
        <v>Estudios y/o proyectos formulados o en desarrollo, que propendan por la modernización, actualización y pertinencia del currículo de acuerdo con las necesidades del entorno en el cual espera incidir el proyecto curricular.</v>
      </c>
      <c r="E84" s="21" t="s">
        <v>74</v>
      </c>
      <c r="F84" s="278" t="s">
        <v>2866</v>
      </c>
      <c r="G84" s="72" t="s">
        <v>2865</v>
      </c>
      <c r="H84" s="45" t="str">
        <f t="shared" si="5"/>
        <v>SI</v>
      </c>
      <c r="I84" s="45">
        <f t="shared" si="4"/>
        <v>5</v>
      </c>
      <c r="J84" s="377">
        <f>AVERAGE(I84:I87)</f>
        <v>2.5</v>
      </c>
      <c r="K84" s="382"/>
      <c r="L84" s="382"/>
    </row>
    <row r="85" spans="1:12" ht="60" x14ac:dyDescent="0.25">
      <c r="A85" s="243">
        <v>1</v>
      </c>
      <c r="B85" s="245">
        <v>3</v>
      </c>
      <c r="C85" s="235" t="s">
        <v>87</v>
      </c>
      <c r="D85" s="364"/>
      <c r="E85" s="21" t="s">
        <v>422</v>
      </c>
      <c r="F85" s="278" t="s">
        <v>2870</v>
      </c>
      <c r="G85" s="72" t="s">
        <v>2892</v>
      </c>
      <c r="H85" s="45" t="str">
        <f t="shared" si="5"/>
        <v>SI</v>
      </c>
      <c r="I85" s="45">
        <f t="shared" si="4"/>
        <v>5</v>
      </c>
      <c r="J85" s="378"/>
      <c r="K85" s="382"/>
      <c r="L85" s="382"/>
    </row>
    <row r="86" spans="1:12" ht="75" x14ac:dyDescent="0.25">
      <c r="A86" s="243">
        <v>1</v>
      </c>
      <c r="B86" s="245">
        <v>3</v>
      </c>
      <c r="C86" s="235" t="s">
        <v>87</v>
      </c>
      <c r="D86" s="364"/>
      <c r="E86" s="21" t="s">
        <v>423</v>
      </c>
      <c r="F86" s="280"/>
      <c r="G86" s="10"/>
      <c r="H86" s="45" t="str">
        <f t="shared" si="5"/>
        <v>NO</v>
      </c>
      <c r="I86" s="45">
        <f t="shared" si="4"/>
        <v>0</v>
      </c>
      <c r="J86" s="378"/>
      <c r="K86" s="382"/>
      <c r="L86" s="382"/>
    </row>
    <row r="87" spans="1:12" ht="45" x14ac:dyDescent="0.25">
      <c r="A87" s="243">
        <v>1</v>
      </c>
      <c r="B87" s="245">
        <v>3</v>
      </c>
      <c r="C87" s="236" t="s">
        <v>87</v>
      </c>
      <c r="D87" s="363"/>
      <c r="E87" s="21" t="s">
        <v>424</v>
      </c>
      <c r="F87" s="280"/>
      <c r="G87" s="10"/>
      <c r="H87" s="45" t="str">
        <f t="shared" si="5"/>
        <v>NO</v>
      </c>
      <c r="I87" s="45">
        <f t="shared" si="4"/>
        <v>0</v>
      </c>
      <c r="J87" s="379"/>
      <c r="K87" s="382"/>
      <c r="L87" s="382"/>
    </row>
    <row r="88" spans="1:12" ht="30" x14ac:dyDescent="0.25">
      <c r="A88" s="243">
        <v>1</v>
      </c>
      <c r="B88" s="245">
        <v>3</v>
      </c>
      <c r="C88" s="234" t="str">
        <f>Final!E17</f>
        <v>f</v>
      </c>
      <c r="D88" s="362" t="str">
        <f>Final!F17</f>
        <v>Estudios actualizados sobre las necesidades formativas en la región de influencia del proyecto curricular (ciudad región y país).</v>
      </c>
      <c r="E88" s="21" t="s">
        <v>74</v>
      </c>
      <c r="F88" s="278" t="s">
        <v>2866</v>
      </c>
      <c r="G88" s="72" t="s">
        <v>2865</v>
      </c>
      <c r="H88" s="45" t="str">
        <f t="shared" si="5"/>
        <v>SI</v>
      </c>
      <c r="I88" s="45">
        <f t="shared" si="4"/>
        <v>5</v>
      </c>
      <c r="J88" s="381">
        <f>AVERAGE(I88:I90)</f>
        <v>3.3333333333333335</v>
      </c>
      <c r="K88" s="382"/>
      <c r="L88" s="382"/>
    </row>
    <row r="89" spans="1:12" ht="45" x14ac:dyDescent="0.25">
      <c r="A89" s="243">
        <v>1</v>
      </c>
      <c r="B89" s="245">
        <v>3</v>
      </c>
      <c r="C89" s="235" t="s">
        <v>88</v>
      </c>
      <c r="D89" s="364"/>
      <c r="E89" s="65" t="s">
        <v>426</v>
      </c>
      <c r="F89" s="278" t="s">
        <v>2870</v>
      </c>
      <c r="G89" s="72" t="s">
        <v>2892</v>
      </c>
      <c r="H89" s="45" t="str">
        <f t="shared" si="5"/>
        <v>SI</v>
      </c>
      <c r="I89" s="45">
        <f t="shared" si="4"/>
        <v>5</v>
      </c>
      <c r="J89" s="382"/>
      <c r="K89" s="382"/>
      <c r="L89" s="382"/>
    </row>
    <row r="90" spans="1:12" ht="60" x14ac:dyDescent="0.25">
      <c r="A90" s="243">
        <v>1</v>
      </c>
      <c r="B90" s="245">
        <v>3</v>
      </c>
      <c r="C90" s="236" t="s">
        <v>88</v>
      </c>
      <c r="D90" s="363"/>
      <c r="E90" s="65" t="s">
        <v>427</v>
      </c>
      <c r="F90" s="280"/>
      <c r="G90" s="10"/>
      <c r="H90" s="45" t="str">
        <f t="shared" si="5"/>
        <v>NO</v>
      </c>
      <c r="I90" s="45">
        <f t="shared" si="4"/>
        <v>0</v>
      </c>
      <c r="J90" s="383"/>
      <c r="K90" s="382"/>
      <c r="L90" s="382"/>
    </row>
    <row r="91" spans="1:12" ht="75" x14ac:dyDescent="0.25">
      <c r="A91" s="243">
        <v>1</v>
      </c>
      <c r="B91" s="245">
        <v>3</v>
      </c>
      <c r="C91" s="234" t="str">
        <f>Final!E18</f>
        <v>g</v>
      </c>
      <c r="D91" s="362" t="str">
        <f>Final!F18</f>
        <v>Cambios en el plan de estudios, resultantes de experiencias relativas al análisis y propuestas de solución a los problemas del contexto (ciudad región)</v>
      </c>
      <c r="E91" s="21" t="s">
        <v>428</v>
      </c>
      <c r="F91" s="280"/>
      <c r="G91" s="10"/>
      <c r="H91" s="45" t="str">
        <f t="shared" si="5"/>
        <v>NO</v>
      </c>
      <c r="I91" s="45">
        <f t="shared" si="4"/>
        <v>0</v>
      </c>
      <c r="J91" s="377">
        <f>AVERAGE(I91:I95)</f>
        <v>4</v>
      </c>
      <c r="K91" s="382"/>
      <c r="L91" s="382"/>
    </row>
    <row r="92" spans="1:12" ht="75" x14ac:dyDescent="0.25">
      <c r="A92" s="243">
        <v>1</v>
      </c>
      <c r="B92" s="245">
        <v>3</v>
      </c>
      <c r="C92" s="235" t="s">
        <v>102</v>
      </c>
      <c r="D92" s="364"/>
      <c r="E92" s="65" t="s">
        <v>429</v>
      </c>
      <c r="F92" s="283" t="s">
        <v>3005</v>
      </c>
      <c r="G92" s="286" t="s">
        <v>3006</v>
      </c>
      <c r="H92" s="45" t="str">
        <f t="shared" si="5"/>
        <v>SI</v>
      </c>
      <c r="I92" s="45">
        <f t="shared" si="4"/>
        <v>5</v>
      </c>
      <c r="J92" s="378"/>
      <c r="K92" s="382"/>
      <c r="L92" s="382"/>
    </row>
    <row r="93" spans="1:12" x14ac:dyDescent="0.25">
      <c r="A93" s="243">
        <v>1</v>
      </c>
      <c r="B93" s="245">
        <v>3</v>
      </c>
      <c r="C93" s="235" t="s">
        <v>102</v>
      </c>
      <c r="D93" s="364"/>
      <c r="E93" s="65" t="s">
        <v>430</v>
      </c>
      <c r="F93" s="283" t="s">
        <v>3007</v>
      </c>
      <c r="G93" s="10"/>
      <c r="H93" s="45" t="str">
        <f t="shared" si="5"/>
        <v>SI</v>
      </c>
      <c r="I93" s="45">
        <f t="shared" si="4"/>
        <v>5</v>
      </c>
      <c r="J93" s="378"/>
      <c r="K93" s="382"/>
      <c r="L93" s="382"/>
    </row>
    <row r="94" spans="1:12" x14ac:dyDescent="0.25">
      <c r="A94" s="243"/>
      <c r="B94" s="245"/>
      <c r="C94" s="279"/>
      <c r="D94" s="364"/>
      <c r="E94" s="362" t="s">
        <v>409</v>
      </c>
      <c r="F94" s="9" t="s">
        <v>2917</v>
      </c>
      <c r="G94" s="72" t="s">
        <v>2882</v>
      </c>
      <c r="H94" s="105" t="str">
        <f>IF((LEN(F94)=$O$4)*OR(LEN(G94)=$O$4),$N$4,IF(EXACT(F94,$N$5),$N$5,$N$3))</f>
        <v>SI</v>
      </c>
      <c r="I94" s="105">
        <f t="shared" si="4"/>
        <v>5</v>
      </c>
      <c r="J94" s="378"/>
      <c r="K94" s="382"/>
      <c r="L94" s="382"/>
    </row>
    <row r="95" spans="1:12" x14ac:dyDescent="0.25">
      <c r="A95" s="243">
        <v>1</v>
      </c>
      <c r="B95" s="245">
        <v>3</v>
      </c>
      <c r="C95" s="236" t="s">
        <v>102</v>
      </c>
      <c r="D95" s="363"/>
      <c r="E95" s="363"/>
      <c r="F95" s="9" t="s">
        <v>2918</v>
      </c>
      <c r="G95" s="72" t="s">
        <v>2881</v>
      </c>
      <c r="H95" s="45" t="str">
        <f t="shared" si="5"/>
        <v>SI</v>
      </c>
      <c r="I95" s="45">
        <f t="shared" si="4"/>
        <v>5</v>
      </c>
      <c r="J95" s="379"/>
      <c r="K95" s="382"/>
      <c r="L95" s="382"/>
    </row>
    <row r="96" spans="1:12" ht="30" x14ac:dyDescent="0.25">
      <c r="A96" s="243">
        <v>1</v>
      </c>
      <c r="B96" s="245">
        <v>3</v>
      </c>
      <c r="C96" s="234" t="str">
        <f>Final!E19</f>
        <v>h</v>
      </c>
      <c r="D96" s="362" t="str">
        <f>Final!F19</f>
        <v>Proyectos que adelanta el proyecto curricular, mediante sus funciones de docencia, investigación, innovación, creación artística y cultural, extensión y proyección social tendientes a ejercer un impacto sobre el medio, en desarrollo de lo expresado en el Proyecto Educativo del proyecto curricular.</v>
      </c>
      <c r="E96" s="21" t="s">
        <v>74</v>
      </c>
      <c r="F96" s="278" t="s">
        <v>2866</v>
      </c>
      <c r="G96" s="72" t="s">
        <v>2865</v>
      </c>
      <c r="H96" s="45" t="str">
        <f t="shared" si="5"/>
        <v>SI</v>
      </c>
      <c r="I96" s="45">
        <f t="shared" si="4"/>
        <v>5</v>
      </c>
      <c r="J96" s="381">
        <f>AVERAGE(I96:I98)</f>
        <v>3.3333333333333335</v>
      </c>
      <c r="K96" s="382"/>
      <c r="L96" s="382"/>
    </row>
    <row r="97" spans="1:12" ht="45" x14ac:dyDescent="0.25">
      <c r="A97" s="243">
        <v>1</v>
      </c>
      <c r="B97" s="245">
        <v>3</v>
      </c>
      <c r="C97" s="235" t="s">
        <v>104</v>
      </c>
      <c r="D97" s="364"/>
      <c r="E97" s="65" t="s">
        <v>431</v>
      </c>
      <c r="F97" s="278" t="s">
        <v>2870</v>
      </c>
      <c r="G97" s="72" t="s">
        <v>2892</v>
      </c>
      <c r="H97" s="45" t="str">
        <f t="shared" si="5"/>
        <v>SI</v>
      </c>
      <c r="I97" s="45">
        <f t="shared" si="4"/>
        <v>5</v>
      </c>
      <c r="J97" s="382"/>
      <c r="K97" s="382"/>
      <c r="L97" s="382"/>
    </row>
    <row r="98" spans="1:12" ht="45" x14ac:dyDescent="0.25">
      <c r="A98" s="243">
        <v>1</v>
      </c>
      <c r="B98" s="245">
        <v>3</v>
      </c>
      <c r="C98" s="236" t="s">
        <v>104</v>
      </c>
      <c r="D98" s="363"/>
      <c r="E98" s="65" t="s">
        <v>432</v>
      </c>
      <c r="F98" s="280"/>
      <c r="G98" s="10"/>
      <c r="H98" s="45" t="str">
        <f t="shared" si="5"/>
        <v>NO</v>
      </c>
      <c r="I98" s="45">
        <f t="shared" si="4"/>
        <v>0</v>
      </c>
      <c r="J98" s="383"/>
      <c r="K98" s="382"/>
      <c r="L98" s="382"/>
    </row>
    <row r="99" spans="1:12" ht="45" x14ac:dyDescent="0.25">
      <c r="A99" s="243">
        <v>1</v>
      </c>
      <c r="B99" s="245">
        <v>3</v>
      </c>
      <c r="C99" s="234" t="str">
        <f>Final!E20</f>
        <v>i</v>
      </c>
      <c r="D99" s="362" t="str">
        <f>Final!F20</f>
        <v>Estudios orientados a evaluar el impacto del proyecto curricular con respecto al cumplimiento de sus propósitos y objetivos, así como la incidencia en el entorno social y/o cultural y su grupo de referencia disciplinar o profesional.</v>
      </c>
      <c r="E99" s="21" t="s">
        <v>433</v>
      </c>
      <c r="F99" s="278" t="s">
        <v>2870</v>
      </c>
      <c r="G99" s="72" t="s">
        <v>2892</v>
      </c>
      <c r="H99" s="45" t="str">
        <f t="shared" si="5"/>
        <v>SI</v>
      </c>
      <c r="I99" s="45">
        <f t="shared" si="4"/>
        <v>5</v>
      </c>
      <c r="J99" s="377">
        <f>AVERAGE(I99:I102)</f>
        <v>3.75</v>
      </c>
      <c r="K99" s="382"/>
      <c r="L99" s="382"/>
    </row>
    <row r="100" spans="1:12" ht="30" x14ac:dyDescent="0.25">
      <c r="A100" s="243">
        <v>1</v>
      </c>
      <c r="B100" s="245">
        <v>3</v>
      </c>
      <c r="C100" s="235" t="s">
        <v>106</v>
      </c>
      <c r="D100" s="364"/>
      <c r="E100" s="65" t="s">
        <v>434</v>
      </c>
      <c r="F100" s="280"/>
      <c r="G100" s="10"/>
      <c r="H100" s="45" t="str">
        <f t="shared" si="5"/>
        <v>NO</v>
      </c>
      <c r="I100" s="45">
        <f t="shared" si="4"/>
        <v>0</v>
      </c>
      <c r="J100" s="378"/>
      <c r="K100" s="382"/>
      <c r="L100" s="382"/>
    </row>
    <row r="101" spans="1:12" x14ac:dyDescent="0.25">
      <c r="A101" s="243"/>
      <c r="B101" s="245"/>
      <c r="C101" s="279"/>
      <c r="D101" s="364"/>
      <c r="E101" s="362" t="s">
        <v>409</v>
      </c>
      <c r="F101" s="9" t="s">
        <v>2917</v>
      </c>
      <c r="G101" s="72" t="s">
        <v>2882</v>
      </c>
      <c r="H101" s="105" t="str">
        <f>IF((LEN(F101)=$O$4)*OR(LEN(G101)=$O$4),$N$4,IF(EXACT(F101,$N$5),$N$5,$N$3))</f>
        <v>SI</v>
      </c>
      <c r="I101" s="105">
        <f t="shared" si="4"/>
        <v>5</v>
      </c>
      <c r="J101" s="378"/>
      <c r="K101" s="382"/>
      <c r="L101" s="382"/>
    </row>
    <row r="102" spans="1:12" x14ac:dyDescent="0.25">
      <c r="A102" s="243">
        <v>1</v>
      </c>
      <c r="B102" s="245">
        <v>3</v>
      </c>
      <c r="C102" s="236" t="s">
        <v>106</v>
      </c>
      <c r="D102" s="363"/>
      <c r="E102" s="363"/>
      <c r="F102" s="9" t="s">
        <v>2918</v>
      </c>
      <c r="G102" s="72" t="s">
        <v>2881</v>
      </c>
      <c r="H102" s="45" t="str">
        <f t="shared" si="5"/>
        <v>SI</v>
      </c>
      <c r="I102" s="45">
        <f t="shared" si="4"/>
        <v>5</v>
      </c>
      <c r="J102" s="379"/>
      <c r="K102" s="383"/>
      <c r="L102" s="383"/>
    </row>
    <row r="103" spans="1:12" ht="45" x14ac:dyDescent="0.25">
      <c r="A103" s="245">
        <v>2</v>
      </c>
      <c r="B103" s="245">
        <v>4</v>
      </c>
      <c r="C103" s="234" t="str">
        <f>Final!E21</f>
        <v>a</v>
      </c>
      <c r="D103" s="362" t="str">
        <f>Final!F21</f>
        <v>Mecanismos de ingreso -selección y admisión- de estudiantes utilizados por el proyecto curricular en los últimos 5 años, que garantizan la transparencia y la equidad en el proceso de selección de los estudiantes.</v>
      </c>
      <c r="E103" s="21" t="s">
        <v>436</v>
      </c>
      <c r="F103" s="283" t="s">
        <v>2870</v>
      </c>
      <c r="G103" s="72" t="s">
        <v>2892</v>
      </c>
      <c r="H103" s="45" t="str">
        <f t="shared" si="5"/>
        <v>SI</v>
      </c>
      <c r="I103" s="45">
        <f t="shared" si="4"/>
        <v>5</v>
      </c>
      <c r="J103" s="377">
        <f>AVERAGE(I103:I108)</f>
        <v>5</v>
      </c>
      <c r="K103" s="377">
        <f>AVERAGE(J103:J114)</f>
        <v>2.7777777777777781</v>
      </c>
      <c r="L103" s="377">
        <f>(K103*Ponderación!D5)+(K115*Ponderación!D6)+(K124*Ponderación!D7)+(K132*Ponderación!D8)</f>
        <v>4.333333333333333</v>
      </c>
    </row>
    <row r="104" spans="1:12" x14ac:dyDescent="0.25">
      <c r="A104" s="245">
        <v>2</v>
      </c>
      <c r="B104" s="245">
        <v>4</v>
      </c>
      <c r="C104" s="235" t="s">
        <v>55</v>
      </c>
      <c r="D104" s="364"/>
      <c r="E104" s="384" t="s">
        <v>845</v>
      </c>
      <c r="F104" s="375" t="s">
        <v>845</v>
      </c>
      <c r="G104" s="72" t="s">
        <v>3126</v>
      </c>
      <c r="H104" s="388" t="str">
        <f t="shared" si="5"/>
        <v>SI</v>
      </c>
      <c r="I104" s="388">
        <f t="shared" si="4"/>
        <v>5</v>
      </c>
      <c r="J104" s="378"/>
      <c r="K104" s="378"/>
      <c r="L104" s="378"/>
    </row>
    <row r="105" spans="1:12" x14ac:dyDescent="0.25">
      <c r="A105" s="245">
        <v>2</v>
      </c>
      <c r="B105" s="245">
        <v>4</v>
      </c>
      <c r="C105" s="235" t="s">
        <v>55</v>
      </c>
      <c r="D105" s="364"/>
      <c r="E105" s="385"/>
      <c r="F105" s="387"/>
      <c r="G105" s="72" t="s">
        <v>3124</v>
      </c>
      <c r="H105" s="389"/>
      <c r="I105" s="389"/>
      <c r="J105" s="378"/>
      <c r="K105" s="378"/>
      <c r="L105" s="378"/>
    </row>
    <row r="106" spans="1:12" ht="48.95" customHeight="1" x14ac:dyDescent="0.25">
      <c r="A106" s="245">
        <v>2</v>
      </c>
      <c r="B106" s="245">
        <v>4</v>
      </c>
      <c r="C106" s="235" t="s">
        <v>55</v>
      </c>
      <c r="D106" s="364"/>
      <c r="E106" s="386"/>
      <c r="F106" s="376"/>
      <c r="G106" s="72" t="s">
        <v>3125</v>
      </c>
      <c r="H106" s="390"/>
      <c r="I106" s="390"/>
      <c r="J106" s="378"/>
      <c r="K106" s="378"/>
      <c r="L106" s="378"/>
    </row>
    <row r="107" spans="1:12" ht="28.5" customHeight="1" x14ac:dyDescent="0.25">
      <c r="A107" s="245">
        <v>2</v>
      </c>
      <c r="B107" s="245">
        <v>4</v>
      </c>
      <c r="C107" s="235" t="s">
        <v>55</v>
      </c>
      <c r="D107" s="364"/>
      <c r="E107" s="254" t="s">
        <v>442</v>
      </c>
      <c r="F107" s="9" t="s">
        <v>844</v>
      </c>
      <c r="G107" s="72" t="s">
        <v>459</v>
      </c>
      <c r="H107" s="45" t="str">
        <f t="shared" si="5"/>
        <v>SI</v>
      </c>
      <c r="I107" s="45">
        <f t="shared" ref="I107:I143" si="6">IF(EXACT(H107,$N$3),$O$3,IF(EXACT(H107,$N$5),$N$5,$O$4))</f>
        <v>5</v>
      </c>
      <c r="J107" s="378"/>
      <c r="K107" s="378"/>
      <c r="L107" s="378"/>
    </row>
    <row r="108" spans="1:12" ht="63" customHeight="1" x14ac:dyDescent="0.25">
      <c r="A108" s="245">
        <v>2</v>
      </c>
      <c r="B108" s="245">
        <v>4</v>
      </c>
      <c r="C108" s="236" t="s">
        <v>55</v>
      </c>
      <c r="D108" s="363"/>
      <c r="E108" s="65" t="s">
        <v>438</v>
      </c>
      <c r="F108" s="283" t="s">
        <v>3009</v>
      </c>
      <c r="G108" s="71" t="s">
        <v>3008</v>
      </c>
      <c r="H108" s="45" t="str">
        <f t="shared" si="5"/>
        <v>SI</v>
      </c>
      <c r="I108" s="45">
        <f t="shared" si="6"/>
        <v>5</v>
      </c>
      <c r="J108" s="379"/>
      <c r="K108" s="378"/>
      <c r="L108" s="378"/>
    </row>
    <row r="109" spans="1:12" ht="45" customHeight="1" x14ac:dyDescent="0.25">
      <c r="A109" s="245">
        <v>2</v>
      </c>
      <c r="B109" s="245">
        <v>4</v>
      </c>
      <c r="C109" s="60" t="str">
        <f>Final!E22</f>
        <v>b</v>
      </c>
      <c r="D109" s="66" t="str">
        <f>Final!F22</f>
        <v>Estudiantes que ingresaron mediante la aplicación de reglas generales y mecanismos de admisión excepcionales, en los últimos cinco años.</v>
      </c>
      <c r="E109" s="21"/>
      <c r="F109" s="45" t="s">
        <v>64</v>
      </c>
      <c r="G109" s="10"/>
      <c r="H109" s="45" t="str">
        <f t="shared" si="5"/>
        <v>NA</v>
      </c>
      <c r="I109" s="45" t="str">
        <f t="shared" si="6"/>
        <v>NA</v>
      </c>
      <c r="J109" s="100" t="str">
        <f>I109</f>
        <v>NA</v>
      </c>
      <c r="K109" s="378"/>
      <c r="L109" s="378"/>
    </row>
    <row r="110" spans="1:12" ht="33" customHeight="1" x14ac:dyDescent="0.25">
      <c r="A110" s="245">
        <v>2</v>
      </c>
      <c r="B110" s="245">
        <v>4</v>
      </c>
      <c r="C110" s="234" t="str">
        <f>Final!E23</f>
        <v>c</v>
      </c>
      <c r="D110" s="362" t="str">
        <f>Final!F23</f>
        <v>Existencia y utilización de sistemas y mecanismos de evaluación de los procesos de selección y admisión, y aplicación de los resultados de dicha evaluación.</v>
      </c>
      <c r="E110" s="21" t="s">
        <v>440</v>
      </c>
      <c r="F110" s="10"/>
      <c r="G110" s="10"/>
      <c r="H110" s="45" t="str">
        <f t="shared" si="5"/>
        <v>NO</v>
      </c>
      <c r="I110" s="45">
        <f t="shared" si="6"/>
        <v>0</v>
      </c>
      <c r="J110" s="377">
        <f>AVERAGE(I110:I111)</f>
        <v>0</v>
      </c>
      <c r="K110" s="378"/>
      <c r="L110" s="378"/>
    </row>
    <row r="111" spans="1:12" ht="27" customHeight="1" x14ac:dyDescent="0.25">
      <c r="A111" s="245">
        <v>2</v>
      </c>
      <c r="B111" s="245">
        <v>4</v>
      </c>
      <c r="C111" s="236" t="s">
        <v>80</v>
      </c>
      <c r="D111" s="363"/>
      <c r="E111" s="65" t="s">
        <v>441</v>
      </c>
      <c r="F111" s="10"/>
      <c r="G111" s="10"/>
      <c r="H111" s="45" t="str">
        <f t="shared" si="5"/>
        <v>NO</v>
      </c>
      <c r="I111" s="45">
        <f t="shared" si="6"/>
        <v>0</v>
      </c>
      <c r="J111" s="379"/>
      <c r="K111" s="378"/>
      <c r="L111" s="378"/>
    </row>
    <row r="112" spans="1:12" ht="50.25" customHeight="1" x14ac:dyDescent="0.25">
      <c r="A112" s="245">
        <v>2</v>
      </c>
      <c r="B112" s="245">
        <v>4</v>
      </c>
      <c r="C112" s="234" t="str">
        <f>Final!E24</f>
        <v>d</v>
      </c>
      <c r="D112" s="362" t="str">
        <f>Final!F24</f>
        <v>Requerimientos para el ingreso de estudiantes en condición de transferencia, homologación u otro proceso que amerite criterios específicos para el tránsito entre ciclos, niveles y/o instituciones. Beneficios de estos requerimientos en la formación integral de los estudiantes.</v>
      </c>
      <c r="E112" s="21" t="s">
        <v>442</v>
      </c>
      <c r="F112" s="283" t="s">
        <v>837</v>
      </c>
      <c r="G112" s="71" t="s">
        <v>459</v>
      </c>
      <c r="H112" s="45" t="str">
        <f t="shared" si="5"/>
        <v>SI</v>
      </c>
      <c r="I112" s="45">
        <f t="shared" si="6"/>
        <v>5</v>
      </c>
      <c r="J112" s="381">
        <f>AVERAGE(I112:I114)</f>
        <v>3.3333333333333335</v>
      </c>
      <c r="K112" s="378"/>
      <c r="L112" s="378"/>
    </row>
    <row r="113" spans="1:12" ht="50.25" customHeight="1" x14ac:dyDescent="0.25">
      <c r="A113" s="245">
        <v>2</v>
      </c>
      <c r="B113" s="245">
        <v>4</v>
      </c>
      <c r="C113" s="235" t="s">
        <v>81</v>
      </c>
      <c r="D113" s="364"/>
      <c r="E113" s="254" t="s">
        <v>843</v>
      </c>
      <c r="F113" s="283" t="s">
        <v>3010</v>
      </c>
      <c r="G113" s="72" t="s">
        <v>3011</v>
      </c>
      <c r="H113" s="45" t="str">
        <f t="shared" si="5"/>
        <v>SI</v>
      </c>
      <c r="I113" s="45">
        <f t="shared" si="6"/>
        <v>5</v>
      </c>
      <c r="J113" s="382"/>
      <c r="K113" s="378"/>
      <c r="L113" s="378"/>
    </row>
    <row r="114" spans="1:12" ht="48.75" customHeight="1" x14ac:dyDescent="0.25">
      <c r="A114" s="245">
        <v>2</v>
      </c>
      <c r="B114" s="245">
        <v>4</v>
      </c>
      <c r="C114" s="236" t="s">
        <v>81</v>
      </c>
      <c r="D114" s="363"/>
      <c r="E114" s="65" t="s">
        <v>441</v>
      </c>
      <c r="F114" s="10"/>
      <c r="G114" s="10"/>
      <c r="H114" s="45" t="str">
        <f t="shared" si="5"/>
        <v>NO</v>
      </c>
      <c r="I114" s="45">
        <f t="shared" si="6"/>
        <v>0</v>
      </c>
      <c r="J114" s="383"/>
      <c r="K114" s="379"/>
      <c r="L114" s="378"/>
    </row>
    <row r="115" spans="1:12" ht="90" x14ac:dyDescent="0.25">
      <c r="A115" s="245">
        <v>2</v>
      </c>
      <c r="B115" s="245">
        <v>5</v>
      </c>
      <c r="C115" s="234" t="str">
        <f>Final!E25</f>
        <v>a</v>
      </c>
      <c r="D115" s="362" t="str">
        <f>Final!F25</f>
        <v>Políticas institucionales para la definición del número de estudiantes que se admiten al proyecto curricular, acorde con la cantidad de docentes, los recursos físicos y de apoyo académico disponibles.</v>
      </c>
      <c r="E115" s="21" t="s">
        <v>443</v>
      </c>
      <c r="F115" s="283" t="s">
        <v>2870</v>
      </c>
      <c r="G115" s="72" t="s">
        <v>2892</v>
      </c>
      <c r="H115" s="45" t="str">
        <f t="shared" si="5"/>
        <v>SI</v>
      </c>
      <c r="I115" s="45">
        <f t="shared" si="6"/>
        <v>5</v>
      </c>
      <c r="J115" s="377">
        <f>AVERAGE(I115:I120)</f>
        <v>5</v>
      </c>
      <c r="K115" s="377">
        <f>AVERAGE(J115:J123)</f>
        <v>5</v>
      </c>
      <c r="L115" s="378"/>
    </row>
    <row r="116" spans="1:12" ht="30" x14ac:dyDescent="0.25">
      <c r="A116" s="245">
        <v>2</v>
      </c>
      <c r="B116" s="245">
        <v>5</v>
      </c>
      <c r="C116" s="235" t="s">
        <v>55</v>
      </c>
      <c r="D116" s="364"/>
      <c r="E116" s="254" t="s">
        <v>841</v>
      </c>
      <c r="F116" s="283" t="s">
        <v>838</v>
      </c>
      <c r="G116" s="72" t="s">
        <v>475</v>
      </c>
      <c r="H116" s="45" t="str">
        <f t="shared" si="5"/>
        <v>SI</v>
      </c>
      <c r="I116" s="45">
        <f t="shared" si="6"/>
        <v>5</v>
      </c>
      <c r="J116" s="378"/>
      <c r="K116" s="378"/>
      <c r="L116" s="378"/>
    </row>
    <row r="117" spans="1:12" x14ac:dyDescent="0.25">
      <c r="A117" s="245">
        <v>2</v>
      </c>
      <c r="B117" s="245">
        <v>5</v>
      </c>
      <c r="C117" s="235" t="s">
        <v>55</v>
      </c>
      <c r="D117" s="364"/>
      <c r="E117" s="254" t="s">
        <v>842</v>
      </c>
      <c r="F117" s="283" t="s">
        <v>839</v>
      </c>
      <c r="G117" s="72" t="s">
        <v>840</v>
      </c>
      <c r="H117" s="45" t="str">
        <f t="shared" si="5"/>
        <v>SI</v>
      </c>
      <c r="I117" s="45">
        <f t="shared" si="6"/>
        <v>5</v>
      </c>
      <c r="J117" s="378"/>
      <c r="K117" s="378"/>
      <c r="L117" s="378"/>
    </row>
    <row r="118" spans="1:12" ht="30" x14ac:dyDescent="0.25">
      <c r="A118" s="245">
        <v>2</v>
      </c>
      <c r="B118" s="245">
        <v>5</v>
      </c>
      <c r="C118" s="235" t="s">
        <v>55</v>
      </c>
      <c r="D118" s="364"/>
      <c r="E118" s="65" t="s">
        <v>444</v>
      </c>
      <c r="F118" s="283" t="s">
        <v>92</v>
      </c>
      <c r="G118" s="72" t="s">
        <v>2872</v>
      </c>
      <c r="H118" s="45" t="str">
        <f t="shared" si="5"/>
        <v>SI</v>
      </c>
      <c r="I118" s="45">
        <f t="shared" si="6"/>
        <v>5</v>
      </c>
      <c r="J118" s="378"/>
      <c r="K118" s="378"/>
      <c r="L118" s="378"/>
    </row>
    <row r="119" spans="1:12" ht="45" x14ac:dyDescent="0.25">
      <c r="A119" s="245">
        <v>2</v>
      </c>
      <c r="B119" s="245">
        <v>5</v>
      </c>
      <c r="C119" s="235" t="s">
        <v>55</v>
      </c>
      <c r="D119" s="364"/>
      <c r="E119" s="65" t="s">
        <v>445</v>
      </c>
      <c r="F119" s="292" t="s">
        <v>2910</v>
      </c>
      <c r="G119" s="297" t="s">
        <v>2911</v>
      </c>
      <c r="H119" s="45" t="str">
        <f t="shared" si="5"/>
        <v>SI</v>
      </c>
      <c r="I119" s="45">
        <f t="shared" si="6"/>
        <v>5</v>
      </c>
      <c r="J119" s="378"/>
      <c r="K119" s="378"/>
      <c r="L119" s="378"/>
    </row>
    <row r="120" spans="1:12" x14ac:dyDescent="0.25">
      <c r="A120" s="245">
        <v>2</v>
      </c>
      <c r="B120" s="245">
        <v>5</v>
      </c>
      <c r="C120" s="236" t="s">
        <v>55</v>
      </c>
      <c r="D120" s="363"/>
      <c r="E120" s="65" t="s">
        <v>446</v>
      </c>
      <c r="F120" s="292" t="s">
        <v>3088</v>
      </c>
      <c r="G120" s="44" t="s">
        <v>3089</v>
      </c>
      <c r="H120" s="45" t="str">
        <f t="shared" si="5"/>
        <v>SI</v>
      </c>
      <c r="I120" s="45">
        <f t="shared" si="6"/>
        <v>5</v>
      </c>
      <c r="J120" s="379"/>
      <c r="K120" s="378"/>
      <c r="L120" s="378"/>
    </row>
    <row r="121" spans="1:12" ht="33.75" customHeight="1" x14ac:dyDescent="0.25">
      <c r="A121" s="245">
        <v>2</v>
      </c>
      <c r="B121" s="245">
        <v>5</v>
      </c>
      <c r="C121" s="234" t="str">
        <f>Final!E26</f>
        <v>b</v>
      </c>
      <c r="D121" s="362" t="str">
        <f>Final!F26</f>
        <v>Apreciación de profesores y estudiantes del proyecto curricular con respecto a la relación entre el número de admitidos, el número de docentes y los recursos académicos y físicos disponibles.</v>
      </c>
      <c r="E121" s="21" t="s">
        <v>49</v>
      </c>
      <c r="F121" s="10" t="s">
        <v>64</v>
      </c>
      <c r="G121" s="10"/>
      <c r="H121" s="45" t="str">
        <f t="shared" si="5"/>
        <v>NA</v>
      </c>
      <c r="I121" s="45" t="str">
        <f t="shared" si="6"/>
        <v>NA</v>
      </c>
      <c r="J121" s="377" t="s">
        <v>64</v>
      </c>
      <c r="K121" s="378"/>
      <c r="L121" s="378"/>
    </row>
    <row r="122" spans="1:12" ht="48.75" customHeight="1" x14ac:dyDescent="0.25">
      <c r="A122" s="245">
        <v>2</v>
      </c>
      <c r="B122" s="245">
        <v>5</v>
      </c>
      <c r="C122" s="236" t="s">
        <v>56</v>
      </c>
      <c r="D122" s="363"/>
      <c r="E122" s="75" t="s">
        <v>480</v>
      </c>
      <c r="F122" s="10" t="s">
        <v>64</v>
      </c>
      <c r="G122" s="10"/>
      <c r="H122" s="45" t="str">
        <f t="shared" si="5"/>
        <v>NA</v>
      </c>
      <c r="I122" s="45" t="str">
        <f t="shared" si="6"/>
        <v>NA</v>
      </c>
      <c r="J122" s="379"/>
      <c r="K122" s="378"/>
      <c r="L122" s="378"/>
    </row>
    <row r="123" spans="1:12" ht="150" x14ac:dyDescent="0.25">
      <c r="A123" s="245">
        <v>2</v>
      </c>
      <c r="B123" s="245">
        <v>5</v>
      </c>
      <c r="C123" s="237" t="str">
        <f>Final!E27</f>
        <v>c</v>
      </c>
      <c r="D123" s="21" t="str">
        <f>Final!F27</f>
        <v>Población de estudiantes que ingresó al proyecto curricular en los últimos cinco años, puntaje promedio obtenido por los admitidos en las Pruebas de Estado, puntaje promedio estandarizado en pruebas de admisión (cuando éstas se realizan), puntaje mínimo aceptable para ingresar y capacidad de selección y absorción de estudiantes por parte del proyecto curricular (relación entre inscritos y admitidos, relación entre inscritos y matriculados).</v>
      </c>
      <c r="E123" s="21" t="s">
        <v>481</v>
      </c>
      <c r="F123" s="283" t="s">
        <v>2870</v>
      </c>
      <c r="G123" s="72" t="s">
        <v>2892</v>
      </c>
      <c r="H123" s="45" t="str">
        <f t="shared" si="5"/>
        <v>SI</v>
      </c>
      <c r="I123" s="45">
        <f t="shared" si="6"/>
        <v>5</v>
      </c>
      <c r="J123" s="100">
        <f>AVERAGE(I123)</f>
        <v>5</v>
      </c>
      <c r="K123" s="379"/>
      <c r="L123" s="378"/>
    </row>
    <row r="124" spans="1:12" ht="60" x14ac:dyDescent="0.25">
      <c r="A124" s="245">
        <v>2</v>
      </c>
      <c r="B124" s="245">
        <v>6</v>
      </c>
      <c r="C124" s="234" t="str">
        <f>Final!E28</f>
        <v>a</v>
      </c>
      <c r="D124" s="362" t="str">
        <f>Final!F28</f>
        <v>Políticas y estrategias definidas por el proyecto curricular en materia de formación integral de los estudiantes.</v>
      </c>
      <c r="E124" s="21" t="s">
        <v>483</v>
      </c>
      <c r="F124" s="283" t="s">
        <v>2870</v>
      </c>
      <c r="G124" s="72" t="s">
        <v>2892</v>
      </c>
      <c r="H124" s="45" t="str">
        <f t="shared" si="5"/>
        <v>SI</v>
      </c>
      <c r="I124" s="45">
        <f t="shared" si="6"/>
        <v>5</v>
      </c>
      <c r="J124" s="377">
        <f>AVERAGE(I124:I125)</f>
        <v>5</v>
      </c>
      <c r="K124" s="381">
        <f>AVERAGE(J124:J131)</f>
        <v>4.583333333333333</v>
      </c>
      <c r="L124" s="378"/>
    </row>
    <row r="125" spans="1:12" ht="30" x14ac:dyDescent="0.25">
      <c r="A125" s="245">
        <v>2</v>
      </c>
      <c r="B125" s="245">
        <v>6</v>
      </c>
      <c r="C125" s="236" t="s">
        <v>55</v>
      </c>
      <c r="D125" s="363"/>
      <c r="E125" s="75" t="s">
        <v>484</v>
      </c>
      <c r="F125" s="283" t="s">
        <v>2866</v>
      </c>
      <c r="G125" s="72" t="s">
        <v>2865</v>
      </c>
      <c r="H125" s="45" t="str">
        <f t="shared" si="5"/>
        <v>SI</v>
      </c>
      <c r="I125" s="45">
        <f t="shared" si="6"/>
        <v>5</v>
      </c>
      <c r="J125" s="379"/>
      <c r="K125" s="382"/>
      <c r="L125" s="378"/>
    </row>
    <row r="126" spans="1:12" ht="45" x14ac:dyDescent="0.25">
      <c r="A126" s="245">
        <v>2</v>
      </c>
      <c r="B126" s="245">
        <v>6</v>
      </c>
      <c r="C126" s="234" t="str">
        <f>Final!E29</f>
        <v>b</v>
      </c>
      <c r="D126" s="362" t="str">
        <f>Final!F29</f>
        <v>Evaluación de la efectividad de las políticas y estrategias definidas por el proyecto curricular en materia de formación integral de los estudiantes.</v>
      </c>
      <c r="E126" s="21" t="s">
        <v>485</v>
      </c>
      <c r="F126" s="283" t="s">
        <v>2870</v>
      </c>
      <c r="G126" s="72" t="s">
        <v>2892</v>
      </c>
      <c r="H126" s="45" t="str">
        <f t="shared" si="5"/>
        <v>SI</v>
      </c>
      <c r="I126" s="45">
        <f t="shared" si="6"/>
        <v>5</v>
      </c>
      <c r="J126" s="377">
        <f>AVERAGE(I126:I129)</f>
        <v>3.75</v>
      </c>
      <c r="K126" s="382"/>
      <c r="L126" s="378"/>
    </row>
    <row r="127" spans="1:12" ht="45" x14ac:dyDescent="0.25">
      <c r="A127" s="245">
        <v>2</v>
      </c>
      <c r="B127" s="245">
        <v>6</v>
      </c>
      <c r="C127" s="235" t="s">
        <v>56</v>
      </c>
      <c r="D127" s="364"/>
      <c r="E127" s="75" t="s">
        <v>486</v>
      </c>
      <c r="F127" s="10"/>
      <c r="G127" s="10"/>
      <c r="H127" s="45" t="str">
        <f t="shared" si="5"/>
        <v>NO</v>
      </c>
      <c r="I127" s="45">
        <f t="shared" si="6"/>
        <v>0</v>
      </c>
      <c r="J127" s="378"/>
      <c r="K127" s="382"/>
      <c r="L127" s="378"/>
    </row>
    <row r="128" spans="1:12" ht="30" x14ac:dyDescent="0.25">
      <c r="A128" s="245">
        <v>2</v>
      </c>
      <c r="B128" s="245">
        <v>6</v>
      </c>
      <c r="C128" s="235" t="s">
        <v>56</v>
      </c>
      <c r="D128" s="364"/>
      <c r="E128" s="75" t="s">
        <v>487</v>
      </c>
      <c r="F128" s="283" t="s">
        <v>3091</v>
      </c>
      <c r="G128" s="44" t="s">
        <v>3090</v>
      </c>
      <c r="H128" s="45" t="str">
        <f t="shared" si="5"/>
        <v>SI</v>
      </c>
      <c r="I128" s="45">
        <f t="shared" si="6"/>
        <v>5</v>
      </c>
      <c r="J128" s="378"/>
      <c r="K128" s="382"/>
      <c r="L128" s="378"/>
    </row>
    <row r="129" spans="1:12" ht="30" x14ac:dyDescent="0.25">
      <c r="A129" s="245">
        <v>2</v>
      </c>
      <c r="B129" s="245">
        <v>6</v>
      </c>
      <c r="C129" s="236" t="s">
        <v>56</v>
      </c>
      <c r="D129" s="363"/>
      <c r="E129" s="77" t="s">
        <v>488</v>
      </c>
      <c r="F129" s="283" t="s">
        <v>92</v>
      </c>
      <c r="G129" s="72" t="s">
        <v>2872</v>
      </c>
      <c r="H129" s="45" t="str">
        <f t="shared" si="5"/>
        <v>SI</v>
      </c>
      <c r="I129" s="45">
        <f t="shared" si="6"/>
        <v>5</v>
      </c>
      <c r="J129" s="379"/>
      <c r="K129" s="382"/>
      <c r="L129" s="378"/>
    </row>
    <row r="130" spans="1:12" ht="120" x14ac:dyDescent="0.25">
      <c r="A130" s="245">
        <v>2</v>
      </c>
      <c r="B130" s="245">
        <v>6</v>
      </c>
      <c r="C130" s="237" t="str">
        <f>Final!E30</f>
        <v>c</v>
      </c>
      <c r="D130" s="21" t="str">
        <f>Final!F30</f>
        <v>Apreciación de los estudiantes sobre la calidad de los espacios y estrategias, para la participación en semilleros y/o grupos de investigación, grupos de estudio y demás actividades académicas y culturales distintas a la docencia, que contribuyen a su formación integral, brindadas por la institución o el proyecto curricular, según la naturaleza y orientación del mismo.</v>
      </c>
      <c r="E130" s="21" t="s">
        <v>49</v>
      </c>
      <c r="F130" s="285" t="s">
        <v>64</v>
      </c>
      <c r="G130" s="10"/>
      <c r="H130" s="45" t="str">
        <f t="shared" si="5"/>
        <v>NA</v>
      </c>
      <c r="I130" s="45" t="str">
        <f t="shared" si="6"/>
        <v>NA</v>
      </c>
      <c r="J130" s="105" t="str">
        <f>IF(EXACT(I130,$N$3),$O$3,IF(EXACT(I130,$N$5),$N$5,$O$4))</f>
        <v>NA</v>
      </c>
      <c r="K130" s="382"/>
      <c r="L130" s="378"/>
    </row>
    <row r="131" spans="1:12" ht="120" x14ac:dyDescent="0.25">
      <c r="A131" s="245">
        <v>2</v>
      </c>
      <c r="B131" s="245">
        <v>6</v>
      </c>
      <c r="C131" s="52" t="str">
        <f>Final!E31</f>
        <v>d</v>
      </c>
      <c r="D131" s="21" t="str">
        <f>Final!F31</f>
        <v>Estudiantes que participan efectivamente en grupos o centros de estudio, proyectos de experimentación, pedagógicos, culturales, artísticos o de desarrollo empresarial, o en las demás actividades académicas y culturales distintas de la docencia que brinda la institución o el proyecto curricular para contribuir a la formación integral.</v>
      </c>
      <c r="E131" s="21" t="s">
        <v>3093</v>
      </c>
      <c r="F131" s="283" t="s">
        <v>3094</v>
      </c>
      <c r="G131" s="72" t="s">
        <v>3092</v>
      </c>
      <c r="H131" s="45" t="str">
        <f t="shared" si="5"/>
        <v>SI</v>
      </c>
      <c r="I131" s="45">
        <f t="shared" si="6"/>
        <v>5</v>
      </c>
      <c r="J131" s="100">
        <f>AVERAGE(I131)</f>
        <v>5</v>
      </c>
      <c r="K131" s="383"/>
      <c r="L131" s="378"/>
    </row>
    <row r="132" spans="1:12" ht="30" customHeight="1" x14ac:dyDescent="0.25">
      <c r="A132" s="245">
        <v>2</v>
      </c>
      <c r="B132" s="245">
        <v>7</v>
      </c>
      <c r="C132" s="234" t="str">
        <f>Final!E32</f>
        <v>a</v>
      </c>
      <c r="D132" s="362" t="str">
        <f>Final!F32</f>
        <v>Mecanismos utilizados para la divulgación del reglamento estudiantil y académico.</v>
      </c>
      <c r="E132" s="21" t="s">
        <v>490</v>
      </c>
      <c r="F132" s="283" t="s">
        <v>3095</v>
      </c>
      <c r="G132" s="44" t="s">
        <v>3096</v>
      </c>
      <c r="H132" s="45" t="str">
        <f t="shared" si="5"/>
        <v>SI</v>
      </c>
      <c r="I132" s="45">
        <f t="shared" si="6"/>
        <v>5</v>
      </c>
      <c r="J132" s="377">
        <f>AVERAGE(I132:I133)</f>
        <v>5</v>
      </c>
      <c r="K132" s="377">
        <f>AVERAGE(J132:J139)</f>
        <v>5</v>
      </c>
      <c r="L132" s="378"/>
    </row>
    <row r="133" spans="1:12" x14ac:dyDescent="0.25">
      <c r="A133" s="245">
        <v>2</v>
      </c>
      <c r="B133" s="245">
        <v>7</v>
      </c>
      <c r="C133" s="236" t="s">
        <v>55</v>
      </c>
      <c r="D133" s="363"/>
      <c r="E133" s="77" t="s">
        <v>409</v>
      </c>
      <c r="F133" s="9" t="s">
        <v>2918</v>
      </c>
      <c r="G133" s="72" t="s">
        <v>2881</v>
      </c>
      <c r="H133" s="45" t="str">
        <f t="shared" si="5"/>
        <v>SI</v>
      </c>
      <c r="I133" s="45">
        <f t="shared" si="6"/>
        <v>5</v>
      </c>
      <c r="J133" s="379"/>
      <c r="K133" s="378"/>
      <c r="L133" s="378"/>
    </row>
    <row r="134" spans="1:12" ht="60" x14ac:dyDescent="0.25">
      <c r="A134" s="245">
        <v>2</v>
      </c>
      <c r="B134" s="245">
        <v>7</v>
      </c>
      <c r="C134" s="237" t="str">
        <f>Final!E33</f>
        <v>b</v>
      </c>
      <c r="D134" s="21" t="str">
        <f>Final!F33</f>
        <v>Apreciación de estudiantes y profesores del proyecto curricular sobre la pertinencia, vigencia y aplicación del reglamento estudiantil y académico.</v>
      </c>
      <c r="E134" s="21" t="s">
        <v>49</v>
      </c>
      <c r="F134" s="285" t="s">
        <v>64</v>
      </c>
      <c r="G134" s="10"/>
      <c r="H134" s="45" t="str">
        <f t="shared" si="5"/>
        <v>NA</v>
      </c>
      <c r="I134" s="45" t="str">
        <f t="shared" si="6"/>
        <v>NA</v>
      </c>
      <c r="J134" s="105" t="str">
        <f>IF(EXACT(I134,$N$3),$O$3,IF(EXACT(I134,$N$5),$N$5,$O$4))</f>
        <v>NA</v>
      </c>
      <c r="K134" s="378"/>
      <c r="L134" s="378"/>
    </row>
    <row r="135" spans="1:12" ht="60" x14ac:dyDescent="0.25">
      <c r="A135" s="245">
        <v>2</v>
      </c>
      <c r="B135" s="245">
        <v>7</v>
      </c>
      <c r="C135" s="52" t="str">
        <f>Final!E34</f>
        <v>c</v>
      </c>
      <c r="D135" s="21" t="str">
        <f>Final!F34</f>
        <v>Evidencias sobre la aplicación de las normas establecidas en los reglamentos estudiantil y académico para atender las situaciones presentadas con los estudiantes.</v>
      </c>
      <c r="E135" s="21" t="s">
        <v>3097</v>
      </c>
      <c r="F135" s="283" t="s">
        <v>3095</v>
      </c>
      <c r="G135" s="44" t="s">
        <v>3096</v>
      </c>
      <c r="H135" s="45" t="str">
        <f t="shared" si="5"/>
        <v>SI</v>
      </c>
      <c r="I135" s="45">
        <f t="shared" si="6"/>
        <v>5</v>
      </c>
      <c r="J135" s="100">
        <f>AVERAGE(I135)</f>
        <v>5</v>
      </c>
      <c r="K135" s="378"/>
      <c r="L135" s="378"/>
    </row>
    <row r="136" spans="1:12" ht="60" x14ac:dyDescent="0.25">
      <c r="A136" s="245">
        <v>2</v>
      </c>
      <c r="B136" s="245">
        <v>7</v>
      </c>
      <c r="C136" s="52" t="str">
        <f>Final!E35</f>
        <v>d</v>
      </c>
      <c r="D136" s="21" t="str">
        <f>Final!F35</f>
        <v>Apreciación de directivos, profesores y estudiantes sobre la participación del estudiantado en los órganos de dirección del proyecto curricular.</v>
      </c>
      <c r="E136" s="21" t="s">
        <v>49</v>
      </c>
      <c r="F136" s="285" t="s">
        <v>64</v>
      </c>
      <c r="G136" s="10"/>
      <c r="H136" s="45" t="str">
        <f t="shared" si="5"/>
        <v>NA</v>
      </c>
      <c r="I136" s="45" t="str">
        <f t="shared" si="6"/>
        <v>NA</v>
      </c>
      <c r="J136" s="105" t="str">
        <f>IF(EXACT(I136,$N$3),$O$3,IF(EXACT(I136,$N$5),$N$5,$O$4))</f>
        <v>NA</v>
      </c>
      <c r="K136" s="378"/>
      <c r="L136" s="378"/>
    </row>
    <row r="137" spans="1:12" ht="25.5" customHeight="1" x14ac:dyDescent="0.25">
      <c r="A137" s="245">
        <v>2</v>
      </c>
      <c r="B137" s="245">
        <v>7</v>
      </c>
      <c r="C137" s="234" t="str">
        <f>Final!E36</f>
        <v>e</v>
      </c>
      <c r="D137" s="362" t="str">
        <f>Final!F36</f>
        <v>Políticas y estrategias sobre estímulos académicos para los estudiantes. Evidencias sobre la aplicación de estas políticas y estrategias.</v>
      </c>
      <c r="E137" s="21" t="s">
        <v>491</v>
      </c>
      <c r="F137" s="283" t="s">
        <v>3094</v>
      </c>
      <c r="G137" s="72" t="s">
        <v>3092</v>
      </c>
      <c r="H137" s="45" t="str">
        <f t="shared" si="5"/>
        <v>SI</v>
      </c>
      <c r="I137" s="45">
        <f t="shared" si="6"/>
        <v>5</v>
      </c>
      <c r="J137" s="377">
        <f>AVERAGE(I137:I139)</f>
        <v>5</v>
      </c>
      <c r="K137" s="378"/>
      <c r="L137" s="378"/>
    </row>
    <row r="138" spans="1:12" ht="25.5" customHeight="1" x14ac:dyDescent="0.25">
      <c r="A138" s="245">
        <v>2</v>
      </c>
      <c r="B138" s="245">
        <v>7</v>
      </c>
      <c r="C138" s="235" t="s">
        <v>87</v>
      </c>
      <c r="D138" s="364"/>
      <c r="E138" s="254" t="s">
        <v>844</v>
      </c>
      <c r="F138" s="283" t="s">
        <v>846</v>
      </c>
      <c r="G138" s="71" t="s">
        <v>459</v>
      </c>
      <c r="H138" s="45" t="str">
        <f t="shared" si="5"/>
        <v>SI</v>
      </c>
      <c r="I138" s="45">
        <f t="shared" si="6"/>
        <v>5</v>
      </c>
      <c r="J138" s="378"/>
      <c r="K138" s="378"/>
      <c r="L138" s="378"/>
    </row>
    <row r="139" spans="1:12" ht="19.5" customHeight="1" x14ac:dyDescent="0.25">
      <c r="A139" s="245">
        <v>2</v>
      </c>
      <c r="B139" s="245">
        <v>7</v>
      </c>
      <c r="C139" s="236" t="s">
        <v>87</v>
      </c>
      <c r="D139" s="363"/>
      <c r="E139" s="77" t="s">
        <v>441</v>
      </c>
      <c r="F139" s="283" t="s">
        <v>92</v>
      </c>
      <c r="G139" s="72" t="s">
        <v>2872</v>
      </c>
      <c r="H139" s="45" t="str">
        <f t="shared" si="5"/>
        <v>SI</v>
      </c>
      <c r="I139" s="45">
        <f t="shared" si="6"/>
        <v>5</v>
      </c>
      <c r="J139" s="379"/>
      <c r="K139" s="379"/>
      <c r="L139" s="379"/>
    </row>
    <row r="140" spans="1:12" ht="30" x14ac:dyDescent="0.25">
      <c r="A140" s="245">
        <v>3</v>
      </c>
      <c r="B140" s="245">
        <v>8</v>
      </c>
      <c r="C140" s="234" t="str">
        <f>Final!E37</f>
        <v>a</v>
      </c>
      <c r="D140" s="362" t="str">
        <f>Final!F37</f>
        <v>Aplicación de las políticas, las normas y los criterios académicos establecidos por la institución para la selección y la vinculación de los profesores, según el tipo de contratación. (Planta y Vinculación especial). Datos de los últimos 5 años.</v>
      </c>
      <c r="E140" s="21" t="s">
        <v>492</v>
      </c>
      <c r="F140" s="238" t="s">
        <v>2891</v>
      </c>
      <c r="G140" s="44" t="s">
        <v>2892</v>
      </c>
      <c r="H140" s="45" t="str">
        <f t="shared" si="5"/>
        <v>SI</v>
      </c>
      <c r="I140" s="45">
        <f t="shared" si="6"/>
        <v>5</v>
      </c>
      <c r="J140" s="377">
        <f>AVERAGE(I140:I145)</f>
        <v>5</v>
      </c>
      <c r="K140" s="377">
        <f>AVERAGE(J140:J150)</f>
        <v>5</v>
      </c>
      <c r="L140" s="381">
        <f>(K140*Ponderación!D9)+(K151*Ponderación!D10)+(K171*Ponderación!D11)+(K181*Ponderación!D12)+(K191*Ponderación!D13)+(K199*Ponderación!D14)+(K207*Ponderación!D15)+(K213*Ponderación!D16)</f>
        <v>4.78125</v>
      </c>
    </row>
    <row r="141" spans="1:12" x14ac:dyDescent="0.25">
      <c r="A141" s="245">
        <v>3</v>
      </c>
      <c r="B141" s="245">
        <v>8</v>
      </c>
      <c r="C141" s="235" t="s">
        <v>55</v>
      </c>
      <c r="D141" s="364"/>
      <c r="E141" s="362" t="s">
        <v>409</v>
      </c>
      <c r="F141" s="362" t="s">
        <v>2880</v>
      </c>
      <c r="G141" s="72" t="s">
        <v>2882</v>
      </c>
      <c r="H141" s="45" t="str">
        <f t="shared" si="5"/>
        <v>SI</v>
      </c>
      <c r="I141" s="45">
        <f t="shared" si="6"/>
        <v>5</v>
      </c>
      <c r="J141" s="378"/>
      <c r="K141" s="378"/>
      <c r="L141" s="382"/>
    </row>
    <row r="142" spans="1:12" ht="14.25" customHeight="1" x14ac:dyDescent="0.25">
      <c r="A142" s="245">
        <v>3</v>
      </c>
      <c r="B142" s="245">
        <v>8</v>
      </c>
      <c r="C142" s="235" t="s">
        <v>55</v>
      </c>
      <c r="D142" s="364"/>
      <c r="E142" s="363"/>
      <c r="F142" s="363"/>
      <c r="G142" s="72" t="s">
        <v>2881</v>
      </c>
      <c r="H142" s="105" t="str">
        <f>IF((LEN(F142)=$O$4)*OR(LEN(G142)=$O$4),$N$4,IF(EXACT(F142,$N$5),$N$5,$N$3))</f>
        <v>SI</v>
      </c>
      <c r="I142" s="105">
        <f t="shared" si="6"/>
        <v>5</v>
      </c>
      <c r="J142" s="378"/>
      <c r="K142" s="378"/>
      <c r="L142" s="382"/>
    </row>
    <row r="143" spans="1:12" ht="75" customHeight="1" x14ac:dyDescent="0.25">
      <c r="A143" s="245">
        <v>3</v>
      </c>
      <c r="B143" s="245">
        <v>8</v>
      </c>
      <c r="C143" s="235" t="s">
        <v>55</v>
      </c>
      <c r="D143" s="364"/>
      <c r="E143" s="362" t="s">
        <v>494</v>
      </c>
      <c r="F143" s="238" t="s">
        <v>2895</v>
      </c>
      <c r="G143" s="72" t="s">
        <v>2893</v>
      </c>
      <c r="H143" s="45" t="str">
        <f t="shared" si="5"/>
        <v>SI</v>
      </c>
      <c r="I143" s="45">
        <f t="shared" si="6"/>
        <v>5</v>
      </c>
      <c r="J143" s="378"/>
      <c r="K143" s="378"/>
      <c r="L143" s="382"/>
    </row>
    <row r="144" spans="1:12" ht="30" x14ac:dyDescent="0.25">
      <c r="A144" s="245"/>
      <c r="B144" s="245"/>
      <c r="C144" s="235"/>
      <c r="D144" s="364"/>
      <c r="E144" s="363"/>
      <c r="F144" s="238" t="s">
        <v>2895</v>
      </c>
      <c r="G144" s="72" t="s">
        <v>2894</v>
      </c>
      <c r="H144" s="105"/>
      <c r="I144" s="105"/>
      <c r="J144" s="378"/>
      <c r="K144" s="378"/>
      <c r="L144" s="382"/>
    </row>
    <row r="145" spans="1:12" ht="90" x14ac:dyDescent="0.25">
      <c r="A145" s="245">
        <v>3</v>
      </c>
      <c r="B145" s="245">
        <v>8</v>
      </c>
      <c r="C145" s="236" t="s">
        <v>55</v>
      </c>
      <c r="D145" s="363"/>
      <c r="E145" s="77" t="s">
        <v>3098</v>
      </c>
      <c r="F145" s="283" t="s">
        <v>92</v>
      </c>
      <c r="G145" s="72" t="s">
        <v>2872</v>
      </c>
      <c r="H145" s="45" t="str">
        <f t="shared" si="5"/>
        <v>SI</v>
      </c>
      <c r="I145" s="45">
        <f>IF(EXACT(H145,$N$3),$O$3,IF(EXACT(H145,$N$5),$N$5,$O$4))</f>
        <v>5</v>
      </c>
      <c r="J145" s="379"/>
      <c r="K145" s="378"/>
      <c r="L145" s="382"/>
    </row>
    <row r="146" spans="1:12" x14ac:dyDescent="0.25">
      <c r="A146" s="245">
        <v>3</v>
      </c>
      <c r="B146" s="245">
        <v>8</v>
      </c>
      <c r="C146" s="234" t="str">
        <f>Final!E38</f>
        <v>b</v>
      </c>
      <c r="D146" s="362" t="str">
        <f>Final!F38</f>
        <v>Aplicación de las estrategias de la Institución para propiciar la permanencia de los profesores en el proyecto curricular y el relevo generacional.</v>
      </c>
      <c r="E146" s="21" t="s">
        <v>495</v>
      </c>
      <c r="F146" s="238" t="s">
        <v>2897</v>
      </c>
      <c r="G146" s="44" t="s">
        <v>2896</v>
      </c>
      <c r="H146" s="45" t="str">
        <f t="shared" si="5"/>
        <v>SI</v>
      </c>
      <c r="I146" s="45">
        <f>IF(EXACT(H146,$N$3),$O$3,IF(EXACT(H146,$N$5),$N$5,$O$4))</f>
        <v>5</v>
      </c>
      <c r="J146" s="377">
        <f>AVERAGE(I146:I149)</f>
        <v>5</v>
      </c>
      <c r="K146" s="378"/>
      <c r="L146" s="382"/>
    </row>
    <row r="147" spans="1:12" x14ac:dyDescent="0.25">
      <c r="A147" s="245">
        <v>3</v>
      </c>
      <c r="B147" s="245">
        <v>8</v>
      </c>
      <c r="C147" s="235" t="s">
        <v>56</v>
      </c>
      <c r="D147" s="364"/>
      <c r="E147" s="77" t="s">
        <v>496</v>
      </c>
      <c r="F147" s="238" t="s">
        <v>64</v>
      </c>
      <c r="G147" s="10"/>
      <c r="H147" s="45" t="str">
        <f t="shared" si="5"/>
        <v>NA</v>
      </c>
      <c r="I147" s="45" t="str">
        <f>IF(EXACT(H147,$N$3),$O$3,IF(EXACT(H147,$N$5),$N$5,$O$4))</f>
        <v>NA</v>
      </c>
      <c r="J147" s="378"/>
      <c r="K147" s="378"/>
      <c r="L147" s="382"/>
    </row>
    <row r="148" spans="1:12" ht="30" x14ac:dyDescent="0.25">
      <c r="A148" s="245">
        <v>3</v>
      </c>
      <c r="B148" s="245">
        <v>8</v>
      </c>
      <c r="C148" s="235" t="s">
        <v>56</v>
      </c>
      <c r="D148" s="364"/>
      <c r="E148" s="77" t="s">
        <v>3099</v>
      </c>
      <c r="F148" s="283" t="s">
        <v>92</v>
      </c>
      <c r="G148" s="72" t="s">
        <v>2872</v>
      </c>
      <c r="H148" s="45" t="str">
        <f t="shared" si="5"/>
        <v>SI</v>
      </c>
      <c r="I148" s="45">
        <f>IF(EXACT(H148,$N$3),$O$3,IF(EXACT(H148,$N$5),$N$5,$O$4))</f>
        <v>5</v>
      </c>
      <c r="J148" s="378"/>
      <c r="K148" s="378"/>
      <c r="L148" s="382"/>
    </row>
    <row r="149" spans="1:12" ht="30" x14ac:dyDescent="0.25">
      <c r="A149" s="245">
        <v>3</v>
      </c>
      <c r="B149" s="245">
        <v>8</v>
      </c>
      <c r="C149" s="236" t="s">
        <v>56</v>
      </c>
      <c r="D149" s="363"/>
      <c r="E149" s="77" t="s">
        <v>497</v>
      </c>
      <c r="F149" s="238" t="s">
        <v>2898</v>
      </c>
      <c r="G149" s="72" t="s">
        <v>2898</v>
      </c>
      <c r="H149" s="45" t="str">
        <f t="shared" ref="H149:H215" si="7">IF((LEN(F149)=$O$4)*OR(LEN(G149)=$O$4),$N$4,IF(EXACT(F149,$N$5),$N$5,$N$3))</f>
        <v>SI</v>
      </c>
      <c r="I149" s="45">
        <f t="shared" ref="I149:J215" si="8">IF(EXACT(H149,$N$3),$O$3,IF(EXACT(H149,$N$5),$N$5,$O$4))</f>
        <v>5</v>
      </c>
      <c r="J149" s="379"/>
      <c r="K149" s="378"/>
      <c r="L149" s="382"/>
    </row>
    <row r="150" spans="1:12" ht="90" x14ac:dyDescent="0.25">
      <c r="A150" s="245">
        <v>3</v>
      </c>
      <c r="B150" s="245">
        <v>8</v>
      </c>
      <c r="C150" s="52" t="str">
        <f>Final!E39</f>
        <v>c</v>
      </c>
      <c r="D150" s="21" t="str">
        <f>Final!F39</f>
        <v>Apreciación de directivos, profesores y estudiantes sobre la aplicación, pertinencia y vigencia de las políticas, las normas y los criterios académicos establecidos por la institución para la selección,  inculación y permanencia de sus profesores.</v>
      </c>
      <c r="E150" s="21" t="s">
        <v>49</v>
      </c>
      <c r="F150" s="285" t="s">
        <v>64</v>
      </c>
      <c r="G150" s="10"/>
      <c r="H150" s="45" t="str">
        <f t="shared" si="7"/>
        <v>NA</v>
      </c>
      <c r="I150" s="45" t="str">
        <f t="shared" si="8"/>
        <v>NA</v>
      </c>
      <c r="J150" s="100" t="str">
        <f>I150</f>
        <v>NA</v>
      </c>
      <c r="K150" s="379"/>
      <c r="L150" s="382"/>
    </row>
    <row r="151" spans="1:12" ht="30" x14ac:dyDescent="0.25">
      <c r="A151" s="245">
        <v>3</v>
      </c>
      <c r="B151" s="245">
        <v>9</v>
      </c>
      <c r="C151" s="234" t="str">
        <f>Final!E40</f>
        <v>a</v>
      </c>
      <c r="D151" s="362" t="str">
        <f>Final!F40</f>
        <v>Mecanismos de divulgación del estatuto profesoral.</v>
      </c>
      <c r="E151" s="21" t="s">
        <v>498</v>
      </c>
      <c r="F151" s="238" t="s">
        <v>847</v>
      </c>
      <c r="G151" s="71" t="s">
        <v>848</v>
      </c>
      <c r="H151" s="45" t="str">
        <f t="shared" si="7"/>
        <v>SI</v>
      </c>
      <c r="I151" s="45">
        <f t="shared" si="8"/>
        <v>5</v>
      </c>
      <c r="J151" s="377">
        <f>AVERAGE(I151:I153)</f>
        <v>5</v>
      </c>
      <c r="K151" s="377">
        <f>AVERAGE(J151:J170)</f>
        <v>5</v>
      </c>
      <c r="L151" s="382"/>
    </row>
    <row r="152" spans="1:12" ht="30" x14ac:dyDescent="0.25">
      <c r="A152" s="245">
        <v>3</v>
      </c>
      <c r="B152" s="245">
        <v>9</v>
      </c>
      <c r="C152" s="235" t="s">
        <v>55</v>
      </c>
      <c r="D152" s="364"/>
      <c r="E152" s="77" t="s">
        <v>499</v>
      </c>
      <c r="F152" s="238" t="s">
        <v>499</v>
      </c>
      <c r="G152" s="72" t="s">
        <v>849</v>
      </c>
      <c r="H152" s="45" t="str">
        <f t="shared" si="7"/>
        <v>SI</v>
      </c>
      <c r="I152" s="45">
        <f t="shared" si="8"/>
        <v>5</v>
      </c>
      <c r="J152" s="378"/>
      <c r="K152" s="378"/>
      <c r="L152" s="382"/>
    </row>
    <row r="153" spans="1:12" ht="60" x14ac:dyDescent="0.25">
      <c r="A153" s="245">
        <v>3</v>
      </c>
      <c r="B153" s="245">
        <v>9</v>
      </c>
      <c r="C153" s="236" t="s">
        <v>55</v>
      </c>
      <c r="D153" s="363"/>
      <c r="E153" s="77" t="s">
        <v>500</v>
      </c>
      <c r="F153" s="238" t="s">
        <v>2900</v>
      </c>
      <c r="G153" s="72" t="s">
        <v>2899</v>
      </c>
      <c r="H153" s="45" t="str">
        <f t="shared" si="7"/>
        <v>SI</v>
      </c>
      <c r="I153" s="45">
        <f t="shared" si="8"/>
        <v>5</v>
      </c>
      <c r="J153" s="379"/>
      <c r="K153" s="378"/>
      <c r="L153" s="382"/>
    </row>
    <row r="154" spans="1:12" ht="30" x14ac:dyDescent="0.25">
      <c r="A154" s="245">
        <v>3</v>
      </c>
      <c r="B154" s="245">
        <v>9</v>
      </c>
      <c r="C154" s="234" t="str">
        <f>Final!E41</f>
        <v>b</v>
      </c>
      <c r="D154" s="362" t="str">
        <f>Final!F41</f>
        <v>Apreciación de directivos y profesores del proyecto curricular sobre la pertinencia, vigencia y aplicación del estatuto profesoral.</v>
      </c>
      <c r="E154" s="21" t="s">
        <v>498</v>
      </c>
      <c r="F154" s="238" t="s">
        <v>847</v>
      </c>
      <c r="G154" s="71" t="s">
        <v>848</v>
      </c>
      <c r="H154" s="45" t="str">
        <f t="shared" si="7"/>
        <v>SI</v>
      </c>
      <c r="I154" s="45">
        <f t="shared" si="8"/>
        <v>5</v>
      </c>
      <c r="J154" s="377">
        <f>AVERAGE(I154:I156)</f>
        <v>5</v>
      </c>
      <c r="K154" s="378"/>
      <c r="L154" s="382"/>
    </row>
    <row r="155" spans="1:12" x14ac:dyDescent="0.25">
      <c r="A155" s="245">
        <v>3</v>
      </c>
      <c r="B155" s="245">
        <v>9</v>
      </c>
      <c r="C155" s="235" t="s">
        <v>56</v>
      </c>
      <c r="D155" s="364"/>
      <c r="E155" s="77" t="s">
        <v>501</v>
      </c>
      <c r="F155" s="238" t="s">
        <v>501</v>
      </c>
      <c r="G155" s="44" t="s">
        <v>2901</v>
      </c>
      <c r="H155" s="45" t="str">
        <f t="shared" si="7"/>
        <v>SI</v>
      </c>
      <c r="I155" s="45">
        <f t="shared" si="8"/>
        <v>5</v>
      </c>
      <c r="J155" s="378"/>
      <c r="K155" s="378"/>
      <c r="L155" s="382"/>
    </row>
    <row r="156" spans="1:12" x14ac:dyDescent="0.25">
      <c r="A156" s="245">
        <v>3</v>
      </c>
      <c r="B156" s="245">
        <v>9</v>
      </c>
      <c r="C156" s="236" t="s">
        <v>56</v>
      </c>
      <c r="D156" s="363"/>
      <c r="E156" s="77" t="s">
        <v>49</v>
      </c>
      <c r="F156" s="285" t="s">
        <v>64</v>
      </c>
      <c r="G156" s="10"/>
      <c r="H156" s="45" t="str">
        <f t="shared" si="7"/>
        <v>NA</v>
      </c>
      <c r="I156" s="45" t="str">
        <f t="shared" si="8"/>
        <v>NA</v>
      </c>
      <c r="J156" s="379"/>
      <c r="K156" s="378"/>
      <c r="L156" s="382"/>
    </row>
    <row r="157" spans="1:12" ht="75" x14ac:dyDescent="0.25">
      <c r="A157" s="245">
        <v>3</v>
      </c>
      <c r="B157" s="245">
        <v>9</v>
      </c>
      <c r="C157" s="52" t="str">
        <f>Final!E42</f>
        <v>c</v>
      </c>
      <c r="D157" s="21" t="str">
        <f>Final!F42</f>
        <v>Información actualizada sobre el número de profesores – de planta y vinculación especial- que prestan sus servicios al proyecto curricular indicando para cada uno la categoría del escalafón en la cual se encuentra ubicado.</v>
      </c>
      <c r="E157" s="21" t="s">
        <v>502</v>
      </c>
      <c r="F157" s="40" t="s">
        <v>2902</v>
      </c>
      <c r="G157" s="72" t="s">
        <v>2902</v>
      </c>
      <c r="H157" s="45" t="str">
        <f t="shared" si="7"/>
        <v>SI</v>
      </c>
      <c r="I157" s="45">
        <f t="shared" si="8"/>
        <v>5</v>
      </c>
      <c r="J157" s="100">
        <f>AVERAGE(I157)</f>
        <v>5</v>
      </c>
      <c r="K157" s="378"/>
      <c r="L157" s="382"/>
    </row>
    <row r="158" spans="1:12" ht="30" x14ac:dyDescent="0.25">
      <c r="A158" s="245">
        <v>3</v>
      </c>
      <c r="B158" s="245">
        <v>9</v>
      </c>
      <c r="C158" s="234" t="str">
        <f>Final!E43</f>
        <v>d</v>
      </c>
      <c r="D158" s="359" t="str">
        <f>Final!F43</f>
        <v>Aplicación de las políticas institucionales en materia de ubicación, permanencia y ascenso en las categorías del escalafón docente.</v>
      </c>
      <c r="E158" s="21" t="s">
        <v>498</v>
      </c>
      <c r="F158" s="238" t="s">
        <v>847</v>
      </c>
      <c r="G158" s="71" t="s">
        <v>848</v>
      </c>
      <c r="H158" s="45" t="str">
        <f t="shared" si="7"/>
        <v>SI</v>
      </c>
      <c r="I158" s="45">
        <f t="shared" si="8"/>
        <v>5</v>
      </c>
      <c r="J158" s="377">
        <f>AVERAGE(I158:I161)</f>
        <v>5</v>
      </c>
      <c r="K158" s="378"/>
      <c r="L158" s="382"/>
    </row>
    <row r="159" spans="1:12" ht="30" x14ac:dyDescent="0.25">
      <c r="A159" s="245">
        <v>3</v>
      </c>
      <c r="B159" s="245">
        <v>9</v>
      </c>
      <c r="C159" s="235" t="s">
        <v>81</v>
      </c>
      <c r="D159" s="360"/>
      <c r="E159" s="77" t="s">
        <v>501</v>
      </c>
      <c r="F159" s="238" t="s">
        <v>501</v>
      </c>
      <c r="G159" s="72" t="s">
        <v>2901</v>
      </c>
      <c r="H159" s="45" t="str">
        <f t="shared" si="7"/>
        <v>SI</v>
      </c>
      <c r="I159" s="45">
        <f t="shared" si="8"/>
        <v>5</v>
      </c>
      <c r="J159" s="378"/>
      <c r="K159" s="378"/>
      <c r="L159" s="382"/>
    </row>
    <row r="160" spans="1:12" ht="30" x14ac:dyDescent="0.25">
      <c r="A160" s="245">
        <v>3</v>
      </c>
      <c r="B160" s="245">
        <v>9</v>
      </c>
      <c r="C160" s="235" t="s">
        <v>81</v>
      </c>
      <c r="D160" s="360"/>
      <c r="E160" s="77" t="s">
        <v>3100</v>
      </c>
      <c r="F160" s="283" t="s">
        <v>501</v>
      </c>
      <c r="G160" s="72" t="s">
        <v>2901</v>
      </c>
      <c r="H160" s="45" t="str">
        <f t="shared" si="7"/>
        <v>SI</v>
      </c>
      <c r="I160" s="45">
        <f t="shared" si="8"/>
        <v>5</v>
      </c>
      <c r="J160" s="378"/>
      <c r="K160" s="378"/>
      <c r="L160" s="382"/>
    </row>
    <row r="161" spans="1:12" x14ac:dyDescent="0.25">
      <c r="A161" s="245">
        <v>3</v>
      </c>
      <c r="B161" s="245">
        <v>9</v>
      </c>
      <c r="C161" s="236" t="s">
        <v>81</v>
      </c>
      <c r="D161" s="361"/>
      <c r="E161" s="77" t="s">
        <v>503</v>
      </c>
      <c r="F161" s="285" t="s">
        <v>64</v>
      </c>
      <c r="G161" s="10"/>
      <c r="H161" s="45" t="str">
        <f t="shared" si="7"/>
        <v>NA</v>
      </c>
      <c r="I161" s="45" t="str">
        <f t="shared" si="8"/>
        <v>NA</v>
      </c>
      <c r="J161" s="379"/>
      <c r="K161" s="378"/>
      <c r="L161" s="382"/>
    </row>
    <row r="162" spans="1:12" ht="30" x14ac:dyDescent="0.25">
      <c r="A162" s="245">
        <v>3</v>
      </c>
      <c r="B162" s="245">
        <v>9</v>
      </c>
      <c r="C162" s="234" t="str">
        <f>Final!E44</f>
        <v>e</v>
      </c>
      <c r="D162" s="362" t="str">
        <f>Final!F44</f>
        <v>Apreciación de directivos y profesores sobre la aplicación de las políticas institucionales en materia de participación del profesorado en los órganos colegiados de dirección de la institución y del proyecto curricular.</v>
      </c>
      <c r="E162" s="21" t="s">
        <v>504</v>
      </c>
      <c r="F162" s="238" t="s">
        <v>451</v>
      </c>
      <c r="G162" s="72" t="s">
        <v>452</v>
      </c>
      <c r="H162" s="45" t="str">
        <f t="shared" si="7"/>
        <v>SI</v>
      </c>
      <c r="I162" s="45">
        <f t="shared" si="8"/>
        <v>5</v>
      </c>
      <c r="J162" s="377">
        <f>AVERAGE(I162:I167)</f>
        <v>5</v>
      </c>
      <c r="K162" s="378"/>
      <c r="L162" s="382"/>
    </row>
    <row r="163" spans="1:12" x14ac:dyDescent="0.25">
      <c r="A163" s="245">
        <v>3</v>
      </c>
      <c r="B163" s="245">
        <v>9</v>
      </c>
      <c r="C163" s="235" t="s">
        <v>87</v>
      </c>
      <c r="D163" s="364"/>
      <c r="E163" s="77" t="s">
        <v>505</v>
      </c>
      <c r="F163" s="238" t="s">
        <v>850</v>
      </c>
      <c r="G163" s="71" t="s">
        <v>840</v>
      </c>
      <c r="H163" s="45" t="str">
        <f t="shared" si="7"/>
        <v>SI</v>
      </c>
      <c r="I163" s="45">
        <f t="shared" si="8"/>
        <v>5</v>
      </c>
      <c r="J163" s="378"/>
      <c r="K163" s="378"/>
      <c r="L163" s="382"/>
    </row>
    <row r="164" spans="1:12" ht="30" x14ac:dyDescent="0.25">
      <c r="A164" s="245">
        <v>3</v>
      </c>
      <c r="B164" s="245">
        <v>9</v>
      </c>
      <c r="C164" s="235" t="s">
        <v>87</v>
      </c>
      <c r="D164" s="364"/>
      <c r="E164" s="77" t="s">
        <v>498</v>
      </c>
      <c r="F164" s="238" t="s">
        <v>847</v>
      </c>
      <c r="G164" s="72" t="s">
        <v>848</v>
      </c>
      <c r="H164" s="45" t="str">
        <f t="shared" si="7"/>
        <v>SI</v>
      </c>
      <c r="I164" s="45">
        <f t="shared" si="8"/>
        <v>5</v>
      </c>
      <c r="J164" s="378"/>
      <c r="K164" s="378"/>
      <c r="L164" s="382"/>
    </row>
    <row r="165" spans="1:12" ht="30" x14ac:dyDescent="0.25">
      <c r="A165" s="245">
        <v>3</v>
      </c>
      <c r="B165" s="245">
        <v>9</v>
      </c>
      <c r="C165" s="235" t="s">
        <v>87</v>
      </c>
      <c r="D165" s="364"/>
      <c r="E165" s="77" t="s">
        <v>506</v>
      </c>
      <c r="F165" s="238" t="s">
        <v>851</v>
      </c>
      <c r="G165" s="71" t="s">
        <v>852</v>
      </c>
      <c r="H165" s="45" t="str">
        <f t="shared" si="7"/>
        <v>SI</v>
      </c>
      <c r="I165" s="45">
        <f t="shared" si="8"/>
        <v>5</v>
      </c>
      <c r="J165" s="378"/>
      <c r="K165" s="378"/>
      <c r="L165" s="382"/>
    </row>
    <row r="166" spans="1:12" ht="30" x14ac:dyDescent="0.25">
      <c r="A166" s="245">
        <v>3</v>
      </c>
      <c r="B166" s="245">
        <v>9</v>
      </c>
      <c r="C166" s="235" t="s">
        <v>87</v>
      </c>
      <c r="D166" s="364"/>
      <c r="E166" s="77" t="s">
        <v>507</v>
      </c>
      <c r="F166" s="283" t="s">
        <v>92</v>
      </c>
      <c r="G166" s="72" t="s">
        <v>2872</v>
      </c>
      <c r="H166" s="45" t="str">
        <f t="shared" si="7"/>
        <v>SI</v>
      </c>
      <c r="I166" s="45">
        <f t="shared" si="8"/>
        <v>5</v>
      </c>
      <c r="J166" s="378"/>
      <c r="K166" s="378"/>
      <c r="L166" s="382"/>
    </row>
    <row r="167" spans="1:12" ht="45" x14ac:dyDescent="0.25">
      <c r="A167" s="245">
        <v>3</v>
      </c>
      <c r="B167" s="245">
        <v>9</v>
      </c>
      <c r="C167" s="236" t="s">
        <v>87</v>
      </c>
      <c r="D167" s="363"/>
      <c r="E167" s="77" t="s">
        <v>508</v>
      </c>
      <c r="F167" s="292" t="s">
        <v>2910</v>
      </c>
      <c r="G167" s="297" t="s">
        <v>2911</v>
      </c>
      <c r="H167" s="45" t="str">
        <f t="shared" si="7"/>
        <v>SI</v>
      </c>
      <c r="I167" s="45">
        <f t="shared" si="8"/>
        <v>5</v>
      </c>
      <c r="J167" s="379"/>
      <c r="K167" s="378"/>
      <c r="L167" s="382"/>
    </row>
    <row r="168" spans="1:12" ht="30" x14ac:dyDescent="0.25">
      <c r="A168" s="245">
        <v>3</v>
      </c>
      <c r="B168" s="245">
        <v>9</v>
      </c>
      <c r="C168" s="234" t="str">
        <f>Final!E45</f>
        <v>f</v>
      </c>
      <c r="D168" s="362" t="str">
        <f>Final!F45</f>
        <v>Evidencias sobre la participación de los profesores en los órganos de dirección del proyecto curricular,  de la facultad, del departamento y/o de la institución, durante los últimos cinco años.</v>
      </c>
      <c r="E168" s="21" t="s">
        <v>509</v>
      </c>
      <c r="F168" s="283" t="s">
        <v>851</v>
      </c>
      <c r="G168" s="72" t="s">
        <v>852</v>
      </c>
      <c r="H168" s="45" t="str">
        <f t="shared" si="7"/>
        <v>SI</v>
      </c>
      <c r="I168" s="45">
        <f t="shared" si="8"/>
        <v>5</v>
      </c>
      <c r="J168" s="377">
        <f>AVERAGE(I168:I170)</f>
        <v>5</v>
      </c>
      <c r="K168" s="378"/>
      <c r="L168" s="382"/>
    </row>
    <row r="169" spans="1:12" ht="30" x14ac:dyDescent="0.25">
      <c r="A169" s="245">
        <v>3</v>
      </c>
      <c r="B169" s="245">
        <v>9</v>
      </c>
      <c r="C169" s="235" t="s">
        <v>88</v>
      </c>
      <c r="D169" s="364"/>
      <c r="E169" s="77" t="s">
        <v>510</v>
      </c>
      <c r="F169" s="283" t="s">
        <v>92</v>
      </c>
      <c r="G169" s="72" t="s">
        <v>2872</v>
      </c>
      <c r="H169" s="45" t="str">
        <f t="shared" si="7"/>
        <v>SI</v>
      </c>
      <c r="I169" s="45">
        <f t="shared" si="8"/>
        <v>5</v>
      </c>
      <c r="J169" s="378"/>
      <c r="K169" s="378"/>
      <c r="L169" s="382"/>
    </row>
    <row r="170" spans="1:12" ht="45" x14ac:dyDescent="0.25">
      <c r="A170" s="245">
        <v>3</v>
      </c>
      <c r="B170" s="245">
        <v>9</v>
      </c>
      <c r="C170" s="236" t="s">
        <v>88</v>
      </c>
      <c r="D170" s="363"/>
      <c r="E170" s="77" t="s">
        <v>511</v>
      </c>
      <c r="F170" s="292" t="s">
        <v>2910</v>
      </c>
      <c r="G170" s="297" t="s">
        <v>2911</v>
      </c>
      <c r="H170" s="45" t="str">
        <f t="shared" si="7"/>
        <v>SI</v>
      </c>
      <c r="I170" s="45">
        <f t="shared" si="8"/>
        <v>5</v>
      </c>
      <c r="J170" s="379"/>
      <c r="K170" s="379"/>
      <c r="L170" s="382"/>
    </row>
    <row r="171" spans="1:12" ht="120" x14ac:dyDescent="0.25">
      <c r="A171" s="245">
        <v>3</v>
      </c>
      <c r="B171" s="245">
        <v>10</v>
      </c>
      <c r="C171" s="237" t="str">
        <f>Final!E46</f>
        <v>a</v>
      </c>
      <c r="D171" s="21" t="str">
        <f>Final!F46</f>
        <v>Información demostrada sobre la relación de la formación académica de los profesores de planta y vinculación especial, vinculados al proyecto curricular, según tipo de título de especialización, maestría y doctorado, con el objeto de conocimiento del proyecto curricular, indicando la información demostrada acerca de las instituciones en las cuales fueron formados</v>
      </c>
      <c r="E171" s="21" t="s">
        <v>513</v>
      </c>
      <c r="F171" s="292" t="s">
        <v>3102</v>
      </c>
      <c r="G171" s="44" t="s">
        <v>3103</v>
      </c>
      <c r="H171" s="45" t="str">
        <f t="shared" si="7"/>
        <v>SI</v>
      </c>
      <c r="I171" s="45">
        <f t="shared" si="8"/>
        <v>5</v>
      </c>
      <c r="J171" s="100">
        <f>AVERAGE(I171)</f>
        <v>5</v>
      </c>
      <c r="K171" s="377">
        <f>AVERAGE(J171:J180)</f>
        <v>5</v>
      </c>
      <c r="L171" s="382"/>
    </row>
    <row r="172" spans="1:12" ht="60" x14ac:dyDescent="0.25">
      <c r="A172" s="245">
        <v>3</v>
      </c>
      <c r="B172" s="245">
        <v>10</v>
      </c>
      <c r="C172" s="52" t="str">
        <f>Final!E47</f>
        <v>b</v>
      </c>
      <c r="D172" s="21" t="str">
        <f>Final!F47</f>
        <v>Profesores del proyecto curricular adscritos en forma directa o a través de la Facultad con dedicación de tiempo completo, medio tiempo y cátedra, según nivel de formación</v>
      </c>
      <c r="E172" s="21" t="s">
        <v>515</v>
      </c>
      <c r="F172" s="292" t="s">
        <v>3101</v>
      </c>
      <c r="G172" s="44" t="s">
        <v>3103</v>
      </c>
      <c r="H172" s="45" t="str">
        <f t="shared" si="7"/>
        <v>SI</v>
      </c>
      <c r="I172" s="45">
        <f t="shared" si="8"/>
        <v>5</v>
      </c>
      <c r="J172" s="100">
        <f>AVERAGE(I172)</f>
        <v>5</v>
      </c>
      <c r="K172" s="378"/>
      <c r="L172" s="382"/>
    </row>
    <row r="173" spans="1:12" ht="135" x14ac:dyDescent="0.25">
      <c r="A173" s="245">
        <v>3</v>
      </c>
      <c r="B173" s="245">
        <v>10</v>
      </c>
      <c r="C173" s="52" t="str">
        <f>Final!E48</f>
        <v>c</v>
      </c>
      <c r="D173" s="21" t="str">
        <f>Final!F48</f>
        <v>Tiempo de dedicación de los profesores del proyecto curricular a la docencia (incluyendo el desarrollo de productos, artefactos, materiales y prototipos, entre otros), la investigación, la creación artística, a la extensión o proyección social, la atención de funciones de gestión académica o administrativa, la tutoría individual de los estudiantes de acuerdo con la naturaleza del proyecto curricular.</v>
      </c>
      <c r="E173" s="21"/>
      <c r="F173" s="45" t="s">
        <v>64</v>
      </c>
      <c r="G173" s="10"/>
      <c r="H173" s="45" t="str">
        <f t="shared" si="7"/>
        <v>NA</v>
      </c>
      <c r="I173" s="45" t="str">
        <f t="shared" si="8"/>
        <v>NA</v>
      </c>
      <c r="J173" s="100" t="str">
        <f>I173</f>
        <v>NA</v>
      </c>
      <c r="K173" s="378"/>
      <c r="L173" s="382"/>
    </row>
    <row r="174" spans="1:12" ht="75" x14ac:dyDescent="0.25">
      <c r="A174" s="245">
        <v>3</v>
      </c>
      <c r="B174" s="245">
        <v>10</v>
      </c>
      <c r="C174" s="52" t="str">
        <f>Final!E49</f>
        <v>d</v>
      </c>
      <c r="D174" s="21" t="str">
        <f>Final!F49</f>
        <v>Tiempos de los profesores de cátedra dedicados a las tutorías, el acompañamiento de estudiante y el desarrollo de competencias, especialmente actitudes, conocimientos, capacidades y habilidades.</v>
      </c>
      <c r="E174" s="21"/>
      <c r="F174" s="45" t="s">
        <v>64</v>
      </c>
      <c r="G174" s="10"/>
      <c r="H174" s="45" t="str">
        <f t="shared" si="7"/>
        <v>NA</v>
      </c>
      <c r="I174" s="45" t="str">
        <f t="shared" si="8"/>
        <v>NA</v>
      </c>
      <c r="J174" s="100" t="str">
        <f>I174</f>
        <v>NA</v>
      </c>
      <c r="K174" s="378"/>
      <c r="L174" s="382"/>
    </row>
    <row r="175" spans="1:12" x14ac:dyDescent="0.25">
      <c r="A175" s="245">
        <v>3</v>
      </c>
      <c r="B175" s="245">
        <v>10</v>
      </c>
      <c r="C175" s="234" t="str">
        <f>Final!E50</f>
        <v>e</v>
      </c>
      <c r="D175" s="362" t="str">
        <f>Final!F50</f>
        <v>Experiencia profesional y/o académica de los profesores, según necesidades y exigencias del proyecto curricular para el desarrollo óptimo de sus funciones sustantivas.</v>
      </c>
      <c r="E175" s="21" t="s">
        <v>518</v>
      </c>
      <c r="F175" s="292" t="s">
        <v>3102</v>
      </c>
      <c r="G175" s="44" t="s">
        <v>3103</v>
      </c>
      <c r="H175" s="45" t="str">
        <f t="shared" si="7"/>
        <v>SI</v>
      </c>
      <c r="I175" s="45">
        <f t="shared" si="8"/>
        <v>5</v>
      </c>
      <c r="J175" s="377">
        <f>AVERAGE(I175:I177)</f>
        <v>5</v>
      </c>
      <c r="K175" s="378"/>
      <c r="L175" s="382"/>
    </row>
    <row r="176" spans="1:12" x14ac:dyDescent="0.25">
      <c r="A176" s="245">
        <v>3</v>
      </c>
      <c r="B176" s="245">
        <v>10</v>
      </c>
      <c r="C176" s="235" t="s">
        <v>87</v>
      </c>
      <c r="D176" s="364"/>
      <c r="E176" s="77" t="s">
        <v>519</v>
      </c>
      <c r="F176" s="292" t="s">
        <v>2866</v>
      </c>
      <c r="G176" s="44" t="s">
        <v>3104</v>
      </c>
      <c r="H176" s="45" t="str">
        <f t="shared" si="7"/>
        <v>SI</v>
      </c>
      <c r="I176" s="45">
        <f t="shared" si="8"/>
        <v>5</v>
      </c>
      <c r="J176" s="378"/>
      <c r="K176" s="378"/>
      <c r="L176" s="382"/>
    </row>
    <row r="177" spans="1:12" ht="30" x14ac:dyDescent="0.25">
      <c r="A177" s="245">
        <v>3</v>
      </c>
      <c r="B177" s="245">
        <v>10</v>
      </c>
      <c r="C177" s="236" t="s">
        <v>87</v>
      </c>
      <c r="D177" s="363"/>
      <c r="E177" s="77" t="s">
        <v>520</v>
      </c>
      <c r="F177" s="292" t="s">
        <v>3101</v>
      </c>
      <c r="G177" s="44" t="s">
        <v>3103</v>
      </c>
      <c r="H177" s="45" t="str">
        <f t="shared" si="7"/>
        <v>SI</v>
      </c>
      <c r="I177" s="45">
        <f t="shared" si="8"/>
        <v>5</v>
      </c>
      <c r="J177" s="379"/>
      <c r="K177" s="378"/>
      <c r="L177" s="382"/>
    </row>
    <row r="178" spans="1:12" ht="60" x14ac:dyDescent="0.25">
      <c r="A178" s="245">
        <v>3</v>
      </c>
      <c r="B178" s="245">
        <v>10</v>
      </c>
      <c r="C178" s="52" t="str">
        <f>Final!E51</f>
        <v>f</v>
      </c>
      <c r="D178" s="21" t="str">
        <f>Final!F51</f>
        <v>Suficiencia del número de profesores con relación a la cantidad de estudiantes del proyecto curricular y sus necesidades de formación de acuerdo con el proyecto educativo.</v>
      </c>
      <c r="E178" s="21"/>
      <c r="F178" s="45" t="s">
        <v>64</v>
      </c>
      <c r="G178" s="10"/>
      <c r="H178" s="45" t="str">
        <f t="shared" si="7"/>
        <v>NA</v>
      </c>
      <c r="I178" s="45" t="str">
        <f t="shared" si="8"/>
        <v>NA</v>
      </c>
      <c r="J178" s="100" t="str">
        <f>I178</f>
        <v>NA</v>
      </c>
      <c r="K178" s="378"/>
      <c r="L178" s="382"/>
    </row>
    <row r="179" spans="1:12" ht="60" x14ac:dyDescent="0.25">
      <c r="A179" s="245">
        <v>3</v>
      </c>
      <c r="B179" s="245">
        <v>10</v>
      </c>
      <c r="C179" s="52" t="str">
        <f>Final!E52</f>
        <v>g</v>
      </c>
      <c r="D179" s="21" t="str">
        <f>Final!F52</f>
        <v>Apreciación de directivos, profesores y estudiantes del proyecto curricular sobre la calidad y la suficiencia del número y de la dedicación de los profesores al servicio de éste.</v>
      </c>
      <c r="E179" s="21" t="s">
        <v>49</v>
      </c>
      <c r="F179" s="105" t="s">
        <v>64</v>
      </c>
      <c r="G179" s="10"/>
      <c r="H179" s="45" t="str">
        <f t="shared" si="7"/>
        <v>NA</v>
      </c>
      <c r="I179" s="45" t="str">
        <f t="shared" si="8"/>
        <v>NA</v>
      </c>
      <c r="J179" s="105" t="str">
        <f t="shared" si="8"/>
        <v>NA</v>
      </c>
      <c r="K179" s="378"/>
      <c r="L179" s="382"/>
    </row>
    <row r="180" spans="1:12" ht="120" x14ac:dyDescent="0.25">
      <c r="A180" s="245">
        <v>3</v>
      </c>
      <c r="B180" s="245">
        <v>10</v>
      </c>
      <c r="C180" s="52" t="str">
        <f>Final!E53</f>
        <v>h</v>
      </c>
      <c r="D180" s="21" t="str">
        <f>Final!F53</f>
        <v>Existencia y utilización de sistemas y criterios para evaluar el número, la dedicación, el nivel de formación y la experiencia de los profesores del proyecto curricular; periodicidad de esta evaluación; acciones adelantadas por la institución y el proyecto curricular, a partir de los resultados de las evaluaciones realizadas en esta materia en los últimos cinco años.</v>
      </c>
      <c r="E180" s="21" t="s">
        <v>522</v>
      </c>
      <c r="F180" s="298" t="s">
        <v>2918</v>
      </c>
      <c r="G180" s="297" t="s">
        <v>2881</v>
      </c>
      <c r="H180" s="45" t="str">
        <f t="shared" si="7"/>
        <v>SI</v>
      </c>
      <c r="I180" s="45">
        <f t="shared" si="8"/>
        <v>5</v>
      </c>
      <c r="J180" s="100">
        <f>AVERAGE(I180)</f>
        <v>5</v>
      </c>
      <c r="K180" s="379"/>
      <c r="L180" s="382"/>
    </row>
    <row r="181" spans="1:12" ht="39" customHeight="1" x14ac:dyDescent="0.25">
      <c r="A181" s="245">
        <v>3</v>
      </c>
      <c r="B181" s="245">
        <v>11</v>
      </c>
      <c r="C181" s="234" t="str">
        <f>Final!E54</f>
        <v>a</v>
      </c>
      <c r="D181" s="362" t="str">
        <f>Final!F54</f>
        <v>Políticas institucionales y evidencias de aplicación, en materia de desarrollo integral del profesorado, que incluyan la capacitación y actualización en los aspectos académicos, profesionales y pedagógicos relacionados con la metodología del proyecto curricular</v>
      </c>
      <c r="E181" s="362" t="s">
        <v>523</v>
      </c>
      <c r="F181" s="253" t="s">
        <v>2862</v>
      </c>
      <c r="G181" s="44" t="s">
        <v>2863</v>
      </c>
      <c r="H181" s="45" t="str">
        <f t="shared" si="7"/>
        <v>SI</v>
      </c>
      <c r="I181" s="45">
        <f t="shared" si="8"/>
        <v>5</v>
      </c>
      <c r="J181" s="377">
        <f>AVERAGE(I181:I183)</f>
        <v>5</v>
      </c>
      <c r="K181" s="377">
        <f>AVERAGE(J181:J190)</f>
        <v>4.5</v>
      </c>
      <c r="L181" s="382"/>
    </row>
    <row r="182" spans="1:12" ht="68.25" customHeight="1" x14ac:dyDescent="0.25">
      <c r="A182" s="245">
        <v>3</v>
      </c>
      <c r="B182" s="245">
        <v>11</v>
      </c>
      <c r="C182" s="235" t="s">
        <v>55</v>
      </c>
      <c r="D182" s="364"/>
      <c r="E182" s="363"/>
      <c r="F182" s="254" t="s">
        <v>853</v>
      </c>
      <c r="G182" s="72" t="s">
        <v>854</v>
      </c>
      <c r="H182" s="45" t="str">
        <f t="shared" si="7"/>
        <v>SI</v>
      </c>
      <c r="I182" s="45">
        <f t="shared" si="8"/>
        <v>5</v>
      </c>
      <c r="J182" s="378"/>
      <c r="K182" s="378"/>
      <c r="L182" s="382"/>
    </row>
    <row r="183" spans="1:12" ht="63" customHeight="1" x14ac:dyDescent="0.25">
      <c r="A183" s="245">
        <v>3</v>
      </c>
      <c r="B183" s="245">
        <v>11</v>
      </c>
      <c r="C183" s="236" t="s">
        <v>55</v>
      </c>
      <c r="D183" s="363"/>
      <c r="E183" s="77" t="s">
        <v>519</v>
      </c>
      <c r="F183" s="292" t="s">
        <v>2866</v>
      </c>
      <c r="G183" s="44" t="s">
        <v>3104</v>
      </c>
      <c r="H183" s="45" t="str">
        <f t="shared" si="7"/>
        <v>SI</v>
      </c>
      <c r="I183" s="45">
        <f t="shared" si="8"/>
        <v>5</v>
      </c>
      <c r="J183" s="379"/>
      <c r="K183" s="378"/>
      <c r="L183" s="382"/>
    </row>
    <row r="184" spans="1:12" ht="51.75" customHeight="1" x14ac:dyDescent="0.25">
      <c r="A184" s="245">
        <v>3</v>
      </c>
      <c r="B184" s="245">
        <v>11</v>
      </c>
      <c r="C184" s="234" t="str">
        <f>Final!E55</f>
        <v>b</v>
      </c>
      <c r="D184" s="362" t="str">
        <f>Final!F55</f>
        <v>Número de profesores del proyecto curricular, que han participado en los últimos cinco años en programas de desarrollo profesoral o que han recibido apoyo a la capacitación y actualización permanente, como resultado de las políticas institucionales orientadas para tal fin.</v>
      </c>
      <c r="E184" s="21" t="s">
        <v>3129</v>
      </c>
      <c r="F184" s="306" t="s">
        <v>3131</v>
      </c>
      <c r="G184" s="44" t="s">
        <v>3130</v>
      </c>
      <c r="H184" s="45"/>
      <c r="I184" s="45">
        <f t="shared" si="8"/>
        <v>0</v>
      </c>
      <c r="J184" s="377">
        <f>AVERAGE(I184:I185)</f>
        <v>2.5</v>
      </c>
      <c r="K184" s="378"/>
      <c r="L184" s="382"/>
    </row>
    <row r="185" spans="1:12" ht="45" x14ac:dyDescent="0.25">
      <c r="A185" s="245">
        <v>3</v>
      </c>
      <c r="B185" s="245">
        <v>11</v>
      </c>
      <c r="C185" s="236" t="s">
        <v>56</v>
      </c>
      <c r="D185" s="363"/>
      <c r="E185" s="77" t="s">
        <v>3132</v>
      </c>
      <c r="F185" s="304" t="s">
        <v>3133</v>
      </c>
      <c r="G185" s="44" t="s">
        <v>2927</v>
      </c>
      <c r="H185" s="45" t="str">
        <f t="shared" si="7"/>
        <v>SI</v>
      </c>
      <c r="I185" s="45">
        <f t="shared" si="8"/>
        <v>5</v>
      </c>
      <c r="J185" s="379"/>
      <c r="K185" s="378"/>
      <c r="L185" s="382"/>
    </row>
    <row r="186" spans="1:12" ht="75" x14ac:dyDescent="0.25">
      <c r="A186" s="245">
        <v>3</v>
      </c>
      <c r="B186" s="245">
        <v>11</v>
      </c>
      <c r="C186" s="52" t="str">
        <f>Final!E56</f>
        <v>c</v>
      </c>
      <c r="D186" s="21" t="str">
        <f>Final!F56</f>
        <v>Apreciación de directivos y profesores del proyecto curricular, sobre el impacto que han tenido las acciones orientadas al desarrollo integral de los profesores, en el enriquecimiento de la calidad del proyecto curricular.</v>
      </c>
      <c r="E186" s="21" t="s">
        <v>49</v>
      </c>
      <c r="F186" s="105" t="s">
        <v>64</v>
      </c>
      <c r="G186" s="10"/>
      <c r="H186" s="45" t="str">
        <f t="shared" si="7"/>
        <v>NA</v>
      </c>
      <c r="I186" s="45" t="str">
        <f t="shared" si="8"/>
        <v>NA</v>
      </c>
      <c r="J186" s="105" t="str">
        <f t="shared" si="8"/>
        <v>NA</v>
      </c>
      <c r="K186" s="378"/>
      <c r="L186" s="382"/>
    </row>
    <row r="187" spans="1:12" ht="60" x14ac:dyDescent="0.25">
      <c r="A187" s="245">
        <v>3</v>
      </c>
      <c r="B187" s="245">
        <v>11</v>
      </c>
      <c r="C187" s="52" t="str">
        <f>Final!E57</f>
        <v>d</v>
      </c>
      <c r="D187" s="21" t="str">
        <f>Final!F57</f>
        <v>Acompañamiento por expertos, para la cualificación de la labor pedagógica de los profesores, de acuerdo con el tipo y metodología del proyecto curricular.</v>
      </c>
      <c r="E187" s="21" t="s">
        <v>524</v>
      </c>
      <c r="F187" s="283" t="s">
        <v>2870</v>
      </c>
      <c r="G187" s="72" t="s">
        <v>2892</v>
      </c>
      <c r="H187" s="45" t="str">
        <f t="shared" si="7"/>
        <v>SI</v>
      </c>
      <c r="I187" s="45">
        <f t="shared" si="8"/>
        <v>5</v>
      </c>
      <c r="J187" s="100">
        <f>AVERAGE(I187)</f>
        <v>5</v>
      </c>
      <c r="K187" s="378"/>
      <c r="L187" s="382"/>
    </row>
    <row r="188" spans="1:12" ht="30" x14ac:dyDescent="0.25">
      <c r="A188" s="245">
        <v>3</v>
      </c>
      <c r="B188" s="245">
        <v>11</v>
      </c>
      <c r="C188" s="234" t="str">
        <f>Final!E58</f>
        <v>e</v>
      </c>
      <c r="D188" s="362" t="str">
        <f>Final!F58</f>
        <v>Reconocimiento a los profesores que participan en procesos de creación artística y cultural.</v>
      </c>
      <c r="E188" s="21" t="s">
        <v>525</v>
      </c>
      <c r="F188" s="283" t="s">
        <v>855</v>
      </c>
      <c r="G188" s="71" t="s">
        <v>856</v>
      </c>
      <c r="H188" s="45" t="str">
        <f t="shared" si="7"/>
        <v>SI</v>
      </c>
      <c r="I188" s="45">
        <f t="shared" si="8"/>
        <v>5</v>
      </c>
      <c r="J188" s="377">
        <f>AVERAGE(I188:I189)</f>
        <v>5</v>
      </c>
      <c r="K188" s="378"/>
      <c r="L188" s="382"/>
    </row>
    <row r="189" spans="1:12" ht="22.5" customHeight="1" x14ac:dyDescent="0.25">
      <c r="A189" s="245">
        <v>3</v>
      </c>
      <c r="B189" s="245">
        <v>11</v>
      </c>
      <c r="C189" s="236" t="s">
        <v>87</v>
      </c>
      <c r="D189" s="363"/>
      <c r="E189" s="77" t="s">
        <v>64</v>
      </c>
      <c r="F189" s="105" t="s">
        <v>64</v>
      </c>
      <c r="G189" s="10"/>
      <c r="H189" s="45" t="str">
        <f t="shared" si="7"/>
        <v>NA</v>
      </c>
      <c r="I189" s="45" t="str">
        <f t="shared" si="8"/>
        <v>NA</v>
      </c>
      <c r="J189" s="379"/>
      <c r="K189" s="378"/>
      <c r="L189" s="382"/>
    </row>
    <row r="190" spans="1:12" ht="45" x14ac:dyDescent="0.25">
      <c r="A190" s="245">
        <v>3</v>
      </c>
      <c r="B190" s="245">
        <v>11</v>
      </c>
      <c r="C190" s="52" t="str">
        <f>Final!E59</f>
        <v>f</v>
      </c>
      <c r="D190" s="21" t="str">
        <f>Final!F59</f>
        <v>Estrategias orientadas a la actualización docente en temas relacionados con la atención a la diversidad poblacional.</v>
      </c>
      <c r="E190" s="21" t="s">
        <v>526</v>
      </c>
      <c r="F190" s="253" t="s">
        <v>2862</v>
      </c>
      <c r="G190" s="44" t="s">
        <v>2863</v>
      </c>
      <c r="H190" s="45" t="str">
        <f t="shared" si="7"/>
        <v>SI</v>
      </c>
      <c r="I190" s="45">
        <f t="shared" si="8"/>
        <v>5</v>
      </c>
      <c r="J190" s="100">
        <f>AVERAGE(I190)</f>
        <v>5</v>
      </c>
      <c r="K190" s="379"/>
      <c r="L190" s="382"/>
    </row>
    <row r="191" spans="1:12" ht="57" customHeight="1" x14ac:dyDescent="0.25">
      <c r="A191" s="245">
        <v>3</v>
      </c>
      <c r="B191" s="245">
        <v>12</v>
      </c>
      <c r="C191" s="234" t="str">
        <f>Final!E60</f>
        <v>a</v>
      </c>
      <c r="D191" s="362" t="str">
        <f>Final!F60</f>
        <v>Aplicación de las políticas de estímulo y reconocimiento a los profesores por el ejercicio calificado de la docencia, investigación, innovación, creación artística, técnica y tecnología, extensión o proyección social y cooperación internacional y evidenciar la incidencia de dichos reconocimientos frente a la actividad docente.</v>
      </c>
      <c r="E191" s="21" t="s">
        <v>527</v>
      </c>
      <c r="F191" s="254" t="s">
        <v>857</v>
      </c>
      <c r="G191" s="71" t="s">
        <v>848</v>
      </c>
      <c r="H191" s="45" t="str">
        <f t="shared" si="7"/>
        <v>SI</v>
      </c>
      <c r="I191" s="45">
        <f t="shared" si="8"/>
        <v>5</v>
      </c>
      <c r="J191" s="377">
        <f>AVERAGE(I191:I194)</f>
        <v>5</v>
      </c>
      <c r="K191" s="377">
        <f>AVERAGE(J191:J198)</f>
        <v>5</v>
      </c>
      <c r="L191" s="382"/>
    </row>
    <row r="192" spans="1:12" ht="49.5" customHeight="1" x14ac:dyDescent="0.25">
      <c r="A192" s="245">
        <v>3</v>
      </c>
      <c r="B192" s="245">
        <v>12</v>
      </c>
      <c r="C192" s="235" t="s">
        <v>55</v>
      </c>
      <c r="D192" s="364"/>
      <c r="E192" s="254" t="s">
        <v>2889</v>
      </c>
      <c r="F192" s="253" t="s">
        <v>2862</v>
      </c>
      <c r="G192" s="44" t="s">
        <v>2863</v>
      </c>
      <c r="H192" s="45" t="str">
        <f t="shared" si="7"/>
        <v>SI</v>
      </c>
      <c r="I192" s="45">
        <f t="shared" si="8"/>
        <v>5</v>
      </c>
      <c r="J192" s="378"/>
      <c r="K192" s="378"/>
      <c r="L192" s="382"/>
    </row>
    <row r="193" spans="1:12" ht="37.5" customHeight="1" x14ac:dyDescent="0.25">
      <c r="A193" s="245">
        <v>3</v>
      </c>
      <c r="B193" s="245">
        <v>12</v>
      </c>
      <c r="C193" s="235" t="s">
        <v>55</v>
      </c>
      <c r="D193" s="364"/>
      <c r="E193" s="77" t="s">
        <v>518</v>
      </c>
      <c r="F193" s="292" t="s">
        <v>3137</v>
      </c>
      <c r="G193" s="44" t="s">
        <v>3103</v>
      </c>
      <c r="H193" s="45" t="str">
        <f t="shared" si="7"/>
        <v>SI</v>
      </c>
      <c r="I193" s="45">
        <f t="shared" si="8"/>
        <v>5</v>
      </c>
      <c r="J193" s="378"/>
      <c r="K193" s="378"/>
      <c r="L193" s="382"/>
    </row>
    <row r="194" spans="1:12" ht="42" customHeight="1" x14ac:dyDescent="0.25">
      <c r="A194" s="245">
        <v>3</v>
      </c>
      <c r="B194" s="245">
        <v>12</v>
      </c>
      <c r="C194" s="236" t="s">
        <v>55</v>
      </c>
      <c r="D194" s="363"/>
      <c r="E194" s="304" t="s">
        <v>3134</v>
      </c>
      <c r="F194" s="304" t="s">
        <v>3135</v>
      </c>
      <c r="G194" s="44" t="s">
        <v>3136</v>
      </c>
      <c r="H194" s="45" t="str">
        <f t="shared" si="7"/>
        <v>SI</v>
      </c>
      <c r="I194" s="45">
        <f t="shared" si="8"/>
        <v>5</v>
      </c>
      <c r="J194" s="379"/>
      <c r="K194" s="378"/>
      <c r="L194" s="382"/>
    </row>
    <row r="195" spans="1:12" ht="34.5" customHeight="1" x14ac:dyDescent="0.25">
      <c r="A195" s="245">
        <v>3</v>
      </c>
      <c r="B195" s="245">
        <v>12</v>
      </c>
      <c r="C195" s="234" t="str">
        <f>Final!E61</f>
        <v>b</v>
      </c>
      <c r="D195" s="362" t="str">
        <f>Final!F61</f>
        <v>Estrategias que promueven la creación artística y cultural, la innovación, la adaptación, la transferencia técnica y tecnológica, la creación de tecnofactos y prototipos, y la obtención de patentes, de acuerdo con la naturaleza del proyecto curricular.</v>
      </c>
      <c r="E195" s="21" t="s">
        <v>519</v>
      </c>
      <c r="F195" s="262" t="s">
        <v>2866</v>
      </c>
      <c r="G195" s="72" t="s">
        <v>2865</v>
      </c>
      <c r="H195" s="45" t="str">
        <f t="shared" si="7"/>
        <v>SI</v>
      </c>
      <c r="I195" s="45">
        <f t="shared" si="8"/>
        <v>5</v>
      </c>
      <c r="J195" s="377">
        <f>AVERAGE(I195:I197)</f>
        <v>5</v>
      </c>
      <c r="K195" s="378"/>
      <c r="L195" s="382"/>
    </row>
    <row r="196" spans="1:12" ht="26.25" customHeight="1" x14ac:dyDescent="0.25">
      <c r="A196" s="245">
        <v>3</v>
      </c>
      <c r="B196" s="245">
        <v>12</v>
      </c>
      <c r="C196" s="235" t="s">
        <v>56</v>
      </c>
      <c r="D196" s="364"/>
      <c r="E196" s="77" t="s">
        <v>528</v>
      </c>
      <c r="F196" s="298" t="s">
        <v>3142</v>
      </c>
      <c r="G196" s="72" t="s">
        <v>3138</v>
      </c>
      <c r="H196" s="45" t="str">
        <f t="shared" si="7"/>
        <v>SI</v>
      </c>
      <c r="I196" s="45">
        <f t="shared" si="8"/>
        <v>5</v>
      </c>
      <c r="J196" s="378"/>
      <c r="K196" s="378"/>
      <c r="L196" s="382"/>
    </row>
    <row r="197" spans="1:12" ht="36" customHeight="1" x14ac:dyDescent="0.25">
      <c r="A197" s="245">
        <v>3</v>
      </c>
      <c r="B197" s="245">
        <v>12</v>
      </c>
      <c r="C197" s="236" t="s">
        <v>56</v>
      </c>
      <c r="D197" s="363"/>
      <c r="E197" s="254" t="s">
        <v>2889</v>
      </c>
      <c r="F197" s="253" t="s">
        <v>2862</v>
      </c>
      <c r="G197" s="44" t="s">
        <v>2863</v>
      </c>
      <c r="H197" s="45" t="str">
        <f t="shared" si="7"/>
        <v>SI</v>
      </c>
      <c r="I197" s="45">
        <f t="shared" si="8"/>
        <v>5</v>
      </c>
      <c r="J197" s="379"/>
      <c r="K197" s="378"/>
      <c r="L197" s="382"/>
    </row>
    <row r="198" spans="1:12" ht="135" x14ac:dyDescent="0.25">
      <c r="A198" s="245">
        <v>3</v>
      </c>
      <c r="B198" s="245">
        <v>12</v>
      </c>
      <c r="C198" s="52" t="str">
        <f>Final!E62</f>
        <v>c</v>
      </c>
      <c r="D198" s="21" t="str">
        <f>Final!F62</f>
        <v>Apreciación de directivos y profesores del proyecto curricular sobre el impacto que, para el enriquecimiento de la calidad del mismo , ha tenido el régimen de estímulos al profesorado por el ejercicio calificado de la docencia, la investigación, la innovación, la creación artística y cultural, la extensión o proyección social, los aportes al desarrollo técnico y tecnológico y la cooperación internacional.</v>
      </c>
      <c r="E198" s="21" t="s">
        <v>529</v>
      </c>
      <c r="F198" s="299" t="s">
        <v>64</v>
      </c>
      <c r="G198" s="10"/>
      <c r="H198" s="45" t="str">
        <f t="shared" si="7"/>
        <v>NA</v>
      </c>
      <c r="I198" s="45" t="str">
        <f t="shared" si="8"/>
        <v>NA</v>
      </c>
      <c r="J198" s="105" t="str">
        <f t="shared" si="8"/>
        <v>NA</v>
      </c>
      <c r="K198" s="379"/>
      <c r="L198" s="382"/>
    </row>
    <row r="199" spans="1:12" ht="60" x14ac:dyDescent="0.25">
      <c r="A199" s="245">
        <v>3</v>
      </c>
      <c r="B199" s="245">
        <v>13</v>
      </c>
      <c r="C199" s="234" t="str">
        <f>Final!E63</f>
        <v>a</v>
      </c>
      <c r="D199" s="362" t="str">
        <f>Final!F63</f>
        <v>Producción, utilización y evaluación de materiales de apoyo docente producidos en los últimos cinco años, que sean pertinentes a la naturaleza y metodología del proyecto curricular y a su función pedagógica</v>
      </c>
      <c r="E199" s="21" t="s">
        <v>530</v>
      </c>
      <c r="F199" s="283" t="s">
        <v>2870</v>
      </c>
      <c r="G199" s="72" t="s">
        <v>2892</v>
      </c>
      <c r="H199" s="45" t="str">
        <f t="shared" si="7"/>
        <v>SI</v>
      </c>
      <c r="I199" s="45">
        <f t="shared" si="8"/>
        <v>5</v>
      </c>
      <c r="J199" s="377">
        <f>AVERAGE(I199:I202)</f>
        <v>5</v>
      </c>
      <c r="K199" s="377">
        <f>AVERAGE(J199:J206)</f>
        <v>3.75</v>
      </c>
      <c r="L199" s="382"/>
    </row>
    <row r="200" spans="1:12" ht="210" x14ac:dyDescent="0.25">
      <c r="A200" s="245">
        <v>3</v>
      </c>
      <c r="B200" s="245">
        <v>13</v>
      </c>
      <c r="C200" s="235" t="s">
        <v>55</v>
      </c>
      <c r="D200" s="364"/>
      <c r="E200" s="77" t="s">
        <v>531</v>
      </c>
      <c r="F200" s="283" t="s">
        <v>3140</v>
      </c>
      <c r="G200" s="44" t="s">
        <v>3139</v>
      </c>
      <c r="H200" s="45" t="str">
        <f t="shared" si="7"/>
        <v>SI</v>
      </c>
      <c r="I200" s="45">
        <f t="shared" si="8"/>
        <v>5</v>
      </c>
      <c r="J200" s="378"/>
      <c r="K200" s="378"/>
      <c r="L200" s="382"/>
    </row>
    <row r="201" spans="1:12" x14ac:dyDescent="0.25">
      <c r="A201" s="245">
        <v>3</v>
      </c>
      <c r="B201" s="245">
        <v>13</v>
      </c>
      <c r="C201" s="235" t="s">
        <v>55</v>
      </c>
      <c r="D201" s="364"/>
      <c r="E201" s="77" t="s">
        <v>518</v>
      </c>
      <c r="F201" s="292" t="s">
        <v>3102</v>
      </c>
      <c r="G201" s="44" t="s">
        <v>3103</v>
      </c>
      <c r="H201" s="45" t="str">
        <f t="shared" si="7"/>
        <v>SI</v>
      </c>
      <c r="I201" s="45">
        <f t="shared" si="8"/>
        <v>5</v>
      </c>
      <c r="J201" s="378"/>
      <c r="K201" s="378"/>
      <c r="L201" s="382"/>
    </row>
    <row r="202" spans="1:12" ht="30" x14ac:dyDescent="0.25">
      <c r="A202" s="245">
        <v>3</v>
      </c>
      <c r="B202" s="245">
        <v>13</v>
      </c>
      <c r="C202" s="236" t="s">
        <v>55</v>
      </c>
      <c r="D202" s="363"/>
      <c r="E202" s="77" t="s">
        <v>532</v>
      </c>
      <c r="F202" s="254" t="s">
        <v>3106</v>
      </c>
      <c r="G202" s="44" t="s">
        <v>3105</v>
      </c>
      <c r="H202" s="45" t="str">
        <f t="shared" si="7"/>
        <v>SI</v>
      </c>
      <c r="I202" s="45">
        <f t="shared" si="8"/>
        <v>5</v>
      </c>
      <c r="J202" s="379"/>
      <c r="K202" s="378"/>
      <c r="L202" s="382"/>
    </row>
    <row r="203" spans="1:12" ht="75" customHeight="1" x14ac:dyDescent="0.25">
      <c r="A203" s="245">
        <v>3</v>
      </c>
      <c r="B203" s="245">
        <v>13</v>
      </c>
      <c r="C203" s="234" t="str">
        <f>Final!E64</f>
        <v>b</v>
      </c>
      <c r="D203" s="362" t="str">
        <f>Final!F64</f>
        <v>Uso y apreciación de los estudiantes sobre la calidad de los materiales de apoyo producidos o utilizados por los profesores y su pertinencia con la metodología de los espacios académicos del proyecto curricular.</v>
      </c>
      <c r="E203" s="21" t="s">
        <v>530</v>
      </c>
      <c r="F203" s="283" t="s">
        <v>2870</v>
      </c>
      <c r="G203" s="72" t="s">
        <v>2892</v>
      </c>
      <c r="H203" s="45" t="str">
        <f t="shared" si="7"/>
        <v>SI</v>
      </c>
      <c r="I203" s="45">
        <f t="shared" si="8"/>
        <v>5</v>
      </c>
      <c r="J203" s="377">
        <f>AVERAGE(I203:I204)</f>
        <v>5</v>
      </c>
      <c r="K203" s="378"/>
      <c r="L203" s="382"/>
    </row>
    <row r="204" spans="1:12" ht="24.95" customHeight="1" x14ac:dyDescent="0.25">
      <c r="A204" s="245">
        <v>3</v>
      </c>
      <c r="B204" s="245">
        <v>13</v>
      </c>
      <c r="C204" s="236" t="s">
        <v>56</v>
      </c>
      <c r="D204" s="363"/>
      <c r="E204" s="77" t="s">
        <v>531</v>
      </c>
      <c r="F204" s="298" t="s">
        <v>3141</v>
      </c>
      <c r="G204" s="72" t="s">
        <v>2892</v>
      </c>
      <c r="H204" s="45" t="str">
        <f t="shared" si="7"/>
        <v>SI</v>
      </c>
      <c r="I204" s="45">
        <f t="shared" si="8"/>
        <v>5</v>
      </c>
      <c r="J204" s="379"/>
      <c r="K204" s="378"/>
      <c r="L204" s="382"/>
    </row>
    <row r="205" spans="1:12" ht="60" x14ac:dyDescent="0.25">
      <c r="A205" s="245">
        <v>3</v>
      </c>
      <c r="B205" s="245">
        <v>13</v>
      </c>
      <c r="C205" s="52" t="str">
        <f>Final!E65</f>
        <v>c</v>
      </c>
      <c r="D205" s="21" t="str">
        <f>Final!F65</f>
        <v>Premios u otros reconocimientos a los materiales de apoyo a la labor docente, en el ámbito nacional o internacional, que hayan producido los profesores adscritos al proyecto curricular.</v>
      </c>
      <c r="E205" s="21" t="s">
        <v>531</v>
      </c>
      <c r="F205" s="10"/>
      <c r="G205" s="10"/>
      <c r="H205" s="45" t="str">
        <f t="shared" si="7"/>
        <v>NO</v>
      </c>
      <c r="I205" s="45">
        <f t="shared" si="8"/>
        <v>0</v>
      </c>
      <c r="J205" s="100">
        <f>AVERAGE(I205)</f>
        <v>0</v>
      </c>
      <c r="K205" s="378"/>
      <c r="L205" s="382"/>
    </row>
    <row r="206" spans="1:12" ht="45" x14ac:dyDescent="0.25">
      <c r="A206" s="245">
        <v>3</v>
      </c>
      <c r="B206" s="245">
        <v>13</v>
      </c>
      <c r="C206" s="52" t="str">
        <f>Final!E66</f>
        <v>d</v>
      </c>
      <c r="D206" s="21" t="str">
        <f>Final!F66</f>
        <v>Existencia y aplicación de un régimen de propiedad intelectual en la institución aplicado a los materiales de apoyo a la docencia.</v>
      </c>
      <c r="E206" s="304" t="s">
        <v>3143</v>
      </c>
      <c r="F206" s="10" t="s">
        <v>3144</v>
      </c>
      <c r="G206" s="44" t="s">
        <v>3145</v>
      </c>
      <c r="H206" s="45" t="str">
        <f t="shared" si="7"/>
        <v>SI</v>
      </c>
      <c r="I206" s="45">
        <f t="shared" si="8"/>
        <v>5</v>
      </c>
      <c r="J206" s="100">
        <f>AVERAGE(I206)</f>
        <v>5</v>
      </c>
      <c r="K206" s="379"/>
      <c r="L206" s="382"/>
    </row>
    <row r="207" spans="1:12" ht="34.5" customHeight="1" x14ac:dyDescent="0.25">
      <c r="A207" s="245">
        <v>3</v>
      </c>
      <c r="B207" s="245">
        <v>14</v>
      </c>
      <c r="C207" s="234" t="str">
        <f>Final!E67</f>
        <v>a</v>
      </c>
      <c r="D207" s="362" t="str">
        <f>Final!F67</f>
        <v>Conocimiento por parte de los profesores del proyecto curricular, de las políticas y reglamentaciones institucionales en materia de remuneración de los profesores en las que se tengan en cuenta los méritos profesionales y académicos, así como los estímulos a la producción académica y de innovación debidamente evaluada</v>
      </c>
      <c r="E207" s="21" t="s">
        <v>858</v>
      </c>
      <c r="F207" s="283" t="s">
        <v>499</v>
      </c>
      <c r="G207" s="71" t="s">
        <v>849</v>
      </c>
      <c r="H207" s="45" t="str">
        <f t="shared" si="7"/>
        <v>SI</v>
      </c>
      <c r="I207" s="45">
        <f t="shared" si="8"/>
        <v>5</v>
      </c>
      <c r="J207" s="377">
        <f>AVERAGE(I207:I210)</f>
        <v>5</v>
      </c>
      <c r="K207" s="381">
        <f>AVERAGE(J207:J212)</f>
        <v>5</v>
      </c>
      <c r="L207" s="382"/>
    </row>
    <row r="208" spans="1:12" ht="42.75" customHeight="1" x14ac:dyDescent="0.25">
      <c r="A208" s="245">
        <v>3</v>
      </c>
      <c r="B208" s="245">
        <v>14</v>
      </c>
      <c r="C208" s="235" t="s">
        <v>55</v>
      </c>
      <c r="D208" s="364"/>
      <c r="E208" s="107" t="s">
        <v>859</v>
      </c>
      <c r="F208" s="283" t="s">
        <v>3107</v>
      </c>
      <c r="G208" s="44" t="s">
        <v>3108</v>
      </c>
      <c r="H208" s="45" t="str">
        <f t="shared" si="7"/>
        <v>SI</v>
      </c>
      <c r="I208" s="45">
        <f t="shared" si="8"/>
        <v>5</v>
      </c>
      <c r="J208" s="378"/>
      <c r="K208" s="382"/>
      <c r="L208" s="382"/>
    </row>
    <row r="209" spans="1:12" ht="34.5" customHeight="1" x14ac:dyDescent="0.25">
      <c r="A209" s="245">
        <v>3</v>
      </c>
      <c r="B209" s="245">
        <v>14</v>
      </c>
      <c r="C209" s="235" t="s">
        <v>55</v>
      </c>
      <c r="D209" s="364"/>
      <c r="E209" s="77" t="s">
        <v>498</v>
      </c>
      <c r="F209" s="283" t="s">
        <v>860</v>
      </c>
      <c r="G209" s="71" t="s">
        <v>848</v>
      </c>
      <c r="H209" s="45" t="str">
        <f t="shared" si="7"/>
        <v>SI</v>
      </c>
      <c r="I209" s="45">
        <f t="shared" si="8"/>
        <v>5</v>
      </c>
      <c r="J209" s="378"/>
      <c r="K209" s="382"/>
      <c r="L209" s="382"/>
    </row>
    <row r="210" spans="1:12" ht="43.5" customHeight="1" x14ac:dyDescent="0.25">
      <c r="A210" s="245">
        <v>3</v>
      </c>
      <c r="B210" s="245">
        <v>14</v>
      </c>
      <c r="C210" s="236" t="s">
        <v>55</v>
      </c>
      <c r="D210" s="363"/>
      <c r="E210" s="304" t="s">
        <v>3134</v>
      </c>
      <c r="F210" s="280" t="s">
        <v>3135</v>
      </c>
      <c r="G210" s="44" t="s">
        <v>3136</v>
      </c>
      <c r="H210" s="45" t="str">
        <f t="shared" si="7"/>
        <v>SI</v>
      </c>
      <c r="I210" s="45">
        <f t="shared" si="8"/>
        <v>5</v>
      </c>
      <c r="J210" s="379"/>
      <c r="K210" s="382"/>
      <c r="L210" s="382"/>
    </row>
    <row r="211" spans="1:12" ht="30" x14ac:dyDescent="0.25">
      <c r="A211" s="245">
        <v>3</v>
      </c>
      <c r="B211" s="245">
        <v>14</v>
      </c>
      <c r="C211" s="52" t="str">
        <f>Final!E68</f>
        <v>b</v>
      </c>
      <c r="D211" s="21" t="str">
        <f>Final!F68</f>
        <v>Evidencias sobre la aplicación de estas políticas y reglamentaciones.</v>
      </c>
      <c r="E211" s="21" t="s">
        <v>533</v>
      </c>
      <c r="F211" s="283" t="s">
        <v>501</v>
      </c>
      <c r="G211" s="44" t="s">
        <v>3108</v>
      </c>
      <c r="H211" s="45" t="str">
        <f t="shared" si="7"/>
        <v>SI</v>
      </c>
      <c r="I211" s="45">
        <f t="shared" si="8"/>
        <v>5</v>
      </c>
      <c r="J211" s="100">
        <f>AVERAGE(I211)</f>
        <v>5</v>
      </c>
      <c r="K211" s="382"/>
      <c r="L211" s="382"/>
    </row>
    <row r="212" spans="1:12" ht="45" x14ac:dyDescent="0.25">
      <c r="A212" s="245">
        <v>3</v>
      </c>
      <c r="B212" s="245">
        <v>14</v>
      </c>
      <c r="C212" s="52" t="str">
        <f>Final!E69</f>
        <v>c</v>
      </c>
      <c r="D212" s="21" t="str">
        <f>Final!F69</f>
        <v>Apreciación de los profesores con respecto a la correspondencia entre la remuneración y los méritos académicos y profesionales</v>
      </c>
      <c r="E212" s="21" t="s">
        <v>49</v>
      </c>
      <c r="F212" s="299" t="s">
        <v>64</v>
      </c>
      <c r="G212" s="10"/>
      <c r="H212" s="45" t="str">
        <f t="shared" si="7"/>
        <v>NA</v>
      </c>
      <c r="I212" s="45" t="str">
        <f t="shared" si="8"/>
        <v>NA</v>
      </c>
      <c r="J212" s="100" t="s">
        <v>64</v>
      </c>
      <c r="K212" s="383"/>
      <c r="L212" s="382"/>
    </row>
    <row r="213" spans="1:12" ht="24.75" customHeight="1" x14ac:dyDescent="0.25">
      <c r="A213" s="245">
        <v>3</v>
      </c>
      <c r="B213" s="245">
        <v>15</v>
      </c>
      <c r="C213" s="234" t="str">
        <f>Final!E70</f>
        <v>a</v>
      </c>
      <c r="D213" s="362" t="str">
        <f>Final!F70</f>
        <v>Existencia y aplicación de políticas institucionales en materia de evaluación integral al desempeño de los profesores. La institución presente evidencias sobre el desarrollo de estas políticas.</v>
      </c>
      <c r="E213" s="106" t="s">
        <v>534</v>
      </c>
      <c r="F213" s="283" t="s">
        <v>861</v>
      </c>
      <c r="G213" s="72" t="s">
        <v>862</v>
      </c>
      <c r="H213" s="45" t="str">
        <f t="shared" si="7"/>
        <v>SI</v>
      </c>
      <c r="I213" s="45">
        <f t="shared" si="8"/>
        <v>5</v>
      </c>
      <c r="J213" s="377">
        <f>AVERAGE(I213:I214)</f>
        <v>5</v>
      </c>
      <c r="K213" s="381">
        <f>AVERAGE(J213:J223)</f>
        <v>4.5833333333333339</v>
      </c>
      <c r="L213" s="382"/>
    </row>
    <row r="214" spans="1:12" ht="33" customHeight="1" x14ac:dyDescent="0.25">
      <c r="A214" s="245">
        <v>3</v>
      </c>
      <c r="B214" s="245">
        <v>15</v>
      </c>
      <c r="C214" s="236" t="s">
        <v>55</v>
      </c>
      <c r="D214" s="363"/>
      <c r="E214" s="77" t="s">
        <v>535</v>
      </c>
      <c r="F214" s="283" t="s">
        <v>863</v>
      </c>
      <c r="G214" s="72" t="s">
        <v>864</v>
      </c>
      <c r="H214" s="45" t="str">
        <f t="shared" si="7"/>
        <v>SI</v>
      </c>
      <c r="I214" s="45">
        <f t="shared" si="8"/>
        <v>5</v>
      </c>
      <c r="J214" s="379"/>
      <c r="K214" s="382"/>
      <c r="L214" s="382"/>
    </row>
    <row r="215" spans="1:12" ht="32.25" customHeight="1" x14ac:dyDescent="0.25">
      <c r="A215" s="245">
        <v>3</v>
      </c>
      <c r="B215" s="245">
        <v>15</v>
      </c>
      <c r="C215" s="234" t="str">
        <f>Final!E71</f>
        <v>b</v>
      </c>
      <c r="D215" s="362" t="str">
        <f>Final!F71</f>
        <v>Criterios y mecanismos de evaluación de los profesores adscritos al proyecto curricular, en correspondencia con la naturaleza del cargo, las funciones y los compromisos contraídos en relación con las metas institucionales y del proyecto curricular.</v>
      </c>
      <c r="E215" s="106" t="s">
        <v>536</v>
      </c>
      <c r="F215" s="283" t="s">
        <v>861</v>
      </c>
      <c r="G215" s="72" t="s">
        <v>862</v>
      </c>
      <c r="H215" s="45" t="str">
        <f t="shared" si="7"/>
        <v>SI</v>
      </c>
      <c r="I215" s="45">
        <f t="shared" si="8"/>
        <v>5</v>
      </c>
      <c r="J215" s="381">
        <f>AVERAGE(I215:I217)</f>
        <v>3.3333333333333335</v>
      </c>
      <c r="K215" s="382"/>
      <c r="L215" s="382"/>
    </row>
    <row r="216" spans="1:12" ht="24.75" customHeight="1" x14ac:dyDescent="0.25">
      <c r="A216" s="245">
        <v>3</v>
      </c>
      <c r="B216" s="245">
        <v>15</v>
      </c>
      <c r="C216" s="235" t="s">
        <v>56</v>
      </c>
      <c r="D216" s="364"/>
      <c r="E216" s="77" t="s">
        <v>535</v>
      </c>
      <c r="F216" s="283" t="s">
        <v>863</v>
      </c>
      <c r="G216" s="72" t="s">
        <v>864</v>
      </c>
      <c r="H216" s="45" t="str">
        <f t="shared" ref="H216:H283" si="9">IF((LEN(F216)=$O$4)*OR(LEN(G216)=$O$4),$N$4,IF(EXACT(F216,$N$5),$N$5,$N$3))</f>
        <v>SI</v>
      </c>
      <c r="I216" s="45">
        <f t="shared" ref="I216:J283" si="10">IF(EXACT(H216,$N$3),$O$3,IF(EXACT(H216,$N$5),$N$5,$O$4))</f>
        <v>5</v>
      </c>
      <c r="J216" s="382"/>
      <c r="K216" s="382"/>
      <c r="L216" s="382"/>
    </row>
    <row r="217" spans="1:12" ht="30" x14ac:dyDescent="0.25">
      <c r="A217" s="245">
        <v>3</v>
      </c>
      <c r="B217" s="245">
        <v>15</v>
      </c>
      <c r="C217" s="236" t="s">
        <v>56</v>
      </c>
      <c r="D217" s="363"/>
      <c r="E217" s="77" t="s">
        <v>537</v>
      </c>
      <c r="F217" s="10"/>
      <c r="G217" s="10"/>
      <c r="H217" s="45" t="str">
        <f t="shared" si="9"/>
        <v>NO</v>
      </c>
      <c r="I217" s="45">
        <f t="shared" si="10"/>
        <v>0</v>
      </c>
      <c r="J217" s="383"/>
      <c r="K217" s="382"/>
      <c r="L217" s="382"/>
    </row>
    <row r="218" spans="1:12" ht="22.5" customHeight="1" x14ac:dyDescent="0.25">
      <c r="A218" s="245">
        <v>3</v>
      </c>
      <c r="B218" s="245">
        <v>15</v>
      </c>
      <c r="C218" s="234" t="str">
        <f>Final!E72</f>
        <v>c</v>
      </c>
      <c r="D218" s="362" t="str">
        <f>Final!F72</f>
        <v>Evaluaciones realizadas a los profesores adscritos al proyecto curricular durante los últimos cinco años y las acciones adelantadas por la institución y por el proyecto curricular a partir de dichos resultados.</v>
      </c>
      <c r="E218" s="21" t="s">
        <v>534</v>
      </c>
      <c r="F218" s="283" t="s">
        <v>861</v>
      </c>
      <c r="G218" s="72" t="s">
        <v>862</v>
      </c>
      <c r="H218" s="45" t="str">
        <f t="shared" si="9"/>
        <v>SI</v>
      </c>
      <c r="I218" s="45">
        <f t="shared" si="10"/>
        <v>5</v>
      </c>
      <c r="J218" s="377">
        <f>AVERAGE(I218:I220)</f>
        <v>5</v>
      </c>
      <c r="K218" s="382"/>
      <c r="L218" s="382"/>
    </row>
    <row r="219" spans="1:12" ht="29.25" customHeight="1" x14ac:dyDescent="0.25">
      <c r="A219" s="245">
        <v>3</v>
      </c>
      <c r="B219" s="245">
        <v>15</v>
      </c>
      <c r="C219" s="235" t="s">
        <v>80</v>
      </c>
      <c r="D219" s="364"/>
      <c r="E219" s="77" t="s">
        <v>535</v>
      </c>
      <c r="F219" s="283" t="s">
        <v>863</v>
      </c>
      <c r="G219" s="72" t="s">
        <v>864</v>
      </c>
      <c r="H219" s="45" t="str">
        <f t="shared" si="9"/>
        <v>SI</v>
      </c>
      <c r="I219" s="45">
        <f t="shared" si="10"/>
        <v>5</v>
      </c>
      <c r="J219" s="378"/>
      <c r="K219" s="382"/>
      <c r="L219" s="382"/>
    </row>
    <row r="220" spans="1:12" ht="45" x14ac:dyDescent="0.25">
      <c r="A220" s="245">
        <v>3</v>
      </c>
      <c r="B220" s="245">
        <v>15</v>
      </c>
      <c r="C220" s="236" t="s">
        <v>80</v>
      </c>
      <c r="D220" s="363"/>
      <c r="E220" s="77" t="s">
        <v>537</v>
      </c>
      <c r="F220" s="9" t="s">
        <v>2918</v>
      </c>
      <c r="G220" s="72" t="s">
        <v>3138</v>
      </c>
      <c r="H220" s="45" t="str">
        <f t="shared" si="9"/>
        <v>SI</v>
      </c>
      <c r="I220" s="45">
        <f t="shared" si="10"/>
        <v>5</v>
      </c>
      <c r="J220" s="379"/>
      <c r="K220" s="382"/>
      <c r="L220" s="382"/>
    </row>
    <row r="221" spans="1:12" ht="24" customHeight="1" x14ac:dyDescent="0.25">
      <c r="A221" s="245">
        <v>3</v>
      </c>
      <c r="B221" s="245">
        <v>15</v>
      </c>
      <c r="C221" s="234" t="str">
        <f>Final!E73</f>
        <v>d</v>
      </c>
      <c r="D221" s="362" t="str">
        <f>Final!F73</f>
        <v>Información verificable sobre la participación de los distintos actores en la evaluación.</v>
      </c>
      <c r="E221" s="21" t="s">
        <v>534</v>
      </c>
      <c r="F221" s="9" t="s">
        <v>861</v>
      </c>
      <c r="G221" s="72" t="s">
        <v>862</v>
      </c>
      <c r="H221" s="45" t="str">
        <f t="shared" si="9"/>
        <v>SI</v>
      </c>
      <c r="I221" s="45">
        <f t="shared" si="10"/>
        <v>5</v>
      </c>
      <c r="J221" s="377">
        <f>AVERAGE(I221:I222)</f>
        <v>5</v>
      </c>
      <c r="K221" s="382"/>
      <c r="L221" s="382"/>
    </row>
    <row r="222" spans="1:12" x14ac:dyDescent="0.25">
      <c r="A222" s="245">
        <v>3</v>
      </c>
      <c r="B222" s="245">
        <v>15</v>
      </c>
      <c r="C222" s="236" t="s">
        <v>81</v>
      </c>
      <c r="D222" s="363"/>
      <c r="E222" s="77" t="s">
        <v>535</v>
      </c>
      <c r="F222" s="9" t="s">
        <v>863</v>
      </c>
      <c r="G222" s="72" t="s">
        <v>864</v>
      </c>
      <c r="H222" s="45" t="str">
        <f t="shared" si="9"/>
        <v>SI</v>
      </c>
      <c r="I222" s="45">
        <f t="shared" si="10"/>
        <v>5</v>
      </c>
      <c r="J222" s="379"/>
      <c r="K222" s="382"/>
      <c r="L222" s="382"/>
    </row>
    <row r="223" spans="1:12" ht="60" x14ac:dyDescent="0.25">
      <c r="A223" s="245">
        <v>3</v>
      </c>
      <c r="B223" s="245">
        <v>15</v>
      </c>
      <c r="C223" s="52" t="str">
        <f>Final!E74</f>
        <v>e</v>
      </c>
      <c r="D223" s="21" t="str">
        <f>Final!F74</f>
        <v>Apreciación de los profesores adscritos al proyecto curricular, sobre los criterios y mecanismos para la evaluación de docentes, su transparencia, equidad y eficacia.</v>
      </c>
      <c r="E223" s="21" t="s">
        <v>49</v>
      </c>
      <c r="F223" s="285" t="s">
        <v>64</v>
      </c>
      <c r="G223" s="10"/>
      <c r="H223" s="45" t="str">
        <f t="shared" si="9"/>
        <v>NA</v>
      </c>
      <c r="I223" s="45" t="str">
        <f t="shared" si="10"/>
        <v>NA</v>
      </c>
      <c r="J223" s="105" t="str">
        <f t="shared" si="10"/>
        <v>NA</v>
      </c>
      <c r="K223" s="383"/>
      <c r="L223" s="383"/>
    </row>
    <row r="224" spans="1:12" ht="120" x14ac:dyDescent="0.25">
      <c r="A224" s="245">
        <v>4</v>
      </c>
      <c r="B224" s="245">
        <v>16</v>
      </c>
      <c r="C224" s="52" t="str">
        <f>Final!E75</f>
        <v>a</v>
      </c>
      <c r="D224" s="21" t="str">
        <f>Final!F75</f>
        <v>Existencia de criterios y mecanismos para el seguimiento y la evaluación del desarrollo de competencias profesionales básicas y ciudadanas, especialmente en lo relativo a la formación de actitudes, conocimientos, capacidades y habilidades generales que han sido establecidas por el proyecto curricular en su proyecto educativo</v>
      </c>
      <c r="E224" s="21" t="s">
        <v>539</v>
      </c>
      <c r="F224" s="241" t="s">
        <v>2870</v>
      </c>
      <c r="G224" s="72" t="s">
        <v>2892</v>
      </c>
      <c r="H224" s="45" t="str">
        <f t="shared" si="9"/>
        <v>SI</v>
      </c>
      <c r="I224" s="45">
        <f t="shared" si="10"/>
        <v>5</v>
      </c>
      <c r="J224" s="100">
        <f>AVERAGE(I224)</f>
        <v>5</v>
      </c>
      <c r="K224" s="381">
        <f>AVERAGE(J224:J248)</f>
        <v>4.166666666666667</v>
      </c>
      <c r="L224" s="381">
        <f>(K224*Ponderación!D17)+(K249*Ponderación!D18)+(K265*Ponderación!D19)+(K268*Ponderación!D20)+(K296*Ponderación!D21)+(K313*Ponderación!D22)+(K329*Ponderación!D23)+(K352*Ponderación!D24)+(K369*Ponderación!D25)+(K393*Ponderación!D26)+(K410*Ponderación!D27)</f>
        <v>4.5973987179487175</v>
      </c>
    </row>
    <row r="225" spans="1:12" ht="75" x14ac:dyDescent="0.25">
      <c r="A225" s="245">
        <v>4</v>
      </c>
      <c r="B225" s="245">
        <v>16</v>
      </c>
      <c r="C225" s="52" t="str">
        <f>Final!E76</f>
        <v>b</v>
      </c>
      <c r="D225" s="21" t="str">
        <f>Final!F76</f>
        <v>Existencia de criterios y mecanismos para el seguimiento y la evaluación del desarrollo de competencias laborales específicas del ejercicio y de la cultura de la profesión o la disciplina en la que se forma al estudiante.</v>
      </c>
      <c r="E225" s="21" t="s">
        <v>539</v>
      </c>
      <c r="F225" s="241" t="s">
        <v>2870</v>
      </c>
      <c r="G225" s="72" t="s">
        <v>2892</v>
      </c>
      <c r="H225" s="45" t="str">
        <f t="shared" si="9"/>
        <v>SI</v>
      </c>
      <c r="I225" s="45">
        <f t="shared" si="10"/>
        <v>5</v>
      </c>
      <c r="J225" s="100">
        <f>AVERAGE(I225)</f>
        <v>5</v>
      </c>
      <c r="K225" s="382"/>
      <c r="L225" s="382"/>
    </row>
    <row r="226" spans="1:12" ht="72" customHeight="1" x14ac:dyDescent="0.25">
      <c r="A226" s="245">
        <v>4</v>
      </c>
      <c r="B226" s="245">
        <v>16</v>
      </c>
      <c r="C226" s="234" t="str">
        <f>Final!E77</f>
        <v>c</v>
      </c>
      <c r="D226" s="362" t="str">
        <f>Final!F77</f>
        <v>Proporción de créditos académicos definidos por el proyecto curricular, correspondiente a espacios académicos orientados a ampliar la formación del estudiante en las dimensiones ética, estética, ambiental, filosófica, política y social.</v>
      </c>
      <c r="E226" s="21" t="s">
        <v>540</v>
      </c>
      <c r="F226" s="241" t="s">
        <v>2870</v>
      </c>
      <c r="G226" s="72" t="s">
        <v>2892</v>
      </c>
      <c r="H226" s="45" t="str">
        <f t="shared" si="9"/>
        <v>SI</v>
      </c>
      <c r="I226" s="45">
        <f t="shared" si="10"/>
        <v>5</v>
      </c>
      <c r="J226" s="377">
        <f>AVERAGE(I226:I227)</f>
        <v>5</v>
      </c>
      <c r="K226" s="382"/>
      <c r="L226" s="382"/>
    </row>
    <row r="227" spans="1:12" ht="39" customHeight="1" x14ac:dyDescent="0.25">
      <c r="A227" s="245">
        <v>4</v>
      </c>
      <c r="B227" s="245">
        <v>16</v>
      </c>
      <c r="C227" s="236" t="s">
        <v>80</v>
      </c>
      <c r="D227" s="363"/>
      <c r="E227" s="77" t="s">
        <v>541</v>
      </c>
      <c r="F227" s="248" t="s">
        <v>2916</v>
      </c>
      <c r="G227" s="72" t="s">
        <v>2915</v>
      </c>
      <c r="H227" s="45" t="str">
        <f t="shared" si="9"/>
        <v>SI</v>
      </c>
      <c r="I227" s="45">
        <f t="shared" si="10"/>
        <v>5</v>
      </c>
      <c r="J227" s="379"/>
      <c r="K227" s="382"/>
      <c r="L227" s="382"/>
    </row>
    <row r="228" spans="1:12" ht="61.5" customHeight="1" x14ac:dyDescent="0.25">
      <c r="A228" s="245">
        <v>4</v>
      </c>
      <c r="B228" s="245">
        <v>16</v>
      </c>
      <c r="C228" s="246" t="str">
        <f>Final!E78</f>
        <v>d</v>
      </c>
      <c r="D228" s="362" t="str">
        <f>Final!F78</f>
        <v>Evaluación de la pertinencia de los espacios académicos del proyecto curricular destinados a ampliar la formación de los estudiantes hacia las dimensiones ética, estética, ambiental, filosófica, política y social</v>
      </c>
      <c r="E228" s="21" t="s">
        <v>542</v>
      </c>
      <c r="F228" s="248" t="s">
        <v>2870</v>
      </c>
      <c r="G228" s="72" t="s">
        <v>2892</v>
      </c>
      <c r="H228" s="45" t="str">
        <f t="shared" si="9"/>
        <v>SI</v>
      </c>
      <c r="I228" s="45">
        <f t="shared" si="10"/>
        <v>5</v>
      </c>
      <c r="J228" s="377">
        <f>AVERAGE(I228:I230)</f>
        <v>5</v>
      </c>
      <c r="K228" s="382"/>
      <c r="L228" s="382"/>
    </row>
    <row r="229" spans="1:12" ht="30" x14ac:dyDescent="0.25">
      <c r="A229" s="245">
        <v>4</v>
      </c>
      <c r="B229" s="245">
        <v>16</v>
      </c>
      <c r="C229" s="251" t="s">
        <v>81</v>
      </c>
      <c r="D229" s="364"/>
      <c r="E229" s="248" t="s">
        <v>543</v>
      </c>
      <c r="F229" s="248" t="s">
        <v>2917</v>
      </c>
      <c r="G229" s="72" t="s">
        <v>2882</v>
      </c>
      <c r="H229" s="105" t="str">
        <f t="shared" si="9"/>
        <v>SI</v>
      </c>
      <c r="I229" s="105">
        <f t="shared" si="10"/>
        <v>5</v>
      </c>
      <c r="J229" s="378"/>
      <c r="K229" s="382"/>
      <c r="L229" s="382"/>
    </row>
    <row r="230" spans="1:12" ht="45" x14ac:dyDescent="0.25">
      <c r="A230" s="245">
        <v>4</v>
      </c>
      <c r="B230" s="245">
        <v>16</v>
      </c>
      <c r="C230" s="247" t="s">
        <v>81</v>
      </c>
      <c r="D230" s="363"/>
      <c r="E230" s="77" t="s">
        <v>543</v>
      </c>
      <c r="F230" s="248" t="s">
        <v>2918</v>
      </c>
      <c r="G230" s="72" t="s">
        <v>3138</v>
      </c>
      <c r="H230" s="45" t="str">
        <f t="shared" si="9"/>
        <v>SI</v>
      </c>
      <c r="I230" s="45">
        <f t="shared" si="10"/>
        <v>5</v>
      </c>
      <c r="J230" s="379"/>
      <c r="K230" s="382"/>
      <c r="L230" s="382"/>
    </row>
    <row r="231" spans="1:12" ht="67.5" customHeight="1" x14ac:dyDescent="0.25">
      <c r="A231" s="245">
        <v>4</v>
      </c>
      <c r="B231" s="245">
        <v>16</v>
      </c>
      <c r="C231" s="234" t="str">
        <f>Final!E79</f>
        <v>e</v>
      </c>
      <c r="D231" s="362" t="str">
        <f>Final!F79</f>
        <v>Criterios pedagógicos y estrategias adoptadas para la asignación de créditos y la distribución de tiempos directo, cooperativo y autónomo a las distintas actividades de formación en las que se ofrece el proyecto curricular, según su naturaleza y modalidad.</v>
      </c>
      <c r="E231" s="21" t="s">
        <v>544</v>
      </c>
      <c r="F231" s="248" t="s">
        <v>2870</v>
      </c>
      <c r="G231" s="72" t="s">
        <v>2892</v>
      </c>
      <c r="H231" s="45" t="str">
        <f t="shared" si="9"/>
        <v>SI</v>
      </c>
      <c r="I231" s="45">
        <f t="shared" si="10"/>
        <v>5</v>
      </c>
      <c r="J231" s="377">
        <f>AVERAGE(I231:I232)</f>
        <v>5</v>
      </c>
      <c r="K231" s="382"/>
      <c r="L231" s="382"/>
    </row>
    <row r="232" spans="1:12" ht="43.5" customHeight="1" x14ac:dyDescent="0.25">
      <c r="A232" s="245">
        <v>4</v>
      </c>
      <c r="B232" s="245">
        <v>16</v>
      </c>
      <c r="C232" s="236" t="s">
        <v>87</v>
      </c>
      <c r="D232" s="363"/>
      <c r="E232" s="77" t="s">
        <v>2919</v>
      </c>
      <c r="F232" s="248" t="s">
        <v>2866</v>
      </c>
      <c r="G232" s="72" t="s">
        <v>2865</v>
      </c>
      <c r="H232" s="45" t="str">
        <f t="shared" si="9"/>
        <v>SI</v>
      </c>
      <c r="I232" s="45">
        <f t="shared" si="10"/>
        <v>5</v>
      </c>
      <c r="J232" s="379"/>
      <c r="K232" s="382"/>
      <c r="L232" s="382"/>
    </row>
    <row r="233" spans="1:12" ht="44.25" customHeight="1" x14ac:dyDescent="0.25">
      <c r="A233" s="245">
        <v>4</v>
      </c>
      <c r="B233" s="245">
        <v>16</v>
      </c>
      <c r="C233" s="234" t="str">
        <f>Final!E80</f>
        <v>f</v>
      </c>
      <c r="D233" s="362" t="str">
        <f>Final!F80</f>
        <v>Estrategias utilizadas para promover y establecer el trabajo cooperativo y autónomo en los distintos espacios académicos del proyecto curricular.</v>
      </c>
      <c r="E233" s="21" t="s">
        <v>544</v>
      </c>
      <c r="F233" s="248" t="s">
        <v>2870</v>
      </c>
      <c r="G233" s="72" t="s">
        <v>2892</v>
      </c>
      <c r="H233" s="45" t="str">
        <f t="shared" si="9"/>
        <v>SI</v>
      </c>
      <c r="I233" s="45">
        <f t="shared" si="10"/>
        <v>5</v>
      </c>
      <c r="J233" s="377">
        <f>AVERAGE(I233:I234)</f>
        <v>5</v>
      </c>
      <c r="K233" s="382"/>
      <c r="L233" s="382"/>
    </row>
    <row r="234" spans="1:12" ht="30" x14ac:dyDescent="0.25">
      <c r="A234" s="245">
        <v>4</v>
      </c>
      <c r="B234" s="245">
        <v>16</v>
      </c>
      <c r="C234" s="236" t="s">
        <v>88</v>
      </c>
      <c r="D234" s="363"/>
      <c r="E234" s="77" t="s">
        <v>2920</v>
      </c>
      <c r="F234" s="248" t="s">
        <v>2866</v>
      </c>
      <c r="G234" s="72" t="s">
        <v>2865</v>
      </c>
      <c r="H234" s="45" t="str">
        <f t="shared" si="9"/>
        <v>SI</v>
      </c>
      <c r="I234" s="45">
        <f t="shared" si="10"/>
        <v>5</v>
      </c>
      <c r="J234" s="379"/>
      <c r="K234" s="382"/>
      <c r="L234" s="382"/>
    </row>
    <row r="235" spans="1:12" ht="60" x14ac:dyDescent="0.25">
      <c r="A235" s="245">
        <v>4</v>
      </c>
      <c r="B235" s="245">
        <v>16</v>
      </c>
      <c r="C235" s="52" t="str">
        <f>Final!E81</f>
        <v>g</v>
      </c>
      <c r="D235" s="21" t="str">
        <f>Final!F81</f>
        <v>Apreciación por parte de directivos, profesores, estudiantes y egresados sobre la integralidad del currículo a la luz de las dimensiones ética, estética, ambiental, filosófica, política y social.</v>
      </c>
      <c r="E235" s="21" t="s">
        <v>49</v>
      </c>
      <c r="F235" s="285" t="s">
        <v>64</v>
      </c>
      <c r="G235" s="10"/>
      <c r="H235" s="45" t="str">
        <f t="shared" si="9"/>
        <v>NA</v>
      </c>
      <c r="I235" s="45" t="str">
        <f t="shared" si="10"/>
        <v>NA</v>
      </c>
      <c r="J235" s="105" t="str">
        <f t="shared" si="10"/>
        <v>NA</v>
      </c>
      <c r="K235" s="382"/>
      <c r="L235" s="382"/>
    </row>
    <row r="236" spans="1:12" ht="60" x14ac:dyDescent="0.25">
      <c r="A236" s="245">
        <v>4</v>
      </c>
      <c r="B236" s="245">
        <v>16</v>
      </c>
      <c r="C236" s="52" t="str">
        <f>Final!E82</f>
        <v>h</v>
      </c>
      <c r="D236" s="21" t="str">
        <f>Final!F82</f>
        <v>Apreciación por parte de directivos, profesores, estudiantes y egresados de la calidad del currículo a la luz de sus funciones esenciales de formación disciplinar, investigación y proyección social.</v>
      </c>
      <c r="E236" s="21" t="s">
        <v>49</v>
      </c>
      <c r="F236" s="285" t="s">
        <v>64</v>
      </c>
      <c r="G236" s="10"/>
      <c r="H236" s="45" t="str">
        <f t="shared" si="9"/>
        <v>NA</v>
      </c>
      <c r="I236" s="45" t="str">
        <f t="shared" si="10"/>
        <v>NA</v>
      </c>
      <c r="J236" s="105" t="str">
        <f t="shared" si="10"/>
        <v>NA</v>
      </c>
      <c r="K236" s="382"/>
      <c r="L236" s="382"/>
    </row>
    <row r="237" spans="1:12" ht="60" customHeight="1" x14ac:dyDescent="0.25">
      <c r="A237" s="245">
        <v>4</v>
      </c>
      <c r="B237" s="245">
        <v>16</v>
      </c>
      <c r="C237" s="234" t="str">
        <f>Final!E83</f>
        <v>i</v>
      </c>
      <c r="D237" s="362" t="str">
        <f>Final!F83</f>
        <v>Aplicación y evaluación de estrategias, metodologías y/o problemáticas desde las cuales se propicie en los estudiantes el desarrollo del pensamiento autónomo y el fomento de la creatividad, según el campo de conocimiento y la naturaleza del proyecto curricular.</v>
      </c>
      <c r="E237" s="21" t="s">
        <v>545</v>
      </c>
      <c r="F237" s="248" t="s">
        <v>2870</v>
      </c>
      <c r="G237" s="72" t="s">
        <v>2892</v>
      </c>
      <c r="H237" s="45" t="str">
        <f t="shared" si="9"/>
        <v>SI</v>
      </c>
      <c r="I237" s="45">
        <f t="shared" si="10"/>
        <v>5</v>
      </c>
      <c r="J237" s="377">
        <f>AVERAGE(I237:I239)</f>
        <v>5</v>
      </c>
      <c r="K237" s="382"/>
      <c r="L237" s="382"/>
    </row>
    <row r="238" spans="1:12" ht="60" customHeight="1" x14ac:dyDescent="0.25">
      <c r="A238" s="245"/>
      <c r="B238" s="245"/>
      <c r="C238" s="250"/>
      <c r="D238" s="364"/>
      <c r="E238" s="248" t="s">
        <v>2924</v>
      </c>
      <c r="F238" s="248" t="s">
        <v>2917</v>
      </c>
      <c r="G238" s="72" t="s">
        <v>2882</v>
      </c>
      <c r="H238" s="105"/>
      <c r="I238" s="105"/>
      <c r="J238" s="378"/>
      <c r="K238" s="382"/>
      <c r="L238" s="382"/>
    </row>
    <row r="239" spans="1:12" ht="45.75" customHeight="1" x14ac:dyDescent="0.25">
      <c r="A239" s="245">
        <v>4</v>
      </c>
      <c r="B239" s="245">
        <v>16</v>
      </c>
      <c r="C239" s="236" t="s">
        <v>106</v>
      </c>
      <c r="D239" s="363"/>
      <c r="E239" s="77" t="s">
        <v>2925</v>
      </c>
      <c r="F239" s="248" t="s">
        <v>2918</v>
      </c>
      <c r="G239" s="72" t="s">
        <v>3138</v>
      </c>
      <c r="H239" s="45" t="str">
        <f t="shared" si="9"/>
        <v>SI</v>
      </c>
      <c r="I239" s="45">
        <f t="shared" si="10"/>
        <v>5</v>
      </c>
      <c r="J239" s="379"/>
      <c r="K239" s="382"/>
      <c r="L239" s="382"/>
    </row>
    <row r="240" spans="1:12" ht="45" x14ac:dyDescent="0.25">
      <c r="A240" s="245">
        <v>4</v>
      </c>
      <c r="B240" s="245">
        <v>16</v>
      </c>
      <c r="C240" s="234" t="str">
        <f>Final!E84</f>
        <v>j</v>
      </c>
      <c r="D240" s="362" t="str">
        <f>Final!F84</f>
        <v>Análisis cuantitativo y cualitativo sobre el desempeño obtenido por los estudiantes del proyecto curricular en las pruebas de estado de educación superior, durante los últimos cinco años. Análisis con respecto al promedio nacional.</v>
      </c>
      <c r="E240" s="77" t="s">
        <v>549</v>
      </c>
      <c r="F240" s="248" t="s">
        <v>865</v>
      </c>
      <c r="G240" s="71" t="s">
        <v>866</v>
      </c>
      <c r="H240" s="45" t="str">
        <f t="shared" si="9"/>
        <v>SI</v>
      </c>
      <c r="I240" s="45">
        <f t="shared" si="10"/>
        <v>5</v>
      </c>
      <c r="J240" s="377">
        <f>AVERAGE(I240:I241)</f>
        <v>2.5</v>
      </c>
      <c r="K240" s="382"/>
      <c r="L240" s="382"/>
    </row>
    <row r="241" spans="1:12" ht="45" x14ac:dyDescent="0.25">
      <c r="A241" s="245">
        <v>4</v>
      </c>
      <c r="B241" s="245">
        <v>16</v>
      </c>
      <c r="C241" s="236" t="s">
        <v>177</v>
      </c>
      <c r="D241" s="363"/>
      <c r="E241" s="77" t="s">
        <v>548</v>
      </c>
      <c r="F241" s="10"/>
      <c r="G241" s="44"/>
      <c r="H241" s="45" t="str">
        <f t="shared" si="9"/>
        <v>NO</v>
      </c>
      <c r="I241" s="45">
        <f t="shared" si="10"/>
        <v>0</v>
      </c>
      <c r="J241" s="379"/>
      <c r="K241" s="382"/>
      <c r="L241" s="382"/>
    </row>
    <row r="242" spans="1:12" ht="90" x14ac:dyDescent="0.25">
      <c r="A242" s="245">
        <v>4</v>
      </c>
      <c r="B242" s="245">
        <v>16</v>
      </c>
      <c r="C242" s="52" t="str">
        <f>Final!E85</f>
        <v>k</v>
      </c>
      <c r="D242" s="21" t="str">
        <f>Final!F85</f>
        <v>Estudios de valor agregado realizados para analizar los resultados obtenidos por los estudiantes en la Pruebas Saber Pro y su relación con los resultados de las Pruebas Saber 11. Análisis de los promedios obtenidos y sus relaciones con los promedios nacionales</v>
      </c>
      <c r="E242" s="248" t="s">
        <v>551</v>
      </c>
      <c r="F242" s="10"/>
      <c r="G242" s="10"/>
      <c r="H242" s="45" t="str">
        <f t="shared" si="9"/>
        <v>NO</v>
      </c>
      <c r="I242" s="45">
        <f t="shared" si="10"/>
        <v>0</v>
      </c>
      <c r="J242" s="100">
        <f>AVERAGE(I242)</f>
        <v>0</v>
      </c>
      <c r="K242" s="382"/>
      <c r="L242" s="382"/>
    </row>
    <row r="243" spans="1:12" ht="45" x14ac:dyDescent="0.25">
      <c r="A243" s="245">
        <v>4</v>
      </c>
      <c r="B243" s="245">
        <v>16</v>
      </c>
      <c r="C243" s="234" t="str">
        <f>Final!E86</f>
        <v>l</v>
      </c>
      <c r="D243" s="362" t="str">
        <f>Final!F86</f>
        <v>Identificación en el perfil profesional y ocupacional de los distintos tipos de competencias, especialmente actitudes, conocimientos, capacidades y habilidades requeridas en el nivel de formación y definidas en las actividades académicas necesarias para su desarrollo.</v>
      </c>
      <c r="E243" s="21" t="s">
        <v>2921</v>
      </c>
      <c r="F243" s="248" t="s">
        <v>2870</v>
      </c>
      <c r="G243" s="72" t="s">
        <v>2892</v>
      </c>
      <c r="H243" s="45" t="str">
        <f>IF((LEN(F243)=$O$4)*OR(LEN(G243)=$O$4),$N$4,IF(EXACT(F243,$N$5),$N$5,$N$3))</f>
        <v>SI</v>
      </c>
      <c r="I243" s="45">
        <f t="shared" si="10"/>
        <v>5</v>
      </c>
      <c r="J243" s="377">
        <f>AVERAGE(I243:I244)</f>
        <v>5</v>
      </c>
      <c r="K243" s="382"/>
      <c r="L243" s="382"/>
    </row>
    <row r="244" spans="1:12" ht="30" x14ac:dyDescent="0.25">
      <c r="A244" s="245">
        <v>4</v>
      </c>
      <c r="B244" s="245">
        <v>16</v>
      </c>
      <c r="C244" s="236" t="s">
        <v>182</v>
      </c>
      <c r="D244" s="363"/>
      <c r="E244" s="77" t="s">
        <v>553</v>
      </c>
      <c r="F244" s="248" t="s">
        <v>2866</v>
      </c>
      <c r="G244" s="72" t="s">
        <v>2865</v>
      </c>
      <c r="H244" s="45" t="str">
        <f t="shared" si="9"/>
        <v>SI</v>
      </c>
      <c r="I244" s="45">
        <f t="shared" si="10"/>
        <v>5</v>
      </c>
      <c r="J244" s="379"/>
      <c r="K244" s="382"/>
      <c r="L244" s="382"/>
    </row>
    <row r="245" spans="1:12" ht="45" x14ac:dyDescent="0.25">
      <c r="A245" s="245">
        <v>4</v>
      </c>
      <c r="B245" s="245">
        <v>16</v>
      </c>
      <c r="C245" s="234" t="str">
        <f>Final!E87</f>
        <v>m</v>
      </c>
      <c r="D245" s="362" t="str">
        <f>Final!F87</f>
        <v>Existe articulación del plan de estudios del proyecto curricular con los diversos niveles de formación (periodos académicos, especialización, maestría y doctorado, componentes propedéuticos y /o ciclos, entre otros )</v>
      </c>
      <c r="E245" s="21" t="s">
        <v>554</v>
      </c>
      <c r="F245" s="248" t="s">
        <v>2870</v>
      </c>
      <c r="G245" s="72" t="s">
        <v>2892</v>
      </c>
      <c r="H245" s="105" t="str">
        <f>IF((LEN(F245)=$O$4)*OR(LEN(G245)=$O$4),$N$4,IF(EXACT(F245,$N$5),$N$5,$N$3))</f>
        <v>SI</v>
      </c>
      <c r="I245" s="105">
        <f t="shared" si="10"/>
        <v>5</v>
      </c>
      <c r="J245" s="377">
        <f>AVERAGE(I245:I246)</f>
        <v>2.5</v>
      </c>
      <c r="K245" s="382"/>
      <c r="L245" s="382"/>
    </row>
    <row r="246" spans="1:12" ht="30" x14ac:dyDescent="0.25">
      <c r="A246" s="245">
        <v>4</v>
      </c>
      <c r="B246" s="245">
        <v>16</v>
      </c>
      <c r="C246" s="236" t="s">
        <v>183</v>
      </c>
      <c r="D246" s="363"/>
      <c r="E246" s="248" t="s">
        <v>556</v>
      </c>
      <c r="F246" s="254"/>
      <c r="G246" s="44"/>
      <c r="H246" s="105"/>
      <c r="I246" s="105">
        <f t="shared" si="10"/>
        <v>0</v>
      </c>
      <c r="J246" s="379"/>
      <c r="K246" s="382"/>
      <c r="L246" s="382"/>
    </row>
    <row r="247" spans="1:12" ht="90" x14ac:dyDescent="0.25">
      <c r="A247" s="245">
        <v>4</v>
      </c>
      <c r="B247" s="245">
        <v>16</v>
      </c>
      <c r="C247" s="234" t="str">
        <f>Final!E88</f>
        <v>n</v>
      </c>
      <c r="D247" s="362" t="str">
        <f>Final!F88</f>
        <v>Evaluación y seguimiento a la aplicación de las estrategias orientadas a desarrollar competencias,
especialmente conocimientos, capacidades y habilidades comunicativas en un segundo idiomaextranjero.</v>
      </c>
      <c r="E247" s="21" t="s">
        <v>557</v>
      </c>
      <c r="F247" s="248" t="s">
        <v>2922</v>
      </c>
      <c r="G247" s="72" t="s">
        <v>2923</v>
      </c>
      <c r="H247" s="105" t="str">
        <f>IF((LEN(F247)=$O$4)*OR(LEN(G247)=$O$4),$N$4,IF(EXACT(F247,$N$5),$N$5,$N$3))</f>
        <v>SI</v>
      </c>
      <c r="I247" s="105">
        <f t="shared" si="10"/>
        <v>5</v>
      </c>
      <c r="J247" s="377">
        <f>AVERAGE(I247:I248)</f>
        <v>5</v>
      </c>
      <c r="K247" s="382"/>
      <c r="L247" s="382"/>
    </row>
    <row r="248" spans="1:12" ht="38.25" customHeight="1" x14ac:dyDescent="0.25">
      <c r="A248" s="245">
        <v>4</v>
      </c>
      <c r="B248" s="245">
        <v>16</v>
      </c>
      <c r="C248" s="236" t="s">
        <v>184</v>
      </c>
      <c r="D248" s="363"/>
      <c r="E248" s="77" t="s">
        <v>558</v>
      </c>
      <c r="F248" s="254" t="s">
        <v>3106</v>
      </c>
      <c r="G248" s="44" t="s">
        <v>3105</v>
      </c>
      <c r="H248" s="105" t="str">
        <f>IF((LEN(F248)=$O$4)*OR(LEN(G248)=$O$4),$N$4,IF(EXACT(F248,$N$5),$N$5,$N$3))</f>
        <v>SI</v>
      </c>
      <c r="I248" s="105">
        <f t="shared" si="10"/>
        <v>5</v>
      </c>
      <c r="J248" s="379"/>
      <c r="K248" s="383"/>
      <c r="L248" s="382"/>
    </row>
    <row r="249" spans="1:12" ht="120" x14ac:dyDescent="0.25">
      <c r="A249" s="245">
        <v>4</v>
      </c>
      <c r="B249" s="245">
        <v>17</v>
      </c>
      <c r="C249" s="237" t="str">
        <f>Final!E89</f>
        <v>a</v>
      </c>
      <c r="D249" s="21" t="str">
        <f>Final!F89</f>
        <v>Evaluación de la aplicación de las políticas institucionales de flexibilidad referidas a la organización y jerarquización de contenidos, el reconocimiento de créditos, la formación por competencias tales como actitudes, conocimientos, capacidades, habilidades y estrategias pedagógicas, electividad, doble titulación y movilidad.</v>
      </c>
      <c r="E249" s="21" t="s">
        <v>559</v>
      </c>
      <c r="F249" s="248" t="s">
        <v>2870</v>
      </c>
      <c r="G249" s="72" t="s">
        <v>2892</v>
      </c>
      <c r="H249" s="105" t="str">
        <f t="shared" si="9"/>
        <v>SI</v>
      </c>
      <c r="I249" s="105">
        <f t="shared" si="10"/>
        <v>5</v>
      </c>
      <c r="J249" s="100">
        <f>AVERAGE(I249)</f>
        <v>5</v>
      </c>
      <c r="K249" s="381">
        <f>AVERAGE(J249:J264)</f>
        <v>5</v>
      </c>
      <c r="L249" s="382"/>
    </row>
    <row r="250" spans="1:12" ht="45" x14ac:dyDescent="0.25">
      <c r="A250" s="245">
        <v>4</v>
      </c>
      <c r="B250" s="245">
        <v>17</v>
      </c>
      <c r="C250" s="234" t="str">
        <f>Final!E90</f>
        <v>b</v>
      </c>
      <c r="D250" s="362" t="str">
        <f>Final!F90</f>
        <v>Aplicación y evaluación de políticas y normas relacionadas con homologaciones de créditos, equivalencia de títulos y transferencias; de forma que se garantice a los estudiantes la continuidad y movilidad en el sistema educativo.</v>
      </c>
      <c r="E250" s="21" t="s">
        <v>552</v>
      </c>
      <c r="F250" s="248" t="s">
        <v>2870</v>
      </c>
      <c r="G250" s="72" t="s">
        <v>2892</v>
      </c>
      <c r="H250" s="45" t="str">
        <f t="shared" si="9"/>
        <v>SI</v>
      </c>
      <c r="I250" s="45">
        <f t="shared" si="10"/>
        <v>5</v>
      </c>
      <c r="J250" s="377">
        <f>AVERAGE(I250:I253)</f>
        <v>5</v>
      </c>
      <c r="K250" s="382"/>
      <c r="L250" s="382"/>
    </row>
    <row r="251" spans="1:12" ht="60" x14ac:dyDescent="0.25">
      <c r="A251" s="245">
        <v>4</v>
      </c>
      <c r="B251" s="245">
        <v>17</v>
      </c>
      <c r="C251" s="235" t="s">
        <v>56</v>
      </c>
      <c r="D251" s="364"/>
      <c r="E251" s="77" t="s">
        <v>560</v>
      </c>
      <c r="F251" s="248" t="s">
        <v>2928</v>
      </c>
      <c r="G251" s="72" t="s">
        <v>2929</v>
      </c>
      <c r="H251" s="45" t="str">
        <f t="shared" si="9"/>
        <v>SI</v>
      </c>
      <c r="I251" s="45">
        <f t="shared" si="10"/>
        <v>5</v>
      </c>
      <c r="J251" s="378"/>
      <c r="K251" s="382"/>
      <c r="L251" s="382"/>
    </row>
    <row r="252" spans="1:12" ht="30" x14ac:dyDescent="0.25">
      <c r="A252" s="245">
        <v>4</v>
      </c>
      <c r="B252" s="245">
        <v>17</v>
      </c>
      <c r="C252" s="250" t="s">
        <v>56</v>
      </c>
      <c r="D252" s="364"/>
      <c r="E252" s="248" t="s">
        <v>2924</v>
      </c>
      <c r="F252" s="248" t="s">
        <v>2917</v>
      </c>
      <c r="G252" s="72" t="s">
        <v>2882</v>
      </c>
      <c r="H252" s="105" t="str">
        <f>IF((LEN(F252)=$O$4)*OR(LEN(G252)=$O$4),$N$4,IF(EXACT(F252,$N$5),$N$5,$N$3))</f>
        <v>SI</v>
      </c>
      <c r="I252" s="105">
        <f>IF(EXACT(H252,$N$3),$O$3,IF(EXACT(H252,$N$5),$N$5,$O$4))</f>
        <v>5</v>
      </c>
      <c r="J252" s="378"/>
      <c r="K252" s="382"/>
      <c r="L252" s="382"/>
    </row>
    <row r="253" spans="1:12" ht="30" x14ac:dyDescent="0.25">
      <c r="A253" s="245">
        <v>4</v>
      </c>
      <c r="B253" s="245">
        <v>17</v>
      </c>
      <c r="C253" s="236" t="s">
        <v>56</v>
      </c>
      <c r="D253" s="363"/>
      <c r="E253" s="248" t="s">
        <v>2925</v>
      </c>
      <c r="F253" s="248" t="s">
        <v>2918</v>
      </c>
      <c r="G253" s="72" t="s">
        <v>2881</v>
      </c>
      <c r="H253" s="45" t="str">
        <f t="shared" si="9"/>
        <v>SI</v>
      </c>
      <c r="I253" s="45">
        <f t="shared" si="10"/>
        <v>5</v>
      </c>
      <c r="J253" s="379"/>
      <c r="K253" s="382"/>
      <c r="L253" s="382"/>
    </row>
    <row r="254" spans="1:12" ht="45" x14ac:dyDescent="0.25">
      <c r="A254" s="245">
        <v>4</v>
      </c>
      <c r="B254" s="245">
        <v>17</v>
      </c>
      <c r="C254" s="234" t="str">
        <f>Final!E91</f>
        <v>c</v>
      </c>
      <c r="D254" s="362" t="str">
        <f>Final!F91</f>
        <v>Nivel de correspondencia entre los desarrollos disciplinares, profesionales y pedagógicos frente a los mecanismos de actualización del currículo atendiendo las necesidades del entorno.</v>
      </c>
      <c r="E254" s="21" t="s">
        <v>561</v>
      </c>
      <c r="F254" s="248" t="s">
        <v>2870</v>
      </c>
      <c r="G254" s="72" t="s">
        <v>2892</v>
      </c>
      <c r="H254" s="45" t="str">
        <f t="shared" si="9"/>
        <v>SI</v>
      </c>
      <c r="I254" s="45">
        <f t="shared" si="10"/>
        <v>5</v>
      </c>
      <c r="J254" s="377">
        <f>AVERAGE(I254:I256)</f>
        <v>5</v>
      </c>
      <c r="K254" s="382"/>
      <c r="L254" s="382"/>
    </row>
    <row r="255" spans="1:12" ht="30" x14ac:dyDescent="0.25">
      <c r="A255" s="245">
        <v>4</v>
      </c>
      <c r="B255" s="245">
        <v>17</v>
      </c>
      <c r="C255" s="246" t="s">
        <v>80</v>
      </c>
      <c r="D255" s="364"/>
      <c r="E255" s="248" t="s">
        <v>2924</v>
      </c>
      <c r="F255" s="248" t="s">
        <v>2917</v>
      </c>
      <c r="G255" s="72" t="s">
        <v>2882</v>
      </c>
      <c r="H255" s="105"/>
      <c r="I255" s="105"/>
      <c r="J255" s="378"/>
      <c r="K255" s="382"/>
      <c r="L255" s="382"/>
    </row>
    <row r="256" spans="1:12" ht="31.5" customHeight="1" x14ac:dyDescent="0.25">
      <c r="A256" s="245">
        <v>4</v>
      </c>
      <c r="B256" s="245">
        <v>17</v>
      </c>
      <c r="C256" s="236" t="s">
        <v>80</v>
      </c>
      <c r="D256" s="363"/>
      <c r="E256" s="248" t="s">
        <v>2925</v>
      </c>
      <c r="F256" s="248" t="s">
        <v>2918</v>
      </c>
      <c r="G256" s="72" t="s">
        <v>2881</v>
      </c>
      <c r="H256" s="45" t="str">
        <f t="shared" si="9"/>
        <v>SI</v>
      </c>
      <c r="I256" s="45">
        <f t="shared" si="10"/>
        <v>5</v>
      </c>
      <c r="J256" s="379"/>
      <c r="K256" s="382"/>
      <c r="L256" s="382"/>
    </row>
    <row r="257" spans="1:12" ht="47.25" customHeight="1" x14ac:dyDescent="0.25">
      <c r="A257" s="245">
        <v>4</v>
      </c>
      <c r="B257" s="245">
        <v>17</v>
      </c>
      <c r="C257" s="234" t="str">
        <f>Final!E92</f>
        <v>d</v>
      </c>
      <c r="D257" s="362" t="str">
        <f>Final!F92</f>
        <v>Definición del índice de flexibilidad curricular del proyecto curricular y comparación de este a nivel nacional e internacional con programas académicos que coincidan con el campo de conocimiento del proyecto curricular.</v>
      </c>
      <c r="E257" s="248" t="s">
        <v>561</v>
      </c>
      <c r="F257" s="248" t="s">
        <v>2870</v>
      </c>
      <c r="G257" s="72" t="s">
        <v>2892</v>
      </c>
      <c r="H257" s="45" t="str">
        <f t="shared" si="9"/>
        <v>SI</v>
      </c>
      <c r="I257" s="45">
        <f t="shared" si="10"/>
        <v>5</v>
      </c>
      <c r="J257" s="377">
        <f>AVERAGE(I257:I258)</f>
        <v>5</v>
      </c>
      <c r="K257" s="382"/>
      <c r="L257" s="382"/>
    </row>
    <row r="258" spans="1:12" ht="39.75" customHeight="1" x14ac:dyDescent="0.25">
      <c r="A258" s="245">
        <v>4</v>
      </c>
      <c r="B258" s="245">
        <v>17</v>
      </c>
      <c r="C258" s="236" t="s">
        <v>81</v>
      </c>
      <c r="D258" s="363"/>
      <c r="E258" s="77" t="s">
        <v>562</v>
      </c>
      <c r="F258" s="311" t="s">
        <v>3146</v>
      </c>
      <c r="G258" s="227" t="s">
        <v>2929</v>
      </c>
      <c r="H258" s="45" t="str">
        <f t="shared" si="9"/>
        <v>SI</v>
      </c>
      <c r="I258" s="45">
        <f t="shared" si="10"/>
        <v>5</v>
      </c>
      <c r="J258" s="379"/>
      <c r="K258" s="382"/>
      <c r="L258" s="382"/>
    </row>
    <row r="259" spans="1:12" ht="65.25" customHeight="1" x14ac:dyDescent="0.25">
      <c r="A259" s="245">
        <v>4</v>
      </c>
      <c r="B259" s="245">
        <v>17</v>
      </c>
      <c r="C259" s="52" t="str">
        <f>Final!E93</f>
        <v>e</v>
      </c>
      <c r="D259" s="21" t="str">
        <f>Final!F93</f>
        <v>Eficacia en la aplicación de las políticas institucionales sobre flexibilidad curricular, a la luz de las apreciaciones de directivos, profesores y estudiantes del proyecto curricular.</v>
      </c>
      <c r="E259" s="21" t="s">
        <v>49</v>
      </c>
      <c r="F259" s="105" t="s">
        <v>64</v>
      </c>
      <c r="G259" s="10"/>
      <c r="H259" s="45" t="str">
        <f t="shared" si="9"/>
        <v>NA</v>
      </c>
      <c r="I259" s="45" t="str">
        <f t="shared" si="10"/>
        <v>NA</v>
      </c>
      <c r="J259" s="105" t="str">
        <f t="shared" si="10"/>
        <v>NA</v>
      </c>
      <c r="K259" s="382"/>
      <c r="L259" s="382"/>
    </row>
    <row r="260" spans="1:12" ht="60" x14ac:dyDescent="0.25">
      <c r="A260" s="245">
        <v>4</v>
      </c>
      <c r="B260" s="245">
        <v>17</v>
      </c>
      <c r="C260" s="52" t="str">
        <f>Final!E94</f>
        <v>f</v>
      </c>
      <c r="D260" s="21" t="str">
        <f>Final!F94</f>
        <v>Resultados de la aplicación en el proyecto curricular de las políticas de movilidad estudiantil hacia otras instituciones nacionales e internacionales.</v>
      </c>
      <c r="E260" s="21" t="s">
        <v>3109</v>
      </c>
      <c r="F260" s="248" t="s">
        <v>92</v>
      </c>
      <c r="G260" s="72" t="s">
        <v>2872</v>
      </c>
      <c r="H260" s="45" t="str">
        <f t="shared" si="9"/>
        <v>SI</v>
      </c>
      <c r="I260" s="45">
        <f t="shared" si="10"/>
        <v>5</v>
      </c>
      <c r="J260" s="100">
        <f>I260</f>
        <v>5</v>
      </c>
      <c r="K260" s="382"/>
      <c r="L260" s="382"/>
    </row>
    <row r="261" spans="1:12" ht="75" x14ac:dyDescent="0.25">
      <c r="A261" s="245">
        <v>4</v>
      </c>
      <c r="B261" s="245">
        <v>17</v>
      </c>
      <c r="C261" s="52" t="str">
        <f>Final!E95</f>
        <v>g</v>
      </c>
      <c r="D261" s="21" t="str">
        <f>Final!F95</f>
        <v>Existencia, aplicación y evaluación de sistemas de homologación de créditos y de tránsito del pregrado al postgrado</v>
      </c>
      <c r="E261" s="21" t="s">
        <v>2926</v>
      </c>
      <c r="F261" s="311" t="s">
        <v>3147</v>
      </c>
      <c r="G261" s="72" t="s">
        <v>2872</v>
      </c>
      <c r="H261" s="45" t="str">
        <f t="shared" si="9"/>
        <v>SI</v>
      </c>
      <c r="I261" s="45">
        <f t="shared" si="10"/>
        <v>5</v>
      </c>
      <c r="J261" s="100">
        <f>I261</f>
        <v>5</v>
      </c>
      <c r="K261" s="382"/>
      <c r="L261" s="382"/>
    </row>
    <row r="262" spans="1:12" ht="105" x14ac:dyDescent="0.25">
      <c r="A262" s="245">
        <v>4</v>
      </c>
      <c r="B262" s="245">
        <v>17</v>
      </c>
      <c r="C262" s="52" t="str">
        <f>Final!E96</f>
        <v>h</v>
      </c>
      <c r="D262" s="21" t="str">
        <f>Final!F96</f>
        <v>Aplicación de criterios de flexibilidad, a la oferta académica, para garantizar la participación de los estudiantes en el diseño de su propio plan académico según sus intereses y que permita la adquisición de actitudes, conocimientos, capacidades y habilidades, con el apoyo de un tutor o asesor.</v>
      </c>
      <c r="E262" s="21" t="s">
        <v>565</v>
      </c>
      <c r="F262" s="248" t="s">
        <v>2870</v>
      </c>
      <c r="G262" s="72" t="s">
        <v>2892</v>
      </c>
      <c r="H262" s="45" t="str">
        <f t="shared" si="9"/>
        <v>SI</v>
      </c>
      <c r="I262" s="45">
        <f t="shared" si="10"/>
        <v>5</v>
      </c>
      <c r="J262" s="100">
        <f t="shared" ref="J262:J275" si="11">AVERAGE(I262)</f>
        <v>5</v>
      </c>
      <c r="K262" s="382"/>
      <c r="L262" s="382"/>
    </row>
    <row r="263" spans="1:12" ht="105" x14ac:dyDescent="0.25">
      <c r="A263" s="245">
        <v>4</v>
      </c>
      <c r="B263" s="245">
        <v>17</v>
      </c>
      <c r="C263" s="52" t="str">
        <f>Final!E97</f>
        <v>i</v>
      </c>
      <c r="D263" s="21" t="str">
        <f>Final!F97</f>
        <v>Aseguramiento del tránsito y continuidad de los estudiantes en el sistema educativo y su inserción en el sistema productivo, acorde al tipo y modalidad del proyecto curricular, a través de mecanismos establecidos en los convenios y en las relaciones de cooperación interinstitucional con el sector educativo y laboral.</v>
      </c>
      <c r="E263" s="21" t="s">
        <v>567</v>
      </c>
      <c r="F263" s="311" t="s">
        <v>3148</v>
      </c>
      <c r="G263" s="10"/>
      <c r="H263" s="45" t="str">
        <f t="shared" si="9"/>
        <v>SI</v>
      </c>
      <c r="I263" s="45">
        <f t="shared" si="10"/>
        <v>5</v>
      </c>
      <c r="J263" s="100">
        <f t="shared" si="11"/>
        <v>5</v>
      </c>
      <c r="K263" s="382"/>
      <c r="L263" s="382"/>
    </row>
    <row r="264" spans="1:12" ht="120" x14ac:dyDescent="0.25">
      <c r="A264" s="245">
        <v>4</v>
      </c>
      <c r="B264" s="245">
        <v>17</v>
      </c>
      <c r="C264" s="52" t="str">
        <f>Final!E98</f>
        <v>j</v>
      </c>
      <c r="D264" s="21" t="str">
        <f>Final!F98</f>
        <v>Acciones llevadas a cabo entre la Institución y otras instituciones del sector público o privado (educativo, productivo, financiero, entre otros) para articular y afirmar el carácter secuencial y complementario de los niveles de formación, desde el punto de vista académico y laboral, de acuerdo con el tipo y modalidad del proyecto curricular.</v>
      </c>
      <c r="E264" s="21" t="s">
        <v>569</v>
      </c>
      <c r="F264" s="248" t="s">
        <v>2870</v>
      </c>
      <c r="G264" s="72" t="s">
        <v>2892</v>
      </c>
      <c r="H264" s="45" t="str">
        <f t="shared" si="9"/>
        <v>SI</v>
      </c>
      <c r="I264" s="45">
        <f t="shared" si="10"/>
        <v>5</v>
      </c>
      <c r="J264" s="100">
        <f t="shared" si="11"/>
        <v>5</v>
      </c>
      <c r="K264" s="383"/>
      <c r="L264" s="382"/>
    </row>
    <row r="265" spans="1:12" ht="60" x14ac:dyDescent="0.25">
      <c r="A265" s="245">
        <v>4</v>
      </c>
      <c r="B265" s="245">
        <v>18</v>
      </c>
      <c r="C265" s="52" t="str">
        <f>Final!E99</f>
        <v>a</v>
      </c>
      <c r="D265" s="21" t="str">
        <f>Final!F99</f>
        <v>Existencia de espacios y actividades resultantes de los espacios curriculares y extracurriculares que tienen un carácter explícitamente interdisciplinario.</v>
      </c>
      <c r="E265" s="21" t="s">
        <v>571</v>
      </c>
      <c r="F265" s="248" t="s">
        <v>2870</v>
      </c>
      <c r="G265" s="72" t="s">
        <v>2892</v>
      </c>
      <c r="H265" s="45" t="str">
        <f t="shared" si="9"/>
        <v>SI</v>
      </c>
      <c r="I265" s="45">
        <f t="shared" si="10"/>
        <v>5</v>
      </c>
      <c r="J265" s="100">
        <f t="shared" si="11"/>
        <v>5</v>
      </c>
      <c r="K265" s="377">
        <f>AVERAGE(J265:J267)</f>
        <v>5</v>
      </c>
      <c r="L265" s="382"/>
    </row>
    <row r="266" spans="1:12" ht="75" x14ac:dyDescent="0.25">
      <c r="A266" s="245">
        <v>4</v>
      </c>
      <c r="B266" s="245">
        <v>18</v>
      </c>
      <c r="C266" s="52" t="str">
        <f>Final!E100</f>
        <v>b</v>
      </c>
      <c r="D266" s="21" t="str">
        <f>Final!F100</f>
        <v>Existencia mecanismos y estrategias explícitamente interdisciplinares que se asumen en el proyecto curricular para establecer formas de vincular conocimientos, relacionar conceptos y métodos de trabajo.</v>
      </c>
      <c r="E266" s="21" t="s">
        <v>571</v>
      </c>
      <c r="F266" s="248" t="s">
        <v>2870</v>
      </c>
      <c r="G266" s="72" t="s">
        <v>2892</v>
      </c>
      <c r="H266" s="45" t="str">
        <f t="shared" si="9"/>
        <v>SI</v>
      </c>
      <c r="I266" s="45">
        <f t="shared" si="10"/>
        <v>5</v>
      </c>
      <c r="J266" s="100">
        <f t="shared" si="11"/>
        <v>5</v>
      </c>
      <c r="K266" s="378"/>
      <c r="L266" s="382"/>
    </row>
    <row r="267" spans="1:12" ht="60" x14ac:dyDescent="0.25">
      <c r="A267" s="245">
        <v>4</v>
      </c>
      <c r="B267" s="245">
        <v>18</v>
      </c>
      <c r="C267" s="52" t="str">
        <f>Final!E101</f>
        <v>c</v>
      </c>
      <c r="D267" s="21" t="str">
        <f>Final!F101</f>
        <v>Apreciación de profesores y estudiantes sobre la pertinencia y eficacia de la interdisciplinariedad
del proyecto curricular en el enriquecimiento de la calidad del mismo.</v>
      </c>
      <c r="E267" s="21" t="s">
        <v>49</v>
      </c>
      <c r="F267" s="285" t="s">
        <v>64</v>
      </c>
      <c r="G267" s="10"/>
      <c r="H267" s="45" t="str">
        <f t="shared" si="9"/>
        <v>NA</v>
      </c>
      <c r="I267" s="45" t="str">
        <f t="shared" si="10"/>
        <v>NA</v>
      </c>
      <c r="J267" s="105" t="str">
        <f t="shared" si="10"/>
        <v>NA</v>
      </c>
      <c r="K267" s="379"/>
      <c r="L267" s="382"/>
    </row>
    <row r="268" spans="1:12" ht="75" x14ac:dyDescent="0.25">
      <c r="A268" s="245">
        <v>4</v>
      </c>
      <c r="B268" s="245">
        <v>19</v>
      </c>
      <c r="C268" s="52" t="str">
        <f>Final!E102</f>
        <v>a</v>
      </c>
      <c r="D268" s="21" t="str">
        <f>Final!F102</f>
        <v>Concordancia de los métodos de enseñanza y aprendizaje utilizados con el tipo y metodología del proyecto curricular, a la luz de los syllabus propuestos en cada uno de los espacios académicos.</v>
      </c>
      <c r="E268" s="21" t="s">
        <v>572</v>
      </c>
      <c r="F268" s="248" t="s">
        <v>3153</v>
      </c>
      <c r="G268" s="227" t="s">
        <v>2932</v>
      </c>
      <c r="H268" s="45" t="str">
        <f t="shared" si="9"/>
        <v>SI</v>
      </c>
      <c r="I268" s="45">
        <f t="shared" si="10"/>
        <v>5</v>
      </c>
      <c r="J268" s="100">
        <f t="shared" si="11"/>
        <v>5</v>
      </c>
      <c r="K268" s="381">
        <f>AVERAGE(J268:J295)</f>
        <v>4.7756410256410255</v>
      </c>
      <c r="L268" s="382"/>
    </row>
    <row r="269" spans="1:12" ht="135" x14ac:dyDescent="0.25">
      <c r="A269" s="245">
        <v>4</v>
      </c>
      <c r="B269" s="245">
        <v>19</v>
      </c>
      <c r="C269" s="52" t="str">
        <f>Final!E103</f>
        <v>b</v>
      </c>
      <c r="D269" s="21" t="str">
        <f>Final!F103</f>
        <v>Correspondencia de los métodos de enseñanza y aprendizaje empleados para el desarrollo de los contenidos o los problemas del plan de estudios del proyecto curricular, con las competencias tales como las actitudes, los conocimientos, las capacidades y las habilidades que se espera desarrollar, la naturaleza de los saberes y las necesidades, objetivos y modalidad del proyecto curricular.</v>
      </c>
      <c r="E269" s="21" t="s">
        <v>532</v>
      </c>
      <c r="F269" s="312" t="s">
        <v>3153</v>
      </c>
      <c r="G269" s="227" t="s">
        <v>2932</v>
      </c>
      <c r="H269" s="45" t="str">
        <f t="shared" si="9"/>
        <v>SI</v>
      </c>
      <c r="I269" s="45">
        <f t="shared" si="10"/>
        <v>5</v>
      </c>
      <c r="J269" s="100">
        <f t="shared" si="11"/>
        <v>5</v>
      </c>
      <c r="K269" s="382"/>
      <c r="L269" s="382"/>
    </row>
    <row r="270" spans="1:12" ht="105" x14ac:dyDescent="0.25">
      <c r="A270" s="245">
        <v>4</v>
      </c>
      <c r="B270" s="245">
        <v>19</v>
      </c>
      <c r="C270" s="52" t="str">
        <f>Final!E104</f>
        <v>c</v>
      </c>
      <c r="D270" s="21" t="str">
        <f>Final!F104</f>
        <v>Apreciación de los estudiantes, profesores y directivos del proyecto curricular sobre la correspondencia entre los métodos de enseñanza y aprendizaje que se emplean en el proyecto curricular y el desarrollo de los contenidos, problemas o proyectos que se desarrollan en el plan de estudios.</v>
      </c>
      <c r="E270" s="21" t="s">
        <v>49</v>
      </c>
      <c r="F270" s="285" t="s">
        <v>64</v>
      </c>
      <c r="G270" s="10"/>
      <c r="H270" s="45" t="str">
        <f t="shared" si="9"/>
        <v>NA</v>
      </c>
      <c r="I270" s="45" t="str">
        <f t="shared" si="10"/>
        <v>NA</v>
      </c>
      <c r="J270" s="105" t="str">
        <f t="shared" si="10"/>
        <v>NA</v>
      </c>
      <c r="K270" s="382"/>
      <c r="L270" s="382"/>
    </row>
    <row r="271" spans="1:12" ht="90" x14ac:dyDescent="0.25">
      <c r="A271" s="245">
        <v>4</v>
      </c>
      <c r="B271" s="245">
        <v>19</v>
      </c>
      <c r="C271" s="52" t="str">
        <f>Final!E105</f>
        <v>d</v>
      </c>
      <c r="D271" s="21" t="str">
        <f>Final!F105</f>
        <v>Identificación de las estrategias y mecanismos de seguimiento y acompañamiento por parte del docente al trabajo que realizan los estudiantes en las distintas actividades académicas, de acuerdo con sus capacidades y potencialidades y con el tipo y metodología del proyecto curricular</v>
      </c>
      <c r="E271" s="312" t="s">
        <v>3154</v>
      </c>
      <c r="F271" s="248" t="s">
        <v>3154</v>
      </c>
      <c r="G271" s="44" t="s">
        <v>3155</v>
      </c>
      <c r="H271" s="45" t="str">
        <f t="shared" si="9"/>
        <v>SI</v>
      </c>
      <c r="I271" s="45">
        <f t="shared" si="10"/>
        <v>5</v>
      </c>
      <c r="J271" s="100">
        <f t="shared" si="11"/>
        <v>5</v>
      </c>
      <c r="K271" s="382"/>
      <c r="L271" s="382"/>
    </row>
    <row r="272" spans="1:12" ht="75" x14ac:dyDescent="0.25">
      <c r="A272" s="245">
        <v>4</v>
      </c>
      <c r="B272" s="245">
        <v>19</v>
      </c>
      <c r="C272" s="52" t="str">
        <f>Final!E106</f>
        <v>e</v>
      </c>
      <c r="D272" s="21" t="str">
        <f>Final!F106</f>
        <v>Incorporación de los avances, tendencias y transformaciones que se han dado en el campo de conocimiento del proyecto curricular (ciencias, tecnologías, técnicas o artes) que se correspondan con el tipo y modalidad del proyecto curricular.</v>
      </c>
      <c r="E272" s="312" t="s">
        <v>3154</v>
      </c>
      <c r="F272" s="312" t="s">
        <v>3154</v>
      </c>
      <c r="G272" s="44" t="s">
        <v>3155</v>
      </c>
      <c r="H272" s="45" t="str">
        <f t="shared" si="9"/>
        <v>SI</v>
      </c>
      <c r="I272" s="45">
        <f t="shared" si="10"/>
        <v>5</v>
      </c>
      <c r="J272" s="100">
        <f t="shared" si="11"/>
        <v>5</v>
      </c>
      <c r="K272" s="382"/>
      <c r="L272" s="382"/>
    </row>
    <row r="273" spans="1:12" ht="105" x14ac:dyDescent="0.25">
      <c r="A273" s="245">
        <v>4</v>
      </c>
      <c r="B273" s="245">
        <v>19</v>
      </c>
      <c r="C273" s="52" t="str">
        <f>Final!E107</f>
        <v>f</v>
      </c>
      <c r="D273" s="21" t="str">
        <f>Final!F107</f>
        <v>Evidencias de que en el proyecto curricular existe una perspectiva de atención a la diversidad a través de la caracterización de las necesidades de los estudiantes y la implementación de las estrategias pedagógicas, didácticas y comunicativas acordes con las metodologías de enseñanza y las posibilidades tecnológicas.</v>
      </c>
      <c r="E273" s="312" t="s">
        <v>532</v>
      </c>
      <c r="F273" s="312" t="s">
        <v>3153</v>
      </c>
      <c r="G273" s="314" t="s">
        <v>2932</v>
      </c>
      <c r="H273" s="45" t="str">
        <f t="shared" si="9"/>
        <v>SI</v>
      </c>
      <c r="I273" s="45">
        <f t="shared" si="10"/>
        <v>5</v>
      </c>
      <c r="J273" s="100">
        <f t="shared" si="11"/>
        <v>5</v>
      </c>
      <c r="K273" s="382"/>
      <c r="L273" s="382"/>
    </row>
    <row r="274" spans="1:12" ht="45" x14ac:dyDescent="0.25">
      <c r="A274" s="245">
        <v>4</v>
      </c>
      <c r="B274" s="245">
        <v>19</v>
      </c>
      <c r="C274" s="52" t="str">
        <f>Final!E108</f>
        <v>g</v>
      </c>
      <c r="D274" s="21" t="str">
        <f>Final!F108</f>
        <v>Articulación entre las estrategias pedagógicas propias de la metodología de enseñanza y los recursos tecnológicos utilizados.</v>
      </c>
      <c r="E274" s="312" t="s">
        <v>3154</v>
      </c>
      <c r="F274" s="312" t="s">
        <v>3154</v>
      </c>
      <c r="G274" s="44" t="s">
        <v>3155</v>
      </c>
      <c r="H274" s="45" t="str">
        <f t="shared" si="9"/>
        <v>SI</v>
      </c>
      <c r="I274" s="45">
        <f t="shared" si="10"/>
        <v>5</v>
      </c>
      <c r="J274" s="100">
        <f t="shared" si="11"/>
        <v>5</v>
      </c>
      <c r="K274" s="382"/>
      <c r="L274" s="382"/>
    </row>
    <row r="275" spans="1:12" ht="75" x14ac:dyDescent="0.25">
      <c r="A275" s="245">
        <v>4</v>
      </c>
      <c r="B275" s="245">
        <v>19</v>
      </c>
      <c r="C275" s="52" t="str">
        <f>Final!E109</f>
        <v>h</v>
      </c>
      <c r="D275" s="21" t="str">
        <f>Final!F109</f>
        <v>Existencia y aplicación de estrategias pedagógicas definidas por el proyecto curricular, que están orientados hacia la integración de las tres funciones sustantivas de investigación, docencia y proyección social.</v>
      </c>
      <c r="E275" s="312" t="s">
        <v>3154</v>
      </c>
      <c r="F275" s="312" t="s">
        <v>3154</v>
      </c>
      <c r="G275" s="44" t="s">
        <v>3155</v>
      </c>
      <c r="H275" s="45" t="str">
        <f t="shared" si="9"/>
        <v>SI</v>
      </c>
      <c r="I275" s="45">
        <f t="shared" si="10"/>
        <v>5</v>
      </c>
      <c r="J275" s="100">
        <f t="shared" si="11"/>
        <v>5</v>
      </c>
      <c r="K275" s="382"/>
      <c r="L275" s="382"/>
    </row>
    <row r="276" spans="1:12" ht="51.75" customHeight="1" x14ac:dyDescent="0.25">
      <c r="A276" s="245">
        <v>4</v>
      </c>
      <c r="B276" s="245">
        <v>19</v>
      </c>
      <c r="C276" s="367" t="str">
        <f>Final!E110</f>
        <v>i</v>
      </c>
      <c r="D276" s="362" t="str">
        <f>Final!F110</f>
        <v>Estudios o investigaciones realizadas por la institución y el proyecto curricular para identificar y evaluar la permanencia y retención de los estudiantes, de acuerdo con las metodologías de enseñanza</v>
      </c>
      <c r="E276" s="312" t="s">
        <v>3158</v>
      </c>
      <c r="F276" s="312" t="s">
        <v>3157</v>
      </c>
      <c r="G276" s="44" t="s">
        <v>3156</v>
      </c>
      <c r="H276" s="45" t="str">
        <f t="shared" si="9"/>
        <v>SI</v>
      </c>
      <c r="I276" s="45">
        <f t="shared" si="10"/>
        <v>5</v>
      </c>
      <c r="J276" s="377">
        <f>AVERAGE(I276:I277)</f>
        <v>5</v>
      </c>
      <c r="K276" s="382"/>
      <c r="L276" s="382"/>
    </row>
    <row r="277" spans="1:12" ht="33" customHeight="1" x14ac:dyDescent="0.25">
      <c r="A277" s="245">
        <v>4</v>
      </c>
      <c r="B277" s="245">
        <v>19</v>
      </c>
      <c r="C277" s="368"/>
      <c r="D277" s="363"/>
      <c r="E277" s="77" t="s">
        <v>3159</v>
      </c>
      <c r="F277" s="312" t="s">
        <v>3157</v>
      </c>
      <c r="G277" s="44" t="s">
        <v>3156</v>
      </c>
      <c r="H277" s="45" t="str">
        <f t="shared" si="9"/>
        <v>SI</v>
      </c>
      <c r="I277" s="45">
        <f t="shared" si="10"/>
        <v>5</v>
      </c>
      <c r="J277" s="379"/>
      <c r="K277" s="382"/>
      <c r="L277" s="382"/>
    </row>
    <row r="278" spans="1:12" ht="60" customHeight="1" x14ac:dyDescent="0.25">
      <c r="A278" s="245">
        <v>4</v>
      </c>
      <c r="B278" s="245">
        <v>19</v>
      </c>
      <c r="C278" s="237" t="str">
        <f>Final!E111</f>
        <v>j</v>
      </c>
      <c r="D278" s="362" t="str">
        <f>Final!F111</f>
        <v>Correlación entre la duración prevista para culminar el plan de estudios propuesto por el proyecto curricular y la que realmente tiene lugar , a la luz de un análisis de rendimiento académico por cohortes, acorde con la metodología y el plan de estudios del proyecto curricular.</v>
      </c>
      <c r="E278" s="21" t="s">
        <v>574</v>
      </c>
      <c r="F278" s="248" t="s">
        <v>2870</v>
      </c>
      <c r="G278" s="72" t="s">
        <v>2892</v>
      </c>
      <c r="H278" s="45" t="str">
        <f t="shared" si="9"/>
        <v>SI</v>
      </c>
      <c r="I278" s="45">
        <f t="shared" si="10"/>
        <v>5</v>
      </c>
      <c r="J278" s="377">
        <f>AVERAGE(I278:I279)</f>
        <v>5</v>
      </c>
      <c r="K278" s="382"/>
      <c r="L278" s="382"/>
    </row>
    <row r="279" spans="1:12" ht="40.5" customHeight="1" x14ac:dyDescent="0.25">
      <c r="A279" s="245">
        <v>4</v>
      </c>
      <c r="B279" s="245">
        <v>19</v>
      </c>
      <c r="C279" s="236" t="s">
        <v>177</v>
      </c>
      <c r="D279" s="363"/>
      <c r="E279" s="312" t="s">
        <v>3159</v>
      </c>
      <c r="F279" s="312" t="s">
        <v>3157</v>
      </c>
      <c r="G279" s="44" t="s">
        <v>3156</v>
      </c>
      <c r="H279" s="45" t="str">
        <f t="shared" si="9"/>
        <v>SI</v>
      </c>
      <c r="I279" s="45">
        <f t="shared" si="10"/>
        <v>5</v>
      </c>
      <c r="J279" s="379"/>
      <c r="K279" s="382"/>
      <c r="L279" s="382"/>
    </row>
    <row r="280" spans="1:12" ht="45" x14ac:dyDescent="0.25">
      <c r="A280" s="245">
        <v>4</v>
      </c>
      <c r="B280" s="245">
        <v>19</v>
      </c>
      <c r="C280" s="234" t="str">
        <f>Final!E112</f>
        <v>k</v>
      </c>
      <c r="D280" s="362" t="str">
        <f>Final!F112</f>
        <v>Evidencias de las estrategias y procedimientos que permiten garantizar el éxito académico de los estudiantes en el tiempo previsto para culminar el plan de estudios, atendiendo los estándares de calidad.</v>
      </c>
      <c r="E280" s="21" t="s">
        <v>575</v>
      </c>
      <c r="F280" s="248" t="s">
        <v>2870</v>
      </c>
      <c r="G280" s="72" t="s">
        <v>2892</v>
      </c>
      <c r="H280" s="45" t="str">
        <f t="shared" si="9"/>
        <v>SI</v>
      </c>
      <c r="I280" s="45">
        <f t="shared" si="10"/>
        <v>5</v>
      </c>
      <c r="J280" s="377">
        <f>AVERAGE(I280:I283)</f>
        <v>3.75</v>
      </c>
      <c r="K280" s="382"/>
      <c r="L280" s="382"/>
    </row>
    <row r="281" spans="1:12" x14ac:dyDescent="0.25">
      <c r="A281" s="245">
        <v>4</v>
      </c>
      <c r="B281" s="245">
        <v>19</v>
      </c>
      <c r="C281" s="235" t="s">
        <v>181</v>
      </c>
      <c r="D281" s="364"/>
      <c r="E281" s="312" t="s">
        <v>3159</v>
      </c>
      <c r="F281" s="312" t="s">
        <v>3161</v>
      </c>
      <c r="G281" s="220" t="s">
        <v>3160</v>
      </c>
      <c r="H281" s="45" t="str">
        <f t="shared" si="9"/>
        <v>SI</v>
      </c>
      <c r="I281" s="45">
        <f t="shared" si="10"/>
        <v>5</v>
      </c>
      <c r="J281" s="378"/>
      <c r="K281" s="382"/>
      <c r="L281" s="382"/>
    </row>
    <row r="282" spans="1:12" ht="30" x14ac:dyDescent="0.25">
      <c r="A282" s="245">
        <v>4</v>
      </c>
      <c r="B282" s="245">
        <v>19</v>
      </c>
      <c r="C282" s="235" t="s">
        <v>181</v>
      </c>
      <c r="D282" s="364"/>
      <c r="E282" s="77" t="s">
        <v>92</v>
      </c>
      <c r="F282" s="248" t="s">
        <v>92</v>
      </c>
      <c r="G282" s="72" t="s">
        <v>2872</v>
      </c>
      <c r="H282" s="45" t="str">
        <f t="shared" si="9"/>
        <v>SI</v>
      </c>
      <c r="I282" s="45">
        <f t="shared" si="10"/>
        <v>5</v>
      </c>
      <c r="J282" s="378"/>
      <c r="K282" s="382"/>
      <c r="L282" s="382"/>
    </row>
    <row r="283" spans="1:12" ht="30" x14ac:dyDescent="0.25">
      <c r="A283" s="245">
        <v>4</v>
      </c>
      <c r="B283" s="245">
        <v>19</v>
      </c>
      <c r="C283" s="236" t="s">
        <v>181</v>
      </c>
      <c r="D283" s="363"/>
      <c r="E283" s="77" t="s">
        <v>576</v>
      </c>
      <c r="F283" s="10"/>
      <c r="G283" s="10"/>
      <c r="H283" s="45" t="str">
        <f t="shared" si="9"/>
        <v>NO</v>
      </c>
      <c r="I283" s="45">
        <f t="shared" si="10"/>
        <v>0</v>
      </c>
      <c r="J283" s="379"/>
      <c r="K283" s="382"/>
      <c r="L283" s="382"/>
    </row>
    <row r="284" spans="1:12" ht="45" x14ac:dyDescent="0.25">
      <c r="A284" s="245">
        <v>4</v>
      </c>
      <c r="B284" s="245">
        <v>19</v>
      </c>
      <c r="C284" s="234" t="str">
        <f>Final!E113</f>
        <v>l</v>
      </c>
      <c r="D284" s="362" t="str">
        <f>Final!F113</f>
        <v>Información estadística sobre los rendimientos académicos de la población de estudiantes del proyecto curricular desde el primero hasta el último semestre, en las últimas cinco cohortes</v>
      </c>
      <c r="E284" s="21" t="s">
        <v>575</v>
      </c>
      <c r="F284" s="248" t="s">
        <v>2870</v>
      </c>
      <c r="G284" s="72" t="s">
        <v>2892</v>
      </c>
      <c r="H284" s="45" t="str">
        <f t="shared" ref="H284:H361" si="12">IF((LEN(F284)=$O$4)*OR(LEN(G284)=$O$4),$N$4,IF(EXACT(F284,$N$5),$N$5,$N$3))</f>
        <v>SI</v>
      </c>
      <c r="I284" s="45">
        <f t="shared" ref="I284:I300" si="13">IF(EXACT(H284,$N$3),$O$3,IF(EXACT(H284,$N$5),$N$5,$O$4))</f>
        <v>5</v>
      </c>
      <c r="J284" s="377">
        <f>AVERAGE(I284:I287)</f>
        <v>5</v>
      </c>
      <c r="K284" s="382"/>
      <c r="L284" s="382"/>
    </row>
    <row r="285" spans="1:12" x14ac:dyDescent="0.25">
      <c r="A285" s="245">
        <v>4</v>
      </c>
      <c r="B285" s="245">
        <v>19</v>
      </c>
      <c r="C285" s="235" t="s">
        <v>182</v>
      </c>
      <c r="D285" s="364"/>
      <c r="E285" s="77" t="s">
        <v>573</v>
      </c>
      <c r="F285" s="312" t="s">
        <v>3162</v>
      </c>
      <c r="G285" s="220" t="s">
        <v>3156</v>
      </c>
      <c r="H285" s="45" t="str">
        <f t="shared" si="12"/>
        <v>SI</v>
      </c>
      <c r="I285" s="45">
        <f t="shared" si="13"/>
        <v>5</v>
      </c>
      <c r="J285" s="378"/>
      <c r="K285" s="382"/>
      <c r="L285" s="382"/>
    </row>
    <row r="286" spans="1:12" ht="30" x14ac:dyDescent="0.25">
      <c r="A286" s="245">
        <v>4</v>
      </c>
      <c r="B286" s="245">
        <v>19</v>
      </c>
      <c r="C286" s="235" t="s">
        <v>182</v>
      </c>
      <c r="D286" s="364"/>
      <c r="E286" s="77" t="s">
        <v>92</v>
      </c>
      <c r="F286" s="248" t="s">
        <v>92</v>
      </c>
      <c r="G286" s="72" t="s">
        <v>2872</v>
      </c>
      <c r="H286" s="45" t="str">
        <f t="shared" si="12"/>
        <v>SI</v>
      </c>
      <c r="I286" s="45">
        <f t="shared" si="13"/>
        <v>5</v>
      </c>
      <c r="J286" s="378"/>
      <c r="K286" s="382"/>
      <c r="L286" s="382"/>
    </row>
    <row r="287" spans="1:12" ht="30" x14ac:dyDescent="0.25">
      <c r="A287" s="245">
        <v>4</v>
      </c>
      <c r="B287" s="245">
        <v>19</v>
      </c>
      <c r="C287" s="236" t="s">
        <v>182</v>
      </c>
      <c r="D287" s="363"/>
      <c r="E287" s="77" t="s">
        <v>576</v>
      </c>
      <c r="F287" s="312" t="s">
        <v>3163</v>
      </c>
      <c r="G287" s="220" t="s">
        <v>3156</v>
      </c>
      <c r="H287" s="45" t="str">
        <f t="shared" si="12"/>
        <v>SI</v>
      </c>
      <c r="I287" s="45">
        <f t="shared" si="13"/>
        <v>5</v>
      </c>
      <c r="J287" s="379"/>
      <c r="K287" s="382"/>
      <c r="L287" s="382"/>
    </row>
    <row r="288" spans="1:12" ht="75" x14ac:dyDescent="0.25">
      <c r="A288" s="245">
        <v>4</v>
      </c>
      <c r="B288" s="245">
        <v>19</v>
      </c>
      <c r="C288" s="52" t="str">
        <f>Final!E114</f>
        <v>m</v>
      </c>
      <c r="D288" s="21" t="str">
        <f>Final!F114</f>
        <v>Apreciación de profesores y estudiantes sobre la correspondencia entre las condiciones y exigencias académicas de permanencia y graduación en el proyecto curricular, y la naturaleza del mismo.</v>
      </c>
      <c r="E288" s="21" t="s">
        <v>49</v>
      </c>
      <c r="F288" s="105" t="s">
        <v>64</v>
      </c>
      <c r="G288" s="10"/>
      <c r="H288" s="45" t="str">
        <f t="shared" si="12"/>
        <v>NA</v>
      </c>
      <c r="I288" s="45" t="str">
        <f t="shared" si="13"/>
        <v>NA</v>
      </c>
      <c r="J288" s="105" t="str">
        <f>IF(EXACT(I288,$N$3),$O$3,IF(EXACT(I288,$N$5),$N$5,$O$4))</f>
        <v>NA</v>
      </c>
      <c r="K288" s="382"/>
      <c r="L288" s="382"/>
    </row>
    <row r="289" spans="1:12" ht="45" x14ac:dyDescent="0.25">
      <c r="A289" s="245">
        <v>4</v>
      </c>
      <c r="B289" s="245">
        <v>19</v>
      </c>
      <c r="C289" s="234" t="str">
        <f>Final!E115</f>
        <v>n</v>
      </c>
      <c r="D289" s="362" t="str">
        <f>Final!F115</f>
        <v>Existencia de mecanismos de seguimiento, acompañamiento especial a estudiantes admitidos en condición de vulnerabilidad y discapacidad.</v>
      </c>
      <c r="E289" s="21" t="s">
        <v>577</v>
      </c>
      <c r="F289" s="300" t="s">
        <v>2870</v>
      </c>
      <c r="G289" s="72" t="s">
        <v>2892</v>
      </c>
      <c r="H289" s="45" t="str">
        <f t="shared" si="12"/>
        <v>SI</v>
      </c>
      <c r="I289" s="45">
        <f t="shared" si="13"/>
        <v>5</v>
      </c>
      <c r="J289" s="377">
        <f>AVERAGE(I289:I292)</f>
        <v>5</v>
      </c>
      <c r="K289" s="382"/>
      <c r="L289" s="382"/>
    </row>
    <row r="290" spans="1:12" x14ac:dyDescent="0.25">
      <c r="A290" s="245">
        <v>4</v>
      </c>
      <c r="B290" s="245">
        <v>19</v>
      </c>
      <c r="C290" s="235" t="s">
        <v>184</v>
      </c>
      <c r="D290" s="364"/>
      <c r="E290" s="77" t="s">
        <v>573</v>
      </c>
      <c r="F290" s="300" t="s">
        <v>3164</v>
      </c>
      <c r="G290" s="220" t="s">
        <v>3165</v>
      </c>
      <c r="H290" s="45" t="str">
        <f t="shared" si="12"/>
        <v>SI</v>
      </c>
      <c r="I290" s="45">
        <f t="shared" si="13"/>
        <v>5</v>
      </c>
      <c r="J290" s="378"/>
      <c r="K290" s="382"/>
      <c r="L290" s="382"/>
    </row>
    <row r="291" spans="1:12" ht="30" x14ac:dyDescent="0.25">
      <c r="A291" s="245">
        <v>4</v>
      </c>
      <c r="B291" s="245">
        <v>19</v>
      </c>
      <c r="C291" s="235" t="s">
        <v>184</v>
      </c>
      <c r="D291" s="364"/>
      <c r="E291" s="77" t="s">
        <v>92</v>
      </c>
      <c r="F291" s="248" t="s">
        <v>92</v>
      </c>
      <c r="G291" s="72" t="s">
        <v>2872</v>
      </c>
      <c r="H291" s="45" t="str">
        <f t="shared" si="12"/>
        <v>SI</v>
      </c>
      <c r="I291" s="45">
        <f t="shared" si="13"/>
        <v>5</v>
      </c>
      <c r="J291" s="378"/>
      <c r="K291" s="382"/>
      <c r="L291" s="382"/>
    </row>
    <row r="292" spans="1:12" ht="30" x14ac:dyDescent="0.25">
      <c r="A292" s="245">
        <v>4</v>
      </c>
      <c r="B292" s="245">
        <v>19</v>
      </c>
      <c r="C292" s="236" t="s">
        <v>184</v>
      </c>
      <c r="D292" s="363"/>
      <c r="E292" s="77" t="s">
        <v>576</v>
      </c>
      <c r="F292" s="312" t="s">
        <v>3166</v>
      </c>
      <c r="G292" s="312" t="s">
        <v>3167</v>
      </c>
      <c r="H292" s="45" t="str">
        <f t="shared" si="12"/>
        <v>SI</v>
      </c>
      <c r="I292" s="45">
        <f t="shared" si="13"/>
        <v>5</v>
      </c>
      <c r="J292" s="379"/>
      <c r="K292" s="382"/>
      <c r="L292" s="382"/>
    </row>
    <row r="293" spans="1:12" ht="45" x14ac:dyDescent="0.25">
      <c r="A293" s="245">
        <v>4</v>
      </c>
      <c r="B293" s="245">
        <v>19</v>
      </c>
      <c r="C293" s="234" t="str">
        <f>Final!E116</f>
        <v>o</v>
      </c>
      <c r="D293" s="362" t="str">
        <f>Final!F116</f>
        <v>Existencia de adecuaciones locativas para facilitar el óptimo desempeño de estudiantes admitidos en condición de vulnerabilidad y discapacidad</v>
      </c>
      <c r="E293" s="21" t="s">
        <v>578</v>
      </c>
      <c r="F293" s="248" t="s">
        <v>2870</v>
      </c>
      <c r="G293" s="72" t="s">
        <v>2892</v>
      </c>
      <c r="H293" s="45" t="str">
        <f t="shared" si="12"/>
        <v>SI</v>
      </c>
      <c r="I293" s="45">
        <f t="shared" si="13"/>
        <v>5</v>
      </c>
      <c r="J293" s="381">
        <f>AVERAGE(I293:I295)</f>
        <v>3.3333333333333335</v>
      </c>
      <c r="K293" s="382"/>
      <c r="L293" s="382"/>
    </row>
    <row r="294" spans="1:12" ht="30" x14ac:dyDescent="0.25">
      <c r="A294" s="245">
        <v>4</v>
      </c>
      <c r="B294" s="245">
        <v>19</v>
      </c>
      <c r="C294" s="235" t="s">
        <v>213</v>
      </c>
      <c r="D294" s="364"/>
      <c r="E294" s="77" t="s">
        <v>92</v>
      </c>
      <c r="F294" s="248" t="s">
        <v>92</v>
      </c>
      <c r="G294" s="72" t="s">
        <v>2872</v>
      </c>
      <c r="H294" s="45" t="str">
        <f t="shared" si="12"/>
        <v>SI</v>
      </c>
      <c r="I294" s="45">
        <f t="shared" si="13"/>
        <v>5</v>
      </c>
      <c r="J294" s="382"/>
      <c r="K294" s="382"/>
      <c r="L294" s="382"/>
    </row>
    <row r="295" spans="1:12" ht="30" x14ac:dyDescent="0.25">
      <c r="A295" s="245">
        <v>4</v>
      </c>
      <c r="B295" s="245">
        <v>19</v>
      </c>
      <c r="C295" s="236" t="s">
        <v>213</v>
      </c>
      <c r="D295" s="363"/>
      <c r="E295" s="77" t="s">
        <v>576</v>
      </c>
      <c r="F295" s="10"/>
      <c r="G295" s="10"/>
      <c r="H295" s="45" t="str">
        <f t="shared" si="12"/>
        <v>NO</v>
      </c>
      <c r="I295" s="45">
        <f t="shared" si="13"/>
        <v>0</v>
      </c>
      <c r="J295" s="383"/>
      <c r="K295" s="383"/>
      <c r="L295" s="382"/>
    </row>
    <row r="296" spans="1:12" x14ac:dyDescent="0.25">
      <c r="A296" s="245">
        <v>4</v>
      </c>
      <c r="B296" s="245">
        <v>20</v>
      </c>
      <c r="C296" s="234" t="str">
        <f>Final!E117</f>
        <v>a</v>
      </c>
      <c r="D296" s="362" t="str">
        <f>Final!F117</f>
        <v>Aplicación y divulgación de los criterios, políticas y reglamentaciones institucionales y del proyecto curricular en materia de evaluación académica de los estudiantes.</v>
      </c>
      <c r="E296" s="21" t="s">
        <v>579</v>
      </c>
      <c r="F296" s="248" t="s">
        <v>844</v>
      </c>
      <c r="G296" s="72" t="s">
        <v>459</v>
      </c>
      <c r="H296" s="45" t="str">
        <f t="shared" si="12"/>
        <v>SI</v>
      </c>
      <c r="I296" s="45">
        <f t="shared" si="13"/>
        <v>5</v>
      </c>
      <c r="J296" s="377">
        <f>AVERAGE(I296:I299)</f>
        <v>5</v>
      </c>
      <c r="K296" s="377">
        <f>AVERAGE(J296:J312)</f>
        <v>5</v>
      </c>
      <c r="L296" s="382"/>
    </row>
    <row r="297" spans="1:12" ht="45" x14ac:dyDescent="0.25">
      <c r="A297" s="245">
        <v>4</v>
      </c>
      <c r="B297" s="245">
        <v>20</v>
      </c>
      <c r="C297" s="235" t="s">
        <v>55</v>
      </c>
      <c r="D297" s="364"/>
      <c r="E297" s="77" t="s">
        <v>580</v>
      </c>
      <c r="F297" s="248" t="s">
        <v>2870</v>
      </c>
      <c r="G297" s="72" t="s">
        <v>2892</v>
      </c>
      <c r="H297" s="45" t="str">
        <f t="shared" si="12"/>
        <v>SI</v>
      </c>
      <c r="I297" s="45">
        <f t="shared" si="13"/>
        <v>5</v>
      </c>
      <c r="J297" s="378"/>
      <c r="K297" s="378"/>
      <c r="L297" s="382"/>
    </row>
    <row r="298" spans="1:12" ht="30" x14ac:dyDescent="0.25">
      <c r="A298" s="245">
        <v>4</v>
      </c>
      <c r="B298" s="245">
        <v>20</v>
      </c>
      <c r="C298" s="256" t="s">
        <v>55</v>
      </c>
      <c r="D298" s="364"/>
      <c r="E298" s="248" t="s">
        <v>2931</v>
      </c>
      <c r="F298" s="248" t="s">
        <v>2933</v>
      </c>
      <c r="G298" s="72" t="s">
        <v>2932</v>
      </c>
      <c r="H298" s="105" t="str">
        <f>IF((LEN(F298)=$O$4)*OR(LEN(G298)=$O$4),$N$4,IF(EXACT(F298,$N$5),$N$5,$N$3))</f>
        <v>SI</v>
      </c>
      <c r="I298" s="105">
        <f t="shared" si="13"/>
        <v>5</v>
      </c>
      <c r="J298" s="378"/>
      <c r="K298" s="378"/>
      <c r="L298" s="382"/>
    </row>
    <row r="299" spans="1:12" ht="30" x14ac:dyDescent="0.25">
      <c r="A299" s="245">
        <v>4</v>
      </c>
      <c r="B299" s="245">
        <v>20</v>
      </c>
      <c r="C299" s="236" t="s">
        <v>55</v>
      </c>
      <c r="D299" s="363"/>
      <c r="E299" s="248" t="s">
        <v>2930</v>
      </c>
      <c r="F299" s="248" t="s">
        <v>2934</v>
      </c>
      <c r="G299" s="72" t="s">
        <v>2935</v>
      </c>
      <c r="H299" s="45" t="str">
        <f t="shared" si="12"/>
        <v>SI</v>
      </c>
      <c r="I299" s="45">
        <f t="shared" si="13"/>
        <v>5</v>
      </c>
      <c r="J299" s="379"/>
      <c r="K299" s="378"/>
      <c r="L299" s="382"/>
    </row>
    <row r="300" spans="1:12" ht="60" customHeight="1" x14ac:dyDescent="0.25">
      <c r="A300" s="245">
        <v>4</v>
      </c>
      <c r="B300" s="245">
        <v>20</v>
      </c>
      <c r="C300" s="234" t="str">
        <f>Final!E118</f>
        <v>b</v>
      </c>
      <c r="D300" s="362" t="str">
        <f>Final!F118</f>
        <v>Correspondencia entre las formas de evaluación de los aprendizajes, los propósitos de formación y los perfiles de egreso definidos por el proyecto curricular</v>
      </c>
      <c r="E300" s="248" t="s">
        <v>580</v>
      </c>
      <c r="F300" s="248" t="s">
        <v>2870</v>
      </c>
      <c r="G300" s="72" t="s">
        <v>2892</v>
      </c>
      <c r="H300" s="45" t="str">
        <f t="shared" si="12"/>
        <v>SI</v>
      </c>
      <c r="I300" s="45">
        <f t="shared" si="13"/>
        <v>5</v>
      </c>
      <c r="J300" s="377">
        <f>AVERAGE(I300:I302)</f>
        <v>5</v>
      </c>
      <c r="K300" s="378"/>
      <c r="L300" s="382"/>
    </row>
    <row r="301" spans="1:12" ht="60" customHeight="1" x14ac:dyDescent="0.25">
      <c r="A301" s="245"/>
      <c r="B301" s="245"/>
      <c r="C301" s="250"/>
      <c r="D301" s="364"/>
      <c r="E301" s="248" t="s">
        <v>2931</v>
      </c>
      <c r="F301" s="248" t="s">
        <v>2933</v>
      </c>
      <c r="G301" s="72" t="s">
        <v>2932</v>
      </c>
      <c r="H301" s="105"/>
      <c r="I301" s="105"/>
      <c r="J301" s="378"/>
      <c r="K301" s="378"/>
      <c r="L301" s="382"/>
    </row>
    <row r="302" spans="1:12" ht="30" x14ac:dyDescent="0.25">
      <c r="A302" s="245">
        <v>4</v>
      </c>
      <c r="B302" s="245">
        <v>20</v>
      </c>
      <c r="C302" s="236" t="s">
        <v>56</v>
      </c>
      <c r="D302" s="363"/>
      <c r="E302" s="248" t="s">
        <v>2930</v>
      </c>
      <c r="F302" s="248" t="s">
        <v>2934</v>
      </c>
      <c r="G302" s="72" t="s">
        <v>2935</v>
      </c>
      <c r="H302" s="45" t="str">
        <f t="shared" si="12"/>
        <v>SI</v>
      </c>
      <c r="I302" s="45">
        <f t="shared" ref="I302:I309" si="14">IF(EXACT(H302,$N$3),$O$3,IF(EXACT(H302,$N$5),$N$5,$O$4))</f>
        <v>5</v>
      </c>
      <c r="J302" s="379"/>
      <c r="K302" s="378"/>
      <c r="L302" s="382"/>
    </row>
    <row r="303" spans="1:12" ht="90" x14ac:dyDescent="0.25">
      <c r="A303" s="245">
        <v>4</v>
      </c>
      <c r="B303" s="245">
        <v>20</v>
      </c>
      <c r="C303" s="52" t="str">
        <f>Final!E119</f>
        <v>c</v>
      </c>
      <c r="D303" s="21" t="str">
        <f>Final!F119</f>
        <v>Apreciación de directivos, profesores y estudiantes del proyecto curricular sobre la correspondencia entre las formas de evaluación académica de los estudiantes, la naturaleza del mismo y los métodos pedagógicos empleados para su desarrollo.</v>
      </c>
      <c r="E303" s="21" t="s">
        <v>2941</v>
      </c>
      <c r="F303" s="105" t="s">
        <v>64</v>
      </c>
      <c r="G303" s="10"/>
      <c r="H303" s="45" t="str">
        <f t="shared" si="12"/>
        <v>NA</v>
      </c>
      <c r="I303" s="45" t="str">
        <f t="shared" si="14"/>
        <v>NA</v>
      </c>
      <c r="J303" s="100" t="s">
        <v>64</v>
      </c>
      <c r="K303" s="378"/>
      <c r="L303" s="382"/>
    </row>
    <row r="304" spans="1:12" ht="75" x14ac:dyDescent="0.25">
      <c r="A304" s="245">
        <v>4</v>
      </c>
      <c r="B304" s="245">
        <v>20</v>
      </c>
      <c r="C304" s="52" t="str">
        <f>Final!E120</f>
        <v>d</v>
      </c>
      <c r="D304" s="21" t="str">
        <f>Final!F120</f>
        <v>Apreciación de los estudiantes acerca de la utilidad del sistema de evaluación académica en la adquisición de competencias, tales como las actitudes, los conocimientos, las capacidades y las habilidades propias del proyecto curricular.</v>
      </c>
      <c r="E304" s="248" t="s">
        <v>2941</v>
      </c>
      <c r="F304" s="105" t="s">
        <v>64</v>
      </c>
      <c r="G304" s="10"/>
      <c r="H304" s="45" t="str">
        <f t="shared" si="12"/>
        <v>NA</v>
      </c>
      <c r="I304" s="45" t="str">
        <f t="shared" si="14"/>
        <v>NA</v>
      </c>
      <c r="J304" s="100" t="s">
        <v>64</v>
      </c>
      <c r="K304" s="378"/>
      <c r="L304" s="382"/>
    </row>
    <row r="305" spans="1:12" ht="46.5" customHeight="1" x14ac:dyDescent="0.25">
      <c r="A305" s="245">
        <v>4</v>
      </c>
      <c r="B305" s="245">
        <v>20</v>
      </c>
      <c r="C305" s="234" t="str">
        <f>Final!E121</f>
        <v>e</v>
      </c>
      <c r="D305" s="362" t="str">
        <f>Final!F121</f>
        <v>Existencia y aplicación de criterios y procedimientos orientados a la evaluación de competencias especialmente actitudes, conocimientos, capacidades y habilidades, y de las estrategias de retroalimentación de la actividad académica de los estudiantes.</v>
      </c>
      <c r="E305" s="248" t="s">
        <v>2870</v>
      </c>
      <c r="F305" s="248" t="s">
        <v>2870</v>
      </c>
      <c r="G305" s="72" t="s">
        <v>2892</v>
      </c>
      <c r="H305" s="45" t="str">
        <f t="shared" si="12"/>
        <v>SI</v>
      </c>
      <c r="I305" s="45">
        <f t="shared" si="14"/>
        <v>5</v>
      </c>
      <c r="J305" s="377">
        <f>AVERAGE(I305:I308)</f>
        <v>5</v>
      </c>
      <c r="K305" s="378"/>
      <c r="L305" s="382"/>
    </row>
    <row r="306" spans="1:12" ht="46.5" customHeight="1" x14ac:dyDescent="0.25">
      <c r="A306" s="245"/>
      <c r="B306" s="245"/>
      <c r="C306" s="250"/>
      <c r="D306" s="364"/>
      <c r="E306" s="248" t="s">
        <v>2931</v>
      </c>
      <c r="F306" s="248" t="s">
        <v>2933</v>
      </c>
      <c r="G306" s="72" t="s">
        <v>2932</v>
      </c>
      <c r="H306" s="105" t="str">
        <f>IF((LEN(F306)=$O$4)*OR(LEN(G306)=$O$4),$N$4,IF(EXACT(F306,$N$5),$N$5,$N$3))</f>
        <v>SI</v>
      </c>
      <c r="I306" s="105">
        <f t="shared" si="14"/>
        <v>5</v>
      </c>
      <c r="J306" s="378"/>
      <c r="K306" s="378"/>
      <c r="L306" s="382"/>
    </row>
    <row r="307" spans="1:12" ht="27.75" customHeight="1" x14ac:dyDescent="0.25">
      <c r="A307" s="245">
        <v>4</v>
      </c>
      <c r="B307" s="245">
        <v>20</v>
      </c>
      <c r="C307" s="235" t="s">
        <v>87</v>
      </c>
      <c r="D307" s="364"/>
      <c r="E307" s="248" t="s">
        <v>2934</v>
      </c>
      <c r="F307" s="248" t="s">
        <v>2934</v>
      </c>
      <c r="G307" s="72" t="s">
        <v>2935</v>
      </c>
      <c r="H307" s="45" t="str">
        <f t="shared" si="12"/>
        <v>SI</v>
      </c>
      <c r="I307" s="45">
        <f t="shared" si="14"/>
        <v>5</v>
      </c>
      <c r="J307" s="378"/>
      <c r="K307" s="378"/>
      <c r="L307" s="382"/>
    </row>
    <row r="308" spans="1:12" ht="27.75" customHeight="1" x14ac:dyDescent="0.25">
      <c r="A308" s="245">
        <v>4</v>
      </c>
      <c r="B308" s="245">
        <v>20</v>
      </c>
      <c r="C308" s="236" t="s">
        <v>87</v>
      </c>
      <c r="D308" s="363"/>
      <c r="E308" s="248" t="s">
        <v>92</v>
      </c>
      <c r="F308" s="248" t="s">
        <v>92</v>
      </c>
      <c r="G308" s="72" t="s">
        <v>2872</v>
      </c>
      <c r="H308" s="45" t="str">
        <f t="shared" si="12"/>
        <v>SI</v>
      </c>
      <c r="I308" s="45">
        <f t="shared" si="14"/>
        <v>5</v>
      </c>
      <c r="J308" s="379"/>
      <c r="K308" s="378"/>
      <c r="L308" s="382"/>
    </row>
    <row r="309" spans="1:12" ht="45" x14ac:dyDescent="0.25">
      <c r="A309" s="245">
        <v>4</v>
      </c>
      <c r="B309" s="245">
        <v>20</v>
      </c>
      <c r="C309" s="234" t="str">
        <f>Final!E122</f>
        <v>f</v>
      </c>
      <c r="D309" s="362" t="str">
        <f>Final!F122</f>
        <v>Existencia y aplicación de criterios y procedimientos para la revisión, actualización y seguimiento a los sistemas de evaluación académica de los estudiantes.</v>
      </c>
      <c r="E309" s="248" t="s">
        <v>2870</v>
      </c>
      <c r="F309" s="248" t="s">
        <v>2870</v>
      </c>
      <c r="G309" s="72" t="s">
        <v>2892</v>
      </c>
      <c r="H309" s="45" t="str">
        <f t="shared" si="12"/>
        <v>SI</v>
      </c>
      <c r="I309" s="45">
        <f t="shared" si="14"/>
        <v>5</v>
      </c>
      <c r="J309" s="377">
        <f>AVERAGE(I309:I312)</f>
        <v>5</v>
      </c>
      <c r="K309" s="378"/>
      <c r="L309" s="382"/>
    </row>
    <row r="310" spans="1:12" ht="30" x14ac:dyDescent="0.25">
      <c r="A310" s="245"/>
      <c r="B310" s="245"/>
      <c r="C310" s="250"/>
      <c r="D310" s="364"/>
      <c r="E310" s="248" t="s">
        <v>2931</v>
      </c>
      <c r="F310" s="248" t="s">
        <v>2933</v>
      </c>
      <c r="G310" s="72" t="s">
        <v>2932</v>
      </c>
      <c r="H310" s="105"/>
      <c r="I310" s="105"/>
      <c r="J310" s="378"/>
      <c r="K310" s="378"/>
      <c r="L310" s="382"/>
    </row>
    <row r="311" spans="1:12" ht="45" x14ac:dyDescent="0.25">
      <c r="A311" s="245">
        <v>4</v>
      </c>
      <c r="B311" s="245">
        <v>20</v>
      </c>
      <c r="C311" s="235" t="s">
        <v>88</v>
      </c>
      <c r="D311" s="364"/>
      <c r="E311" s="248" t="s">
        <v>2934</v>
      </c>
      <c r="F311" s="248" t="s">
        <v>2934</v>
      </c>
      <c r="G311" s="72" t="s">
        <v>2935</v>
      </c>
      <c r="H311" s="45" t="str">
        <f t="shared" si="12"/>
        <v>SI</v>
      </c>
      <c r="I311" s="45">
        <f>IF(EXACT(H311,$N$3),$O$3,IF(EXACT(H311,$N$5),$N$5,$O$4))</f>
        <v>5</v>
      </c>
      <c r="J311" s="378"/>
      <c r="K311" s="378"/>
      <c r="L311" s="382"/>
    </row>
    <row r="312" spans="1:12" ht="30" x14ac:dyDescent="0.25">
      <c r="A312" s="245">
        <v>4</v>
      </c>
      <c r="B312" s="245">
        <v>20</v>
      </c>
      <c r="C312" s="236" t="s">
        <v>88</v>
      </c>
      <c r="D312" s="363"/>
      <c r="E312" s="248" t="s">
        <v>92</v>
      </c>
      <c r="F312" s="248" t="s">
        <v>92</v>
      </c>
      <c r="G312" s="72" t="s">
        <v>2872</v>
      </c>
      <c r="H312" s="45" t="str">
        <f t="shared" si="12"/>
        <v>SI</v>
      </c>
      <c r="I312" s="45">
        <f>IF(EXACT(H312,$N$3),$O$3,IF(EXACT(H312,$N$5),$N$5,$O$4))</f>
        <v>5</v>
      </c>
      <c r="J312" s="379"/>
      <c r="K312" s="379"/>
      <c r="L312" s="382"/>
    </row>
    <row r="313" spans="1:12" ht="37.5" customHeight="1" x14ac:dyDescent="0.25">
      <c r="A313" s="245">
        <v>4</v>
      </c>
      <c r="B313" s="245">
        <v>21</v>
      </c>
      <c r="C313" s="234" t="str">
        <f>Final!E123</f>
        <v>a</v>
      </c>
      <c r="D313" s="362" t="str">
        <f>Final!F123</f>
        <v>Correspondencia entre el tipo de trabajos y actividades realizados por los estudiantes respecto a los objetivos, perfil del egresado, competencias y modalidad del proyecto curricular.</v>
      </c>
      <c r="E313" s="248" t="s">
        <v>2870</v>
      </c>
      <c r="F313" s="248" t="s">
        <v>2870</v>
      </c>
      <c r="G313" s="72" t="s">
        <v>2892</v>
      </c>
      <c r="H313" s="45" t="str">
        <f t="shared" si="12"/>
        <v>SI</v>
      </c>
      <c r="I313" s="45">
        <f>IF(EXACT(H313,$N$3),$O$3,IF(EXACT(H313,$N$5),$N$5,$O$4))</f>
        <v>5</v>
      </c>
      <c r="J313" s="377">
        <f>AVERAGE(I313:I317)</f>
        <v>3.75</v>
      </c>
      <c r="K313" s="381">
        <f>AVERAGE(J313:J328)</f>
        <v>4.166666666666667</v>
      </c>
      <c r="L313" s="382"/>
    </row>
    <row r="314" spans="1:12" ht="30" x14ac:dyDescent="0.25">
      <c r="A314" s="245"/>
      <c r="B314" s="245"/>
      <c r="C314" s="250"/>
      <c r="D314" s="364"/>
      <c r="E314" s="248" t="s">
        <v>2931</v>
      </c>
      <c r="F314" s="248" t="s">
        <v>2933</v>
      </c>
      <c r="G314" s="72" t="s">
        <v>2932</v>
      </c>
      <c r="H314" s="105"/>
      <c r="I314" s="105"/>
      <c r="J314" s="378"/>
      <c r="K314" s="382"/>
      <c r="L314" s="382"/>
    </row>
    <row r="315" spans="1:12" ht="45" x14ac:dyDescent="0.25">
      <c r="A315" s="245">
        <v>4</v>
      </c>
      <c r="B315" s="245">
        <v>21</v>
      </c>
      <c r="C315" s="235" t="s">
        <v>55</v>
      </c>
      <c r="D315" s="364"/>
      <c r="E315" s="248" t="s">
        <v>2934</v>
      </c>
      <c r="F315" s="248" t="s">
        <v>2934</v>
      </c>
      <c r="G315" s="72" t="s">
        <v>2935</v>
      </c>
      <c r="H315" s="45" t="str">
        <f t="shared" si="12"/>
        <v>SI</v>
      </c>
      <c r="I315" s="45">
        <f t="shared" ref="I315:J323" si="15">IF(EXACT(H315,$N$3),$O$3,IF(EXACT(H315,$N$5),$N$5,$O$4))</f>
        <v>5</v>
      </c>
      <c r="J315" s="378"/>
      <c r="K315" s="382"/>
      <c r="L315" s="382"/>
    </row>
    <row r="316" spans="1:12" ht="30" x14ac:dyDescent="0.25">
      <c r="A316" s="245">
        <v>4</v>
      </c>
      <c r="B316" s="245">
        <v>21</v>
      </c>
      <c r="C316" s="235" t="s">
        <v>55</v>
      </c>
      <c r="D316" s="364"/>
      <c r="E316" s="248" t="s">
        <v>92</v>
      </c>
      <c r="F316" s="248" t="s">
        <v>92</v>
      </c>
      <c r="G316" s="72" t="s">
        <v>2872</v>
      </c>
      <c r="H316" s="45" t="str">
        <f t="shared" si="12"/>
        <v>SI</v>
      </c>
      <c r="I316" s="45">
        <f t="shared" si="15"/>
        <v>5</v>
      </c>
      <c r="J316" s="378"/>
      <c r="K316" s="382"/>
      <c r="L316" s="382"/>
    </row>
    <row r="317" spans="1:12" x14ac:dyDescent="0.25">
      <c r="A317" s="245">
        <v>4</v>
      </c>
      <c r="B317" s="245">
        <v>21</v>
      </c>
      <c r="C317" s="236" t="s">
        <v>55</v>
      </c>
      <c r="D317" s="363"/>
      <c r="E317" s="248" t="s">
        <v>2941</v>
      </c>
      <c r="F317" s="10"/>
      <c r="G317" s="10"/>
      <c r="H317" s="105" t="str">
        <f t="shared" si="12"/>
        <v>NO</v>
      </c>
      <c r="I317" s="45">
        <f t="shared" si="15"/>
        <v>0</v>
      </c>
      <c r="J317" s="379"/>
      <c r="K317" s="382"/>
      <c r="L317" s="382"/>
    </row>
    <row r="318" spans="1:12" ht="36.75" customHeight="1" x14ac:dyDescent="0.25">
      <c r="A318" s="245">
        <v>4</v>
      </c>
      <c r="B318" s="245">
        <v>21</v>
      </c>
      <c r="C318" s="234" t="str">
        <f>Final!E124</f>
        <v>b</v>
      </c>
      <c r="D318" s="362" t="str">
        <f>Final!F124</f>
        <v>Criterios y estrategias aplicados en el proyecto curricular para la definición de los tiempos de trabajo de los estudiantes y profesores, en coherencia con el sistema de créditos, teniendo en cuenta lo definido para valorar el trabajo directo, el colaborativo y el autónomo.</v>
      </c>
      <c r="E318" s="248" t="s">
        <v>2870</v>
      </c>
      <c r="F318" s="248" t="s">
        <v>2870</v>
      </c>
      <c r="G318" s="72" t="s">
        <v>2892</v>
      </c>
      <c r="H318" s="45" t="str">
        <f t="shared" si="12"/>
        <v>SI</v>
      </c>
      <c r="I318" s="45">
        <f t="shared" si="15"/>
        <v>5</v>
      </c>
      <c r="J318" s="377">
        <f>AVERAGE(I318:I321)</f>
        <v>5</v>
      </c>
      <c r="K318" s="382"/>
      <c r="L318" s="382"/>
    </row>
    <row r="319" spans="1:12" ht="30" x14ac:dyDescent="0.25">
      <c r="A319" s="245">
        <v>4</v>
      </c>
      <c r="B319" s="245">
        <v>21</v>
      </c>
      <c r="C319" s="250" t="s">
        <v>56</v>
      </c>
      <c r="D319" s="364"/>
      <c r="E319" s="248" t="s">
        <v>2931</v>
      </c>
      <c r="F319" s="248" t="s">
        <v>2933</v>
      </c>
      <c r="G319" s="72" t="s">
        <v>2932</v>
      </c>
      <c r="H319" s="105" t="str">
        <f>IF((LEN(F319)=$O$4)*OR(LEN(G319)=$O$4),$N$4,IF(EXACT(F319,$N$5),$N$5,$N$3))</f>
        <v>SI</v>
      </c>
      <c r="I319" s="105">
        <f t="shared" si="15"/>
        <v>5</v>
      </c>
      <c r="J319" s="378"/>
      <c r="K319" s="382"/>
      <c r="L319" s="382"/>
    </row>
    <row r="320" spans="1:12" ht="28.5" customHeight="1" x14ac:dyDescent="0.25">
      <c r="A320" s="245">
        <v>4</v>
      </c>
      <c r="B320" s="245">
        <v>21</v>
      </c>
      <c r="C320" s="235" t="s">
        <v>56</v>
      </c>
      <c r="D320" s="364"/>
      <c r="E320" s="248" t="s">
        <v>2930</v>
      </c>
      <c r="F320" s="248" t="s">
        <v>2934</v>
      </c>
      <c r="G320" s="72" t="s">
        <v>2935</v>
      </c>
      <c r="H320" s="45" t="str">
        <f t="shared" si="12"/>
        <v>SI</v>
      </c>
      <c r="I320" s="45">
        <f t="shared" si="15"/>
        <v>5</v>
      </c>
      <c r="J320" s="378"/>
      <c r="K320" s="382"/>
      <c r="L320" s="382"/>
    </row>
    <row r="321" spans="1:12" ht="27.75" customHeight="1" x14ac:dyDescent="0.25">
      <c r="A321" s="245">
        <v>4</v>
      </c>
      <c r="B321" s="245">
        <v>21</v>
      </c>
      <c r="C321" s="236" t="s">
        <v>56</v>
      </c>
      <c r="D321" s="363"/>
      <c r="E321" s="77" t="s">
        <v>92</v>
      </c>
      <c r="F321" s="248" t="s">
        <v>92</v>
      </c>
      <c r="G321" s="72" t="s">
        <v>2872</v>
      </c>
      <c r="H321" s="45" t="str">
        <f t="shared" si="12"/>
        <v>SI</v>
      </c>
      <c r="I321" s="45">
        <f t="shared" si="15"/>
        <v>5</v>
      </c>
      <c r="J321" s="379"/>
      <c r="K321" s="382"/>
      <c r="L321" s="382"/>
    </row>
    <row r="322" spans="1:12" ht="98.1" customHeight="1" x14ac:dyDescent="0.25">
      <c r="A322" s="245">
        <v>4</v>
      </c>
      <c r="B322" s="245">
        <v>21</v>
      </c>
      <c r="C322" s="52" t="str">
        <f>Final!E125</f>
        <v>c</v>
      </c>
      <c r="D322" s="21" t="str">
        <f>Final!F125</f>
        <v>Apreciación de directivos y profesores adscritos al proyecto curricular sobre la correspondencia entre la calidad de los trabajos realizados por los estudiantes y los objetivos de logro, incluyendo la formación personal), definidos por el mismo.</v>
      </c>
      <c r="E322" s="21" t="s">
        <v>2941</v>
      </c>
      <c r="F322" s="105" t="s">
        <v>64</v>
      </c>
      <c r="G322" s="10"/>
      <c r="H322" s="105" t="str">
        <f t="shared" si="12"/>
        <v>NA</v>
      </c>
      <c r="I322" s="105" t="str">
        <f t="shared" si="15"/>
        <v>NA</v>
      </c>
      <c r="J322" s="105" t="str">
        <f t="shared" si="15"/>
        <v>NA</v>
      </c>
      <c r="K322" s="382"/>
      <c r="L322" s="382"/>
    </row>
    <row r="323" spans="1:12" ht="36" customHeight="1" x14ac:dyDescent="0.25">
      <c r="A323" s="245">
        <v>4</v>
      </c>
      <c r="B323" s="245">
        <v>21</v>
      </c>
      <c r="C323" s="234" t="str">
        <f>Final!E126</f>
        <v>d</v>
      </c>
      <c r="D323" s="362" t="str">
        <f>Final!F126</f>
        <v>Correspondencia entre las actividades y trabajos realizados por los estudiantes y las formas de evaluación por competencias especialmente en actitudes, conocimientos, capacidades y habilidades, según la naturaleza del proyecto curricular y los métodos pedagógicos empleados para desarrollar los diversos procesos de formación.</v>
      </c>
      <c r="E323" s="248" t="s">
        <v>581</v>
      </c>
      <c r="F323" s="248" t="s">
        <v>2870</v>
      </c>
      <c r="G323" s="72" t="s">
        <v>2892</v>
      </c>
      <c r="H323" s="45" t="str">
        <f t="shared" si="12"/>
        <v>SI</v>
      </c>
      <c r="I323" s="45">
        <f t="shared" si="15"/>
        <v>5</v>
      </c>
      <c r="J323" s="377">
        <f>AVERAGE(I323:I327)</f>
        <v>3.75</v>
      </c>
      <c r="K323" s="382"/>
      <c r="L323" s="382"/>
    </row>
    <row r="324" spans="1:12" ht="30" x14ac:dyDescent="0.25">
      <c r="A324" s="245">
        <v>4</v>
      </c>
      <c r="B324" s="245">
        <v>21</v>
      </c>
      <c r="C324" s="246" t="str">
        <f>Final!E127</f>
        <v>e</v>
      </c>
      <c r="D324" s="364"/>
      <c r="E324" s="248" t="s">
        <v>2931</v>
      </c>
      <c r="F324" s="248" t="s">
        <v>2933</v>
      </c>
      <c r="G324" s="72" t="s">
        <v>2932</v>
      </c>
      <c r="H324" s="105"/>
      <c r="I324" s="105"/>
      <c r="J324" s="378"/>
      <c r="K324" s="382"/>
      <c r="L324" s="382"/>
    </row>
    <row r="325" spans="1:12" ht="30" x14ac:dyDescent="0.25">
      <c r="A325" s="245">
        <v>4</v>
      </c>
      <c r="B325" s="245">
        <v>21</v>
      </c>
      <c r="C325" s="235" t="s">
        <v>81</v>
      </c>
      <c r="D325" s="364"/>
      <c r="E325" s="248" t="s">
        <v>2930</v>
      </c>
      <c r="F325" s="248" t="s">
        <v>2934</v>
      </c>
      <c r="G325" s="72" t="s">
        <v>2935</v>
      </c>
      <c r="H325" s="45" t="str">
        <f t="shared" si="12"/>
        <v>SI</v>
      </c>
      <c r="I325" s="45">
        <f t="shared" ref="I325:I352" si="16">IF(EXACT(H325,$N$3),$O$3,IF(EXACT(H325,$N$5),$N$5,$O$4))</f>
        <v>5</v>
      </c>
      <c r="J325" s="378"/>
      <c r="K325" s="382"/>
      <c r="L325" s="382"/>
    </row>
    <row r="326" spans="1:12" ht="29.25" customHeight="1" x14ac:dyDescent="0.25">
      <c r="A326" s="245">
        <v>4</v>
      </c>
      <c r="B326" s="245">
        <v>21</v>
      </c>
      <c r="C326" s="235" t="s">
        <v>81</v>
      </c>
      <c r="D326" s="364"/>
      <c r="E326" s="248" t="s">
        <v>92</v>
      </c>
      <c r="F326" s="248" t="s">
        <v>92</v>
      </c>
      <c r="G326" s="72" t="s">
        <v>2872</v>
      </c>
      <c r="H326" s="45" t="str">
        <f t="shared" si="12"/>
        <v>SI</v>
      </c>
      <c r="I326" s="45">
        <f t="shared" si="16"/>
        <v>5</v>
      </c>
      <c r="J326" s="378"/>
      <c r="K326" s="382"/>
      <c r="L326" s="382"/>
    </row>
    <row r="327" spans="1:12" ht="27.75" customHeight="1" x14ac:dyDescent="0.25">
      <c r="A327" s="245">
        <v>4</v>
      </c>
      <c r="B327" s="245">
        <v>21</v>
      </c>
      <c r="C327" s="236" t="s">
        <v>81</v>
      </c>
      <c r="D327" s="363"/>
      <c r="E327" s="77" t="s">
        <v>582</v>
      </c>
      <c r="F327" s="10"/>
      <c r="G327" s="10"/>
      <c r="H327" s="45" t="str">
        <f t="shared" si="12"/>
        <v>NO</v>
      </c>
      <c r="I327" s="45">
        <f t="shared" si="16"/>
        <v>0</v>
      </c>
      <c r="J327" s="379"/>
      <c r="K327" s="382"/>
      <c r="L327" s="382"/>
    </row>
    <row r="328" spans="1:12" ht="105" x14ac:dyDescent="0.25">
      <c r="A328" s="245">
        <v>4</v>
      </c>
      <c r="B328" s="245">
        <v>21</v>
      </c>
      <c r="C328" s="52" t="str">
        <f>Final!E127</f>
        <v>e</v>
      </c>
      <c r="D328" s="21" t="str">
        <f>Final!F127</f>
        <v>Descripción de los trabajos académicos realizados por estudiantes del proyecto curricular en los últimos cinco años, que han merecido premios o reconocimientos significativos por la comunidad no solo académica nacional o internacional, .sino además local y/ o comunitaria.</v>
      </c>
      <c r="E328" s="21" t="s">
        <v>2936</v>
      </c>
      <c r="F328" s="45" t="s">
        <v>64</v>
      </c>
      <c r="G328" s="10"/>
      <c r="H328" s="45" t="str">
        <f t="shared" si="12"/>
        <v>NA</v>
      </c>
      <c r="I328" s="45" t="str">
        <f t="shared" si="16"/>
        <v>NA</v>
      </c>
      <c r="J328" s="100" t="str">
        <f>I328</f>
        <v>NA</v>
      </c>
      <c r="K328" s="383"/>
      <c r="L328" s="382"/>
    </row>
    <row r="329" spans="1:12" ht="45" x14ac:dyDescent="0.25">
      <c r="A329" s="245">
        <v>4</v>
      </c>
      <c r="B329" s="245">
        <v>22</v>
      </c>
      <c r="C329" s="234" t="str">
        <f>Final!E128</f>
        <v>a</v>
      </c>
      <c r="D329" s="362" t="str">
        <f>Final!F128</f>
        <v>Existencia, aplicación de políticas y estrategias institucionales en términos de la evaluación y autorregulación del proyecto curricular conducentes al diseño y formulación de planes de mejoramiento continuo y de gestión de la innovación</v>
      </c>
      <c r="E329" s="21" t="s">
        <v>584</v>
      </c>
      <c r="F329" s="248" t="s">
        <v>2870</v>
      </c>
      <c r="G329" s="72" t="s">
        <v>2892</v>
      </c>
      <c r="H329" s="45" t="str">
        <f t="shared" si="12"/>
        <v>SI</v>
      </c>
      <c r="I329" s="45">
        <f t="shared" si="16"/>
        <v>5</v>
      </c>
      <c r="J329" s="377">
        <f>AVERAGE(I329:I336)</f>
        <v>5</v>
      </c>
      <c r="K329" s="377">
        <f>AVERAGE(J329:J351)</f>
        <v>4.125</v>
      </c>
      <c r="L329" s="382"/>
    </row>
    <row r="330" spans="1:12" ht="33" customHeight="1" x14ac:dyDescent="0.25">
      <c r="A330" s="245">
        <v>4</v>
      </c>
      <c r="B330" s="245">
        <v>22</v>
      </c>
      <c r="C330" s="235" t="s">
        <v>55</v>
      </c>
      <c r="D330" s="364"/>
      <c r="E330" s="362" t="s">
        <v>585</v>
      </c>
      <c r="F330" s="301" t="s">
        <v>867</v>
      </c>
      <c r="G330" s="72" t="s">
        <v>868</v>
      </c>
      <c r="H330" s="45" t="str">
        <f t="shared" si="12"/>
        <v>SI</v>
      </c>
      <c r="I330" s="45">
        <f t="shared" si="16"/>
        <v>5</v>
      </c>
      <c r="J330" s="378"/>
      <c r="K330" s="378"/>
      <c r="L330" s="382"/>
    </row>
    <row r="331" spans="1:12" ht="60" x14ac:dyDescent="0.25">
      <c r="A331" s="245">
        <v>4</v>
      </c>
      <c r="B331" s="245">
        <v>22</v>
      </c>
      <c r="C331" s="235" t="s">
        <v>55</v>
      </c>
      <c r="D331" s="364"/>
      <c r="E331" s="364"/>
      <c r="F331" s="301" t="s">
        <v>869</v>
      </c>
      <c r="G331" s="72" t="s">
        <v>870</v>
      </c>
      <c r="H331" s="45" t="str">
        <f t="shared" si="12"/>
        <v>SI</v>
      </c>
      <c r="I331" s="45">
        <f t="shared" si="16"/>
        <v>5</v>
      </c>
      <c r="J331" s="378"/>
      <c r="K331" s="378"/>
      <c r="L331" s="382"/>
    </row>
    <row r="332" spans="1:12" ht="30" x14ac:dyDescent="0.25">
      <c r="A332" s="245">
        <v>4</v>
      </c>
      <c r="B332" s="245">
        <v>22</v>
      </c>
      <c r="C332" s="250" t="s">
        <v>55</v>
      </c>
      <c r="D332" s="364"/>
      <c r="E332" s="248" t="s">
        <v>2924</v>
      </c>
      <c r="F332" s="248" t="s">
        <v>2917</v>
      </c>
      <c r="G332" s="72" t="s">
        <v>2882</v>
      </c>
      <c r="H332" s="105" t="str">
        <f>IF((LEN(F332)=$O$4)*OR(LEN(G332)=$O$4),$N$4,IF(EXACT(F332,$N$5),$N$5,$N$3))</f>
        <v>SI</v>
      </c>
      <c r="I332" s="105">
        <f t="shared" si="16"/>
        <v>5</v>
      </c>
      <c r="J332" s="378"/>
      <c r="K332" s="378"/>
      <c r="L332" s="382"/>
    </row>
    <row r="333" spans="1:12" ht="30" x14ac:dyDescent="0.25">
      <c r="A333" s="245">
        <v>4</v>
      </c>
      <c r="B333" s="245">
        <v>22</v>
      </c>
      <c r="C333" s="235" t="s">
        <v>55</v>
      </c>
      <c r="D333" s="364"/>
      <c r="E333" s="248" t="s">
        <v>2925</v>
      </c>
      <c r="F333" s="248" t="s">
        <v>2918</v>
      </c>
      <c r="G333" s="72" t="s">
        <v>2881</v>
      </c>
      <c r="H333" s="45" t="str">
        <f t="shared" si="12"/>
        <v>SI</v>
      </c>
      <c r="I333" s="45">
        <f t="shared" si="16"/>
        <v>5</v>
      </c>
      <c r="J333" s="378"/>
      <c r="K333" s="378"/>
      <c r="L333" s="382"/>
    </row>
    <row r="334" spans="1:12" ht="30" x14ac:dyDescent="0.25">
      <c r="A334" s="245">
        <v>4</v>
      </c>
      <c r="B334" s="245">
        <v>22</v>
      </c>
      <c r="C334" s="235" t="s">
        <v>55</v>
      </c>
      <c r="D334" s="364"/>
      <c r="E334" s="77" t="s">
        <v>74</v>
      </c>
      <c r="F334" s="248" t="s">
        <v>2866</v>
      </c>
      <c r="G334" s="72" t="s">
        <v>2865</v>
      </c>
      <c r="H334" s="45" t="str">
        <f t="shared" si="12"/>
        <v>SI</v>
      </c>
      <c r="I334" s="45">
        <f t="shared" si="16"/>
        <v>5</v>
      </c>
      <c r="J334" s="378"/>
      <c r="K334" s="378"/>
      <c r="L334" s="382"/>
    </row>
    <row r="335" spans="1:12" x14ac:dyDescent="0.25">
      <c r="A335" s="245">
        <v>4</v>
      </c>
      <c r="B335" s="245">
        <v>22</v>
      </c>
      <c r="C335" s="235" t="s">
        <v>55</v>
      </c>
      <c r="D335" s="364"/>
      <c r="E335" s="77" t="s">
        <v>586</v>
      </c>
      <c r="F335" s="253" t="s">
        <v>2862</v>
      </c>
      <c r="G335" s="44" t="s">
        <v>2863</v>
      </c>
      <c r="H335" s="45" t="str">
        <f t="shared" si="12"/>
        <v>SI</v>
      </c>
      <c r="I335" s="45">
        <f t="shared" si="16"/>
        <v>5</v>
      </c>
      <c r="J335" s="378"/>
      <c r="K335" s="378"/>
      <c r="L335" s="382"/>
    </row>
    <row r="336" spans="1:12" x14ac:dyDescent="0.25">
      <c r="A336" s="245">
        <v>4</v>
      </c>
      <c r="B336" s="245">
        <v>22</v>
      </c>
      <c r="C336" s="236" t="s">
        <v>55</v>
      </c>
      <c r="D336" s="363"/>
      <c r="E336" s="248" t="s">
        <v>752</v>
      </c>
      <c r="F336" s="248" t="s">
        <v>2914</v>
      </c>
      <c r="G336" s="72" t="s">
        <v>2914</v>
      </c>
      <c r="H336" s="45" t="str">
        <f t="shared" si="12"/>
        <v>SI</v>
      </c>
      <c r="I336" s="45">
        <f t="shared" si="16"/>
        <v>5</v>
      </c>
      <c r="J336" s="379"/>
      <c r="K336" s="378"/>
      <c r="L336" s="382"/>
    </row>
    <row r="337" spans="1:12" ht="45" x14ac:dyDescent="0.25">
      <c r="A337" s="245">
        <v>4</v>
      </c>
      <c r="B337" s="245">
        <v>22</v>
      </c>
      <c r="C337" s="234" t="str">
        <f>Final!E129</f>
        <v>b</v>
      </c>
      <c r="D337" s="362" t="str">
        <f>Final!F129</f>
        <v>Estrategias verificables de seguimiento, evaluación, mejoramiento continuo y gestión de la innovación, realizadas por el proyecto curricular tomando como referencia los objetivos, procesos, logros, pertinencia y relevancia social del proyecto curricular.</v>
      </c>
      <c r="E337" s="248" t="s">
        <v>584</v>
      </c>
      <c r="F337" s="248" t="s">
        <v>2870</v>
      </c>
      <c r="G337" s="72" t="s">
        <v>2892</v>
      </c>
      <c r="H337" s="45" t="str">
        <f t="shared" si="12"/>
        <v>SI</v>
      </c>
      <c r="I337" s="45">
        <f t="shared" si="16"/>
        <v>5</v>
      </c>
      <c r="J337" s="377">
        <f>AVERAGE(I337:I341)</f>
        <v>4</v>
      </c>
      <c r="K337" s="378"/>
      <c r="L337" s="382"/>
    </row>
    <row r="338" spans="1:12" ht="30" x14ac:dyDescent="0.25">
      <c r="A338" s="245">
        <v>4</v>
      </c>
      <c r="B338" s="245">
        <v>22</v>
      </c>
      <c r="C338" s="246" t="s">
        <v>56</v>
      </c>
      <c r="D338" s="364"/>
      <c r="E338" s="248" t="s">
        <v>2924</v>
      </c>
      <c r="F338" s="248" t="s">
        <v>2917</v>
      </c>
      <c r="G338" s="72" t="s">
        <v>2882</v>
      </c>
      <c r="H338" s="105" t="str">
        <f>IF((LEN(F338)=$O$4)*OR(LEN(G338)=$O$4),$N$4,IF(EXACT(F338,$N$5),$N$5,$N$3))</f>
        <v>SI</v>
      </c>
      <c r="I338" s="105">
        <f t="shared" si="16"/>
        <v>5</v>
      </c>
      <c r="J338" s="378"/>
      <c r="K338" s="378"/>
      <c r="L338" s="382"/>
    </row>
    <row r="339" spans="1:12" ht="30" x14ac:dyDescent="0.25">
      <c r="A339" s="245">
        <v>4</v>
      </c>
      <c r="B339" s="245">
        <v>22</v>
      </c>
      <c r="C339" s="235" t="s">
        <v>56</v>
      </c>
      <c r="D339" s="364"/>
      <c r="E339" s="248" t="s">
        <v>2925</v>
      </c>
      <c r="F339" s="248" t="s">
        <v>2918</v>
      </c>
      <c r="G339" s="72" t="s">
        <v>2881</v>
      </c>
      <c r="H339" s="45" t="str">
        <f t="shared" si="12"/>
        <v>SI</v>
      </c>
      <c r="I339" s="45">
        <f t="shared" si="16"/>
        <v>5</v>
      </c>
      <c r="J339" s="378"/>
      <c r="K339" s="378"/>
      <c r="L339" s="382"/>
    </row>
    <row r="340" spans="1:12" ht="60" x14ac:dyDescent="0.25">
      <c r="A340" s="245">
        <v>4</v>
      </c>
      <c r="B340" s="245">
        <v>22</v>
      </c>
      <c r="C340" s="235" t="s">
        <v>56</v>
      </c>
      <c r="D340" s="364"/>
      <c r="E340" s="77" t="s">
        <v>2937</v>
      </c>
      <c r="F340" s="10"/>
      <c r="G340" s="10"/>
      <c r="H340" s="45" t="str">
        <f t="shared" si="12"/>
        <v>NO</v>
      </c>
      <c r="I340" s="45">
        <f t="shared" si="16"/>
        <v>0</v>
      </c>
      <c r="J340" s="378"/>
      <c r="K340" s="378"/>
      <c r="L340" s="382"/>
    </row>
    <row r="341" spans="1:12" x14ac:dyDescent="0.25">
      <c r="A341" s="245">
        <v>4</v>
      </c>
      <c r="B341" s="245">
        <v>22</v>
      </c>
      <c r="C341" s="236" t="s">
        <v>56</v>
      </c>
      <c r="D341" s="363"/>
      <c r="E341" s="248" t="s">
        <v>752</v>
      </c>
      <c r="F341" s="248" t="s">
        <v>2914</v>
      </c>
      <c r="G341" s="72" t="s">
        <v>2914</v>
      </c>
      <c r="H341" s="45" t="str">
        <f t="shared" si="12"/>
        <v>SI</v>
      </c>
      <c r="I341" s="45">
        <f t="shared" si="16"/>
        <v>5</v>
      </c>
      <c r="J341" s="379"/>
      <c r="K341" s="378"/>
      <c r="L341" s="382"/>
    </row>
    <row r="342" spans="1:12" ht="27" customHeight="1" x14ac:dyDescent="0.25">
      <c r="A342" s="245">
        <v>4</v>
      </c>
      <c r="B342" s="245">
        <v>22</v>
      </c>
      <c r="C342" s="234" t="str">
        <f>Final!E130</f>
        <v>c</v>
      </c>
      <c r="D342" s="362" t="str">
        <f>Final!F130</f>
        <v xml:space="preserve">Apreciación de directivos, profesores y estudiantes sobre la incidencia de los sistemas de evaluación y autorregulación del proyecto curricular en el enriquecimiento de la calidad de éste. </v>
      </c>
      <c r="E342" s="21" t="s">
        <v>2941</v>
      </c>
      <c r="F342" s="301" t="s">
        <v>3121</v>
      </c>
      <c r="G342" s="44" t="s">
        <v>3122</v>
      </c>
      <c r="H342" s="45" t="str">
        <f t="shared" si="12"/>
        <v>SI</v>
      </c>
      <c r="I342" s="45">
        <f t="shared" si="16"/>
        <v>5</v>
      </c>
      <c r="J342" s="381">
        <f>AVERAGE(I342:I344)</f>
        <v>3.3333333333333335</v>
      </c>
      <c r="K342" s="378"/>
      <c r="L342" s="382"/>
    </row>
    <row r="343" spans="1:12" ht="26.25" customHeight="1" x14ac:dyDescent="0.25">
      <c r="A343" s="245">
        <v>4</v>
      </c>
      <c r="B343" s="245">
        <v>22</v>
      </c>
      <c r="C343" s="235" t="s">
        <v>80</v>
      </c>
      <c r="D343" s="364"/>
      <c r="E343" s="248" t="s">
        <v>92</v>
      </c>
      <c r="F343" s="248" t="s">
        <v>92</v>
      </c>
      <c r="G343" s="72" t="s">
        <v>2872</v>
      </c>
      <c r="H343" s="45" t="str">
        <f t="shared" si="12"/>
        <v>SI</v>
      </c>
      <c r="I343" s="45">
        <f t="shared" si="16"/>
        <v>5</v>
      </c>
      <c r="J343" s="382"/>
      <c r="K343" s="378"/>
      <c r="L343" s="382"/>
    </row>
    <row r="344" spans="1:12" ht="60" x14ac:dyDescent="0.25">
      <c r="A344" s="245">
        <v>4</v>
      </c>
      <c r="B344" s="245">
        <v>22</v>
      </c>
      <c r="C344" s="236" t="s">
        <v>80</v>
      </c>
      <c r="D344" s="363"/>
      <c r="E344" s="77" t="s">
        <v>2938</v>
      </c>
      <c r="F344" s="10"/>
      <c r="G344" s="10"/>
      <c r="H344" s="45" t="str">
        <f t="shared" si="12"/>
        <v>NO</v>
      </c>
      <c r="I344" s="45">
        <f t="shared" si="16"/>
        <v>0</v>
      </c>
      <c r="J344" s="383"/>
      <c r="K344" s="378"/>
      <c r="L344" s="382"/>
    </row>
    <row r="345" spans="1:12" ht="45" x14ac:dyDescent="0.25">
      <c r="A345" s="245">
        <v>4</v>
      </c>
      <c r="B345" s="245">
        <v>22</v>
      </c>
      <c r="C345" s="234" t="str">
        <f>Final!E131</f>
        <v>d</v>
      </c>
      <c r="D345" s="362" t="str">
        <f>Final!F131</f>
        <v>Estudio de comparabilidad que evidencie los cambios específicos realizados en el proyecto curricular, en los últimos cinco años, a partir de los resultados de los procesos de evaluación y autorregulación.</v>
      </c>
      <c r="E345" s="248" t="s">
        <v>584</v>
      </c>
      <c r="F345" s="248" t="s">
        <v>2870</v>
      </c>
      <c r="G345" s="72" t="s">
        <v>2892</v>
      </c>
      <c r="H345" s="45" t="str">
        <f t="shared" si="12"/>
        <v>SI</v>
      </c>
      <c r="I345" s="45">
        <f t="shared" si="16"/>
        <v>5</v>
      </c>
      <c r="J345" s="381">
        <f>AVERAGE(I345:I351)</f>
        <v>4.166666666666667</v>
      </c>
      <c r="K345" s="378"/>
      <c r="L345" s="382"/>
    </row>
    <row r="346" spans="1:12" ht="30" x14ac:dyDescent="0.25">
      <c r="A346" s="245">
        <v>4</v>
      </c>
      <c r="B346" s="245">
        <v>22</v>
      </c>
      <c r="C346" s="246" t="s">
        <v>81</v>
      </c>
      <c r="D346" s="364"/>
      <c r="E346" s="248" t="s">
        <v>2924</v>
      </c>
      <c r="F346" s="248" t="s">
        <v>2917</v>
      </c>
      <c r="G346" s="72" t="s">
        <v>2882</v>
      </c>
      <c r="H346" s="105" t="str">
        <f>IF((LEN(F346)=$O$4)*OR(LEN(G346)=$O$4),$N$4,IF(EXACT(F346,$N$5),$N$5,$N$3))</f>
        <v>SI</v>
      </c>
      <c r="I346" s="105">
        <f t="shared" si="16"/>
        <v>5</v>
      </c>
      <c r="J346" s="382"/>
      <c r="K346" s="378"/>
      <c r="L346" s="382"/>
    </row>
    <row r="347" spans="1:12" ht="30" x14ac:dyDescent="0.25">
      <c r="A347" s="245">
        <v>4</v>
      </c>
      <c r="B347" s="245">
        <v>22</v>
      </c>
      <c r="C347" s="235" t="s">
        <v>81</v>
      </c>
      <c r="D347" s="364"/>
      <c r="E347" s="248" t="s">
        <v>2925</v>
      </c>
      <c r="F347" s="248" t="s">
        <v>2918</v>
      </c>
      <c r="G347" s="72" t="s">
        <v>2881</v>
      </c>
      <c r="H347" s="45" t="str">
        <f t="shared" si="12"/>
        <v>SI</v>
      </c>
      <c r="I347" s="45">
        <f t="shared" si="16"/>
        <v>5</v>
      </c>
      <c r="J347" s="382"/>
      <c r="K347" s="378"/>
      <c r="L347" s="382"/>
    </row>
    <row r="348" spans="1:12" ht="41.25" customHeight="1" x14ac:dyDescent="0.25">
      <c r="A348" s="245">
        <v>4</v>
      </c>
      <c r="B348" s="245">
        <v>22</v>
      </c>
      <c r="C348" s="235" t="s">
        <v>81</v>
      </c>
      <c r="D348" s="364"/>
      <c r="E348" s="77" t="s">
        <v>587</v>
      </c>
      <c r="F348" s="301" t="s">
        <v>2914</v>
      </c>
      <c r="G348" s="72" t="s">
        <v>2914</v>
      </c>
      <c r="H348" s="45" t="str">
        <f t="shared" si="12"/>
        <v>SI</v>
      </c>
      <c r="I348" s="45">
        <f t="shared" si="16"/>
        <v>5</v>
      </c>
      <c r="J348" s="382"/>
      <c r="K348" s="378"/>
      <c r="L348" s="382"/>
    </row>
    <row r="349" spans="1:12" x14ac:dyDescent="0.25">
      <c r="A349" s="245">
        <v>4</v>
      </c>
      <c r="B349" s="245">
        <v>22</v>
      </c>
      <c r="C349" s="235" t="s">
        <v>81</v>
      </c>
      <c r="D349" s="364"/>
      <c r="E349" s="77" t="s">
        <v>588</v>
      </c>
      <c r="F349" s="10" t="s">
        <v>64</v>
      </c>
      <c r="G349" s="10"/>
      <c r="H349" s="45" t="str">
        <f t="shared" si="12"/>
        <v>NA</v>
      </c>
      <c r="I349" s="45" t="str">
        <f t="shared" si="16"/>
        <v>NA</v>
      </c>
      <c r="J349" s="382"/>
      <c r="K349" s="378"/>
      <c r="L349" s="382"/>
    </row>
    <row r="350" spans="1:12" ht="30" x14ac:dyDescent="0.25">
      <c r="A350" s="245">
        <v>4</v>
      </c>
      <c r="B350" s="245">
        <v>22</v>
      </c>
      <c r="C350" s="235" t="s">
        <v>81</v>
      </c>
      <c r="D350" s="364"/>
      <c r="E350" s="248" t="s">
        <v>92</v>
      </c>
      <c r="F350" s="248" t="s">
        <v>92</v>
      </c>
      <c r="G350" s="72" t="s">
        <v>2872</v>
      </c>
      <c r="H350" s="45" t="str">
        <f t="shared" si="12"/>
        <v>SI</v>
      </c>
      <c r="I350" s="45">
        <f t="shared" si="16"/>
        <v>5</v>
      </c>
      <c r="J350" s="382"/>
      <c r="K350" s="378"/>
      <c r="L350" s="382"/>
    </row>
    <row r="351" spans="1:12" ht="30" x14ac:dyDescent="0.25">
      <c r="A351" s="245">
        <v>4</v>
      </c>
      <c r="B351" s="245">
        <v>22</v>
      </c>
      <c r="C351" s="236" t="s">
        <v>81</v>
      </c>
      <c r="D351" s="363"/>
      <c r="E351" s="77" t="s">
        <v>2939</v>
      </c>
      <c r="F351" s="10"/>
      <c r="G351" s="10"/>
      <c r="H351" s="45" t="str">
        <f t="shared" si="12"/>
        <v>NO</v>
      </c>
      <c r="I351" s="45">
        <f t="shared" si="16"/>
        <v>0</v>
      </c>
      <c r="J351" s="383"/>
      <c r="K351" s="379"/>
      <c r="L351" s="382"/>
    </row>
    <row r="352" spans="1:12" ht="45" x14ac:dyDescent="0.25">
      <c r="A352" s="245">
        <v>4</v>
      </c>
      <c r="B352" s="245">
        <v>23</v>
      </c>
      <c r="C352" s="234" t="str">
        <f>Final!E132</f>
        <v>a</v>
      </c>
      <c r="D352" s="362" t="str">
        <f>Final!F132</f>
        <v>Existencia, aplicación y evaluación periódica de criterios y políticas institucionales y del proyecto curricular en materia de extensión o proyección social.</v>
      </c>
      <c r="E352" s="248" t="s">
        <v>584</v>
      </c>
      <c r="F352" s="248" t="s">
        <v>2870</v>
      </c>
      <c r="G352" s="72" t="s">
        <v>2892</v>
      </c>
      <c r="H352" s="45" t="str">
        <f t="shared" si="12"/>
        <v>SI</v>
      </c>
      <c r="I352" s="45">
        <f t="shared" si="16"/>
        <v>5</v>
      </c>
      <c r="J352" s="381">
        <f>AVERAGE(I352:I358)</f>
        <v>5</v>
      </c>
      <c r="K352" s="377">
        <f>AVERAGE(J352:J368)</f>
        <v>5</v>
      </c>
      <c r="L352" s="382"/>
    </row>
    <row r="353" spans="1:12" ht="30" x14ac:dyDescent="0.25">
      <c r="A353" s="245"/>
      <c r="B353" s="245"/>
      <c r="C353" s="250"/>
      <c r="D353" s="364"/>
      <c r="E353" s="248" t="s">
        <v>2924</v>
      </c>
      <c r="F353" s="248" t="s">
        <v>2917</v>
      </c>
      <c r="G353" s="72" t="s">
        <v>2882</v>
      </c>
      <c r="H353" s="105"/>
      <c r="I353" s="105"/>
      <c r="J353" s="382"/>
      <c r="K353" s="378"/>
      <c r="L353" s="382"/>
    </row>
    <row r="354" spans="1:12" ht="45" x14ac:dyDescent="0.25">
      <c r="A354" s="245">
        <v>4</v>
      </c>
      <c r="B354" s="245">
        <v>23</v>
      </c>
      <c r="C354" s="235" t="s">
        <v>55</v>
      </c>
      <c r="D354" s="364"/>
      <c r="E354" s="248" t="s">
        <v>2925</v>
      </c>
      <c r="F354" s="248" t="s">
        <v>2918</v>
      </c>
      <c r="G354" s="72" t="s">
        <v>3138</v>
      </c>
      <c r="H354" s="45" t="str">
        <f t="shared" si="12"/>
        <v>SI</v>
      </c>
      <c r="I354" s="45">
        <f t="shared" ref="I354:J369" si="17">IF(EXACT(H354,$N$3),$O$3,IF(EXACT(H354,$N$5),$N$5,$O$4))</f>
        <v>5</v>
      </c>
      <c r="J354" s="382"/>
      <c r="K354" s="378"/>
      <c r="L354" s="382"/>
    </row>
    <row r="355" spans="1:12" ht="30" x14ac:dyDescent="0.25">
      <c r="A355" s="245">
        <v>4</v>
      </c>
      <c r="B355" s="245">
        <v>23</v>
      </c>
      <c r="C355" s="235" t="s">
        <v>55</v>
      </c>
      <c r="D355" s="364"/>
      <c r="E355" s="391" t="s">
        <v>877</v>
      </c>
      <c r="F355" s="283" t="s">
        <v>871</v>
      </c>
      <c r="G355" s="72" t="s">
        <v>872</v>
      </c>
      <c r="H355" s="45" t="str">
        <f>IF((LEN(F355)=$O$4)*OR(LEN(G355)=$O$4),$N$4,IF(EXACT(F355,$N$5),$N$5,$N$3))</f>
        <v>SI</v>
      </c>
      <c r="I355" s="45">
        <f t="shared" si="17"/>
        <v>5</v>
      </c>
      <c r="J355" s="382"/>
      <c r="K355" s="378"/>
      <c r="L355" s="382"/>
    </row>
    <row r="356" spans="1:12" ht="30" x14ac:dyDescent="0.25">
      <c r="A356" s="245">
        <v>4</v>
      </c>
      <c r="B356" s="245">
        <v>23</v>
      </c>
      <c r="C356" s="235" t="s">
        <v>55</v>
      </c>
      <c r="D356" s="364"/>
      <c r="E356" s="392"/>
      <c r="F356" s="283" t="s">
        <v>873</v>
      </c>
      <c r="G356" s="72" t="s">
        <v>874</v>
      </c>
      <c r="H356" s="45" t="str">
        <f>IF((LEN(F356)=$O$4)*OR(LEN(G356)=$O$4),$N$4,IF(EXACT(F356,$N$5),$N$5,$N$3))</f>
        <v>SI</v>
      </c>
      <c r="I356" s="45">
        <f t="shared" si="17"/>
        <v>5</v>
      </c>
      <c r="J356" s="382"/>
      <c r="K356" s="378"/>
      <c r="L356" s="382"/>
    </row>
    <row r="357" spans="1:12" ht="30" x14ac:dyDescent="0.25">
      <c r="A357" s="245">
        <v>4</v>
      </c>
      <c r="B357" s="245">
        <v>23</v>
      </c>
      <c r="C357" s="235" t="s">
        <v>55</v>
      </c>
      <c r="D357" s="364"/>
      <c r="E357" s="393"/>
      <c r="F357" s="283" t="s">
        <v>875</v>
      </c>
      <c r="G357" s="72" t="s">
        <v>876</v>
      </c>
      <c r="H357" s="45" t="str">
        <f>IF((LEN(F357)=$O$4)*OR(LEN(G357)=$O$4),$N$4,IF(EXACT(F357,$N$5),$N$5,$N$3))</f>
        <v>SI</v>
      </c>
      <c r="I357" s="45">
        <f t="shared" si="17"/>
        <v>5</v>
      </c>
      <c r="J357" s="382"/>
      <c r="K357" s="378"/>
      <c r="L357" s="382"/>
    </row>
    <row r="358" spans="1:12" ht="45" x14ac:dyDescent="0.25">
      <c r="A358" s="245">
        <v>4</v>
      </c>
      <c r="B358" s="245">
        <v>23</v>
      </c>
      <c r="C358" s="236" t="s">
        <v>55</v>
      </c>
      <c r="D358" s="363"/>
      <c r="E358" s="77" t="s">
        <v>2940</v>
      </c>
      <c r="F358" s="10" t="s">
        <v>3171</v>
      </c>
      <c r="G358" s="316" t="s">
        <v>3170</v>
      </c>
      <c r="H358" s="45" t="str">
        <f t="shared" si="12"/>
        <v>SI</v>
      </c>
      <c r="I358" s="45">
        <f t="shared" si="17"/>
        <v>5</v>
      </c>
      <c r="J358" s="383"/>
      <c r="K358" s="378"/>
      <c r="L358" s="382"/>
    </row>
    <row r="359" spans="1:12" ht="75" x14ac:dyDescent="0.25">
      <c r="A359" s="245">
        <v>4</v>
      </c>
      <c r="B359" s="245">
        <v>23</v>
      </c>
      <c r="C359" s="52" t="str">
        <f>Final!E133</f>
        <v>b</v>
      </c>
      <c r="D359" s="21" t="str">
        <f>Final!F133</f>
        <v>Análisis estadístico diferenciado de proyectos y actividades de extensión o proyección a la comunidad desarrollados por directivos, profesores y estudiantes del proyecto curricular en los últimos cinco años.</v>
      </c>
      <c r="E359" s="21" t="s">
        <v>589</v>
      </c>
      <c r="F359" s="313" t="s">
        <v>3168</v>
      </c>
      <c r="G359" s="44" t="s">
        <v>3169</v>
      </c>
      <c r="H359" s="45" t="str">
        <f t="shared" si="12"/>
        <v>SI</v>
      </c>
      <c r="I359" s="45">
        <f t="shared" si="17"/>
        <v>5</v>
      </c>
      <c r="J359" s="100">
        <f>AVERAGE(I359)</f>
        <v>5</v>
      </c>
      <c r="K359" s="378"/>
      <c r="L359" s="382"/>
    </row>
    <row r="360" spans="1:12" ht="75" x14ac:dyDescent="0.25">
      <c r="A360" s="245">
        <v>4</v>
      </c>
      <c r="B360" s="245">
        <v>23</v>
      </c>
      <c r="C360" s="52" t="str">
        <f>Final!E134</f>
        <v>c</v>
      </c>
      <c r="D360" s="21" t="str">
        <f>Final!F134</f>
        <v>Descripción del impacto en el entorno y en los procesos académicos que han generado los resultados de los proyectos de extensión o proyección social desarrollados por el proyecto curricular.</v>
      </c>
      <c r="E360" s="21" t="s">
        <v>591</v>
      </c>
      <c r="F360" s="283" t="s">
        <v>3114</v>
      </c>
      <c r="G360" s="44" t="s">
        <v>3113</v>
      </c>
      <c r="H360" s="45" t="str">
        <f t="shared" si="12"/>
        <v>SI</v>
      </c>
      <c r="I360" s="45">
        <f t="shared" si="17"/>
        <v>5</v>
      </c>
      <c r="J360" s="100">
        <f>AVERAGE(I360)</f>
        <v>5</v>
      </c>
      <c r="K360" s="378"/>
      <c r="L360" s="382"/>
    </row>
    <row r="361" spans="1:12" ht="60" customHeight="1" x14ac:dyDescent="0.25">
      <c r="A361" s="245">
        <v>4</v>
      </c>
      <c r="B361" s="245">
        <v>23</v>
      </c>
      <c r="C361" s="234" t="str">
        <f>Final!E135</f>
        <v>d</v>
      </c>
      <c r="D361" s="362" t="str">
        <f>Final!F135</f>
        <v>Participación en la aplicación de las políticas nacionales en materia de educación, innovación y desarrollo económico, técnico y tecnológico (innovación, adaptación, transferencia), de acuerdo con el tipo y modalidad del proyecto curricular.</v>
      </c>
      <c r="E361" s="21" t="s">
        <v>592</v>
      </c>
      <c r="F361" s="283" t="s">
        <v>3116</v>
      </c>
      <c r="G361" s="44" t="s">
        <v>3115</v>
      </c>
      <c r="H361" s="45" t="str">
        <f t="shared" si="12"/>
        <v>SI</v>
      </c>
      <c r="I361" s="45">
        <f t="shared" si="17"/>
        <v>5</v>
      </c>
      <c r="J361" s="377">
        <f>AVERAGE(I361:I362)</f>
        <v>5</v>
      </c>
      <c r="K361" s="378"/>
      <c r="L361" s="382"/>
    </row>
    <row r="362" spans="1:12" ht="42.75" customHeight="1" x14ac:dyDescent="0.25">
      <c r="A362" s="245">
        <v>4</v>
      </c>
      <c r="B362" s="245">
        <v>23</v>
      </c>
      <c r="C362" s="236" t="s">
        <v>81</v>
      </c>
      <c r="D362" s="363"/>
      <c r="E362" s="77" t="s">
        <v>484</v>
      </c>
      <c r="G362" s="72" t="s">
        <v>3117</v>
      </c>
      <c r="H362" s="45" t="str">
        <f>IF((LEN(G364)=$O$4)*OR(LEN(G362)=$O$4),$N$4,IF(EXACT(G364,$N$5),$N$5,$N$3))</f>
        <v>SI</v>
      </c>
      <c r="I362" s="45">
        <f t="shared" si="17"/>
        <v>5</v>
      </c>
      <c r="J362" s="379"/>
      <c r="K362" s="378"/>
      <c r="L362" s="382"/>
    </row>
    <row r="363" spans="1:12" ht="75" x14ac:dyDescent="0.25">
      <c r="A363" s="245">
        <v>4</v>
      </c>
      <c r="B363" s="245">
        <v>23</v>
      </c>
      <c r="C363" s="52" t="str">
        <f>Final!E136</f>
        <v>e</v>
      </c>
      <c r="D363" s="21" t="str">
        <f>Final!F136</f>
        <v>Análisis de las apreciaciones de empresarios, funcionarios públicos, líderes comunitarios y de otros agentes externos sobre el impacto social de los proyectos de extensión y/o proyección social desarrollados por el proyecto curricular.</v>
      </c>
      <c r="E363" s="21" t="s">
        <v>503</v>
      </c>
      <c r="F363" s="105" t="s">
        <v>64</v>
      </c>
      <c r="G363" s="10"/>
      <c r="H363" s="45" t="str">
        <f t="shared" ref="H363:H442" si="18">IF((LEN(F363)=$O$4)*OR(LEN(G363)=$O$4),$N$4,IF(EXACT(F363,$N$5),$N$5,$N$3))</f>
        <v>NA</v>
      </c>
      <c r="I363" s="45" t="str">
        <f t="shared" si="17"/>
        <v>NA</v>
      </c>
      <c r="J363" s="105" t="str">
        <f t="shared" si="17"/>
        <v>NA</v>
      </c>
      <c r="K363" s="378"/>
      <c r="L363" s="382"/>
    </row>
    <row r="364" spans="1:12" ht="90" x14ac:dyDescent="0.25">
      <c r="A364" s="245">
        <v>4</v>
      </c>
      <c r="B364" s="245">
        <v>23</v>
      </c>
      <c r="C364" s="52" t="str">
        <f>Final!E137</f>
        <v>f</v>
      </c>
      <c r="D364" s="21" t="str">
        <f>Final!F137</f>
        <v>Número y tipo de reconocimientos hechos en los últimos cinco años por entidades gubernamentales y no gubernamentales al impacto que el proyecto curricular ha ejercido en los medios local, regional, nacional o internacional.</v>
      </c>
      <c r="E364" s="21" t="s">
        <v>484</v>
      </c>
      <c r="F364" s="283" t="s">
        <v>3118</v>
      </c>
      <c r="G364" s="72" t="s">
        <v>3117</v>
      </c>
      <c r="H364" s="105" t="str">
        <f>IF((LEN(G366)=$O$4)*OR(LEN(G364)=$O$4),$N$4,IF(EXACT(G366,$N$5),$N$5,$N$3))</f>
        <v>SI</v>
      </c>
      <c r="I364" s="45">
        <f t="shared" si="17"/>
        <v>5</v>
      </c>
      <c r="J364" s="100">
        <f>AVERAGE(I364)</f>
        <v>5</v>
      </c>
      <c r="K364" s="378"/>
      <c r="L364" s="382"/>
    </row>
    <row r="365" spans="1:12" ht="60" customHeight="1" x14ac:dyDescent="0.25">
      <c r="A365" s="245">
        <v>4</v>
      </c>
      <c r="B365" s="245">
        <v>23</v>
      </c>
      <c r="C365" s="234" t="str">
        <f>Final!E138</f>
        <v>g</v>
      </c>
      <c r="D365" s="365" t="str">
        <f>Final!F138</f>
        <v>Aplicación de los mecanismos y procedimientos desde los cuales se analiza la influencia que el proyecto curricular ejerce sobre el medio y desde los que se revisan de forma periódica las estrategias implementadas en esta materia.</v>
      </c>
      <c r="E365" s="21" t="s">
        <v>592</v>
      </c>
      <c r="F365" s="283" t="s">
        <v>3116</v>
      </c>
      <c r="G365" s="44" t="s">
        <v>3115</v>
      </c>
      <c r="H365" s="45" t="str">
        <f t="shared" si="18"/>
        <v>SI</v>
      </c>
      <c r="I365" s="45">
        <f t="shared" si="17"/>
        <v>5</v>
      </c>
      <c r="J365" s="377">
        <f>AVERAGE(I365:I366)</f>
        <v>5</v>
      </c>
      <c r="K365" s="378"/>
      <c r="L365" s="382"/>
    </row>
    <row r="366" spans="1:12" ht="33" customHeight="1" x14ac:dyDescent="0.25">
      <c r="A366" s="245">
        <v>4</v>
      </c>
      <c r="B366" s="245">
        <v>23</v>
      </c>
      <c r="C366" s="236" t="s">
        <v>102</v>
      </c>
      <c r="D366" s="366"/>
      <c r="E366" s="77" t="s">
        <v>484</v>
      </c>
      <c r="F366" s="283" t="s">
        <v>3118</v>
      </c>
      <c r="G366" s="72" t="s">
        <v>3117</v>
      </c>
      <c r="H366" s="45" t="str">
        <f t="shared" si="18"/>
        <v>SI</v>
      </c>
      <c r="I366" s="45">
        <f t="shared" si="17"/>
        <v>5</v>
      </c>
      <c r="J366" s="379"/>
      <c r="K366" s="378"/>
      <c r="L366" s="382"/>
    </row>
    <row r="367" spans="1:12" ht="135" customHeight="1" x14ac:dyDescent="0.25">
      <c r="A367" s="245">
        <v>4</v>
      </c>
      <c r="B367" s="245">
        <v>23</v>
      </c>
      <c r="C367" s="234" t="str">
        <f>Final!E139</f>
        <v>h</v>
      </c>
      <c r="D367" s="362" t="str">
        <f>Final!F139</f>
        <v>Existencia y utilización de base de datos con información suficiente y adecuada sobre las comunidades, empresas, gobiernos, instituciones, organizaciones de usuarios, y asociaciones a los quienes el proyecto curricular presta asistencia técnica o tecnológica, servicios, asesorías y otros apoyos que apuntan a la resolución de problemas o a la ejecución de programas de mejoramiento, de acuerdo con la naturaleza y modalidad del mismo.</v>
      </c>
      <c r="E367" s="21" t="s">
        <v>592</v>
      </c>
      <c r="F367" s="283" t="s">
        <v>3120</v>
      </c>
      <c r="G367" s="44" t="s">
        <v>3119</v>
      </c>
      <c r="H367" s="45" t="str">
        <f t="shared" si="18"/>
        <v>SI</v>
      </c>
      <c r="I367" s="45">
        <f t="shared" si="17"/>
        <v>5</v>
      </c>
      <c r="J367" s="377">
        <f>AVERAGE(I367:I368)</f>
        <v>5</v>
      </c>
      <c r="K367" s="378"/>
      <c r="L367" s="382"/>
    </row>
    <row r="368" spans="1:12" ht="30" customHeight="1" x14ac:dyDescent="0.25">
      <c r="A368" s="245">
        <v>4</v>
      </c>
      <c r="B368" s="245">
        <v>23</v>
      </c>
      <c r="C368" s="236" t="s">
        <v>104</v>
      </c>
      <c r="D368" s="363"/>
      <c r="E368" s="77" t="s">
        <v>593</v>
      </c>
      <c r="F368" s="313" t="s">
        <v>3172</v>
      </c>
      <c r="G368" s="10"/>
      <c r="H368" s="45" t="str">
        <f t="shared" si="18"/>
        <v>SI</v>
      </c>
      <c r="I368" s="45">
        <f t="shared" si="17"/>
        <v>5</v>
      </c>
      <c r="J368" s="379"/>
      <c r="K368" s="379"/>
      <c r="L368" s="382"/>
    </row>
    <row r="369" spans="1:12" ht="80.25" customHeight="1" x14ac:dyDescent="0.25">
      <c r="A369" s="245">
        <v>4</v>
      </c>
      <c r="B369" s="245">
        <v>24</v>
      </c>
      <c r="C369" s="234" t="str">
        <f>Final!E140</f>
        <v>a</v>
      </c>
      <c r="D369" s="362" t="str">
        <f>Final!F140</f>
        <v>Promoción y seguimiento, por parte del proyecto curricular, a la aplicación de estrategias y mecanismos que incentiven en los estudiantes la consulta y el uso de textos, bases de datos, materiales y esarrollos recientes, relacionados con las áreas de conocimiento de la profesión o la disciplina.</v>
      </c>
      <c r="E369" s="21" t="s">
        <v>594</v>
      </c>
      <c r="F369" s="248" t="s">
        <v>2870</v>
      </c>
      <c r="G369" s="72" t="s">
        <v>2892</v>
      </c>
      <c r="H369" s="45" t="str">
        <f t="shared" si="18"/>
        <v>SI</v>
      </c>
      <c r="I369" s="45">
        <f t="shared" si="17"/>
        <v>5</v>
      </c>
      <c r="J369" s="377">
        <f>AVERAGE(I369:I373)</f>
        <v>5</v>
      </c>
      <c r="K369" s="377">
        <f>AVERAGE(J369:J392)</f>
        <v>4.5999999999999996</v>
      </c>
      <c r="L369" s="382"/>
    </row>
    <row r="370" spans="1:12" ht="80.25" customHeight="1" x14ac:dyDescent="0.25">
      <c r="A370" s="245">
        <v>4</v>
      </c>
      <c r="B370" s="245">
        <v>24</v>
      </c>
      <c r="C370" s="246" t="s">
        <v>55</v>
      </c>
      <c r="D370" s="364"/>
      <c r="E370" s="248" t="s">
        <v>2931</v>
      </c>
      <c r="F370" s="248" t="s">
        <v>2933</v>
      </c>
      <c r="G370" s="72" t="s">
        <v>2932</v>
      </c>
      <c r="H370" s="105"/>
      <c r="I370" s="105"/>
      <c r="J370" s="378"/>
      <c r="K370" s="378"/>
      <c r="L370" s="382"/>
    </row>
    <row r="371" spans="1:12" ht="30" x14ac:dyDescent="0.25">
      <c r="A371" s="245">
        <v>4</v>
      </c>
      <c r="B371" s="245">
        <v>24</v>
      </c>
      <c r="C371" s="235" t="s">
        <v>55</v>
      </c>
      <c r="D371" s="364"/>
      <c r="E371" s="248" t="s">
        <v>2930</v>
      </c>
      <c r="F371" s="248" t="s">
        <v>2934</v>
      </c>
      <c r="G371" s="72" t="s">
        <v>2935</v>
      </c>
      <c r="H371" s="45" t="str">
        <f t="shared" si="18"/>
        <v>SI</v>
      </c>
      <c r="I371" s="45">
        <f>IF(EXACT(H371,$N$3),$O$3,IF(EXACT(H371,$N$5),$N$5,$O$4))</f>
        <v>5</v>
      </c>
      <c r="J371" s="378"/>
      <c r="K371" s="378"/>
      <c r="L371" s="382"/>
    </row>
    <row r="372" spans="1:12" ht="30" x14ac:dyDescent="0.25">
      <c r="A372" s="245"/>
      <c r="B372" s="245"/>
      <c r="C372" s="250"/>
      <c r="D372" s="364"/>
      <c r="E372" s="248" t="s">
        <v>2924</v>
      </c>
      <c r="F372" s="248" t="s">
        <v>2917</v>
      </c>
      <c r="G372" s="72" t="s">
        <v>2882</v>
      </c>
      <c r="H372" s="105"/>
      <c r="I372" s="105"/>
      <c r="J372" s="378"/>
      <c r="K372" s="378"/>
      <c r="L372" s="382"/>
    </row>
    <row r="373" spans="1:12" ht="45" x14ac:dyDescent="0.25">
      <c r="A373" s="245">
        <v>4</v>
      </c>
      <c r="B373" s="245">
        <v>24</v>
      </c>
      <c r="C373" s="236" t="s">
        <v>55</v>
      </c>
      <c r="D373" s="363"/>
      <c r="E373" s="248" t="s">
        <v>2925</v>
      </c>
      <c r="F373" s="248" t="s">
        <v>2918</v>
      </c>
      <c r="G373" s="72" t="s">
        <v>3138</v>
      </c>
      <c r="H373" s="45" t="str">
        <f t="shared" si="18"/>
        <v>SI</v>
      </c>
      <c r="I373" s="45">
        <f t="shared" ref="I373:I410" si="19">IF(EXACT(H373,$N$3),$O$3,IF(EXACT(H373,$N$5),$N$5,$O$4))</f>
        <v>5</v>
      </c>
      <c r="J373" s="379"/>
      <c r="K373" s="378"/>
      <c r="L373" s="382"/>
    </row>
    <row r="374" spans="1:12" ht="51.75" customHeight="1" x14ac:dyDescent="0.25">
      <c r="A374" s="245">
        <v>4</v>
      </c>
      <c r="B374" s="245">
        <v>24</v>
      </c>
      <c r="C374" s="234" t="str">
        <f>Final!E141</f>
        <v>b</v>
      </c>
      <c r="D374" s="362" t="str">
        <f>Final!F141</f>
        <v>Existencia y aplicación de criterios y políticas institucionales y del proyecto curricular en materia de acceso, adquisición, actualización y aseguramiento de la difusión de material bibliográfico pertinente.</v>
      </c>
      <c r="E374" s="248" t="s">
        <v>594</v>
      </c>
      <c r="F374" s="248" t="s">
        <v>2870</v>
      </c>
      <c r="G374" s="72" t="s">
        <v>2892</v>
      </c>
      <c r="H374" s="45" t="str">
        <f t="shared" si="18"/>
        <v>SI</v>
      </c>
      <c r="I374" s="45">
        <f t="shared" si="19"/>
        <v>5</v>
      </c>
      <c r="J374" s="377">
        <f>AVERAGE(I374:I378)</f>
        <v>5</v>
      </c>
      <c r="K374" s="378"/>
      <c r="L374" s="382"/>
    </row>
    <row r="375" spans="1:12" ht="27" customHeight="1" x14ac:dyDescent="0.25">
      <c r="A375" s="245">
        <v>4</v>
      </c>
      <c r="B375" s="245">
        <v>24</v>
      </c>
      <c r="C375" s="235" t="s">
        <v>56</v>
      </c>
      <c r="D375" s="364"/>
      <c r="E375" s="371" t="s">
        <v>884</v>
      </c>
      <c r="F375" s="11" t="s">
        <v>878</v>
      </c>
      <c r="G375" s="72" t="s">
        <v>879</v>
      </c>
      <c r="H375" s="45" t="str">
        <f>IF((LEN(F375)=$O$4)*OR(LEN(G375)=$O$4),$N$4,IF(EXACT(F375,$N$5),$N$5,$N$3))</f>
        <v>SI</v>
      </c>
      <c r="I375" s="45">
        <f t="shared" si="19"/>
        <v>5</v>
      </c>
      <c r="J375" s="378"/>
      <c r="K375" s="378"/>
      <c r="L375" s="382"/>
    </row>
    <row r="376" spans="1:12" ht="27" customHeight="1" x14ac:dyDescent="0.25">
      <c r="A376" s="245">
        <v>4</v>
      </c>
      <c r="B376" s="245">
        <v>24</v>
      </c>
      <c r="C376" s="235" t="s">
        <v>56</v>
      </c>
      <c r="D376" s="364"/>
      <c r="E376" s="394"/>
      <c r="F376" s="11" t="s">
        <v>880</v>
      </c>
      <c r="G376" s="72" t="s">
        <v>881</v>
      </c>
      <c r="H376" s="45" t="str">
        <f>IF((LEN(F376)=$O$4)*OR(LEN(G376)=$O$4),$N$4,IF(EXACT(F376,$N$5),$N$5,$N$3))</f>
        <v>SI</v>
      </c>
      <c r="I376" s="45">
        <f t="shared" si="19"/>
        <v>5</v>
      </c>
      <c r="J376" s="378"/>
      <c r="K376" s="378"/>
      <c r="L376" s="382"/>
    </row>
    <row r="377" spans="1:12" ht="27" customHeight="1" x14ac:dyDescent="0.25">
      <c r="A377" s="245">
        <v>4</v>
      </c>
      <c r="B377" s="245">
        <v>24</v>
      </c>
      <c r="C377" s="235" t="s">
        <v>56</v>
      </c>
      <c r="D377" s="364"/>
      <c r="E377" s="395"/>
      <c r="F377" s="11" t="s">
        <v>882</v>
      </c>
      <c r="G377" s="72" t="s">
        <v>883</v>
      </c>
      <c r="H377" s="45" t="str">
        <f>IF((LEN(F377)=$O$4)*OR(LEN(G377)=$O$4),$N$4,IF(EXACT(F377,$N$5),$N$5,$N$3))</f>
        <v>SI</v>
      </c>
      <c r="I377" s="45">
        <f t="shared" si="19"/>
        <v>5</v>
      </c>
      <c r="J377" s="378"/>
      <c r="K377" s="378"/>
      <c r="L377" s="382"/>
    </row>
    <row r="378" spans="1:12" ht="51.75" customHeight="1" x14ac:dyDescent="0.25">
      <c r="A378" s="245">
        <v>4</v>
      </c>
      <c r="B378" s="245">
        <v>24</v>
      </c>
      <c r="C378" s="236" t="s">
        <v>56</v>
      </c>
      <c r="D378" s="363"/>
      <c r="E378" s="77" t="s">
        <v>596</v>
      </c>
      <c r="F378" s="11" t="s">
        <v>3173</v>
      </c>
      <c r="G378" s="10"/>
      <c r="H378" s="45" t="str">
        <f t="shared" si="18"/>
        <v>SI</v>
      </c>
      <c r="I378" s="45">
        <f t="shared" si="19"/>
        <v>5</v>
      </c>
      <c r="J378" s="379"/>
      <c r="K378" s="378"/>
      <c r="L378" s="382"/>
    </row>
    <row r="379" spans="1:12" ht="45" x14ac:dyDescent="0.25">
      <c r="A379" s="245">
        <v>4</v>
      </c>
      <c r="B379" s="245">
        <v>24</v>
      </c>
      <c r="C379" s="234" t="str">
        <f>Final!E142</f>
        <v>c</v>
      </c>
      <c r="D379" s="362" t="str">
        <f>Final!F142</f>
        <v>Pertinencia, actualización, suficiencia y especializado del material bibliográfico con que cuentan profesores y estudiantes para apoyar el desarrollo de las distintas actividades académicas, de acuerdo con el tipo, modalidad y campo de conocimiento del proyecto curricular.</v>
      </c>
      <c r="E379" s="248" t="s">
        <v>594</v>
      </c>
      <c r="F379" s="248" t="s">
        <v>2870</v>
      </c>
      <c r="G379" s="72" t="s">
        <v>2892</v>
      </c>
      <c r="H379" s="45" t="str">
        <f t="shared" si="18"/>
        <v>SI</v>
      </c>
      <c r="I379" s="45">
        <f t="shared" si="19"/>
        <v>5</v>
      </c>
      <c r="J379" s="377">
        <f>AVERAGE(I379:I383)</f>
        <v>4</v>
      </c>
      <c r="K379" s="378"/>
      <c r="L379" s="382"/>
    </row>
    <row r="380" spans="1:12" ht="30" x14ac:dyDescent="0.25">
      <c r="A380" s="245"/>
      <c r="B380" s="245"/>
      <c r="C380" s="250"/>
      <c r="D380" s="364"/>
      <c r="E380" s="248" t="s">
        <v>2924</v>
      </c>
      <c r="F380" s="248" t="s">
        <v>2917</v>
      </c>
      <c r="G380" s="72" t="s">
        <v>2882</v>
      </c>
      <c r="H380" s="105" t="str">
        <f>IF((LEN(F380)=$O$4)*OR(LEN(G380)=$O$4),$N$4,IF(EXACT(F380,$N$5),$N$5,$N$3))</f>
        <v>SI</v>
      </c>
      <c r="I380" s="105">
        <f t="shared" si="19"/>
        <v>5</v>
      </c>
      <c r="J380" s="378"/>
      <c r="K380" s="378"/>
      <c r="L380" s="382"/>
    </row>
    <row r="381" spans="1:12" ht="30" x14ac:dyDescent="0.25">
      <c r="A381" s="245">
        <v>4</v>
      </c>
      <c r="B381" s="245">
        <v>24</v>
      </c>
      <c r="C381" s="235" t="s">
        <v>80</v>
      </c>
      <c r="D381" s="364"/>
      <c r="E381" s="248" t="s">
        <v>2925</v>
      </c>
      <c r="F381" s="248" t="s">
        <v>2918</v>
      </c>
      <c r="G381" s="72" t="s">
        <v>2881</v>
      </c>
      <c r="H381" s="45" t="str">
        <f t="shared" si="18"/>
        <v>SI</v>
      </c>
      <c r="I381" s="45">
        <f t="shared" si="19"/>
        <v>5</v>
      </c>
      <c r="J381" s="378"/>
      <c r="K381" s="378"/>
      <c r="L381" s="382"/>
    </row>
    <row r="382" spans="1:12" x14ac:dyDescent="0.25">
      <c r="A382" s="245">
        <v>4</v>
      </c>
      <c r="B382" s="245">
        <v>24</v>
      </c>
      <c r="C382" s="235" t="s">
        <v>80</v>
      </c>
      <c r="D382" s="364"/>
      <c r="E382" s="77" t="s">
        <v>597</v>
      </c>
      <c r="F382" s="313" t="s">
        <v>3175</v>
      </c>
      <c r="G382" s="10"/>
      <c r="H382" s="45" t="str">
        <f t="shared" si="18"/>
        <v>SI</v>
      </c>
      <c r="I382" s="45">
        <f t="shared" si="19"/>
        <v>5</v>
      </c>
      <c r="J382" s="378"/>
      <c r="K382" s="378"/>
      <c r="L382" s="382"/>
    </row>
    <row r="383" spans="1:12" ht="45" x14ac:dyDescent="0.25">
      <c r="A383" s="245">
        <v>4</v>
      </c>
      <c r="B383" s="245">
        <v>24</v>
      </c>
      <c r="C383" s="236" t="s">
        <v>80</v>
      </c>
      <c r="D383" s="363"/>
      <c r="E383" s="77" t="s">
        <v>598</v>
      </c>
      <c r="F383" s="10"/>
      <c r="G383" s="10"/>
      <c r="H383" s="45" t="str">
        <f t="shared" si="18"/>
        <v>NO</v>
      </c>
      <c r="I383" s="45">
        <f t="shared" si="19"/>
        <v>0</v>
      </c>
      <c r="J383" s="379"/>
      <c r="K383" s="378"/>
      <c r="L383" s="382"/>
    </row>
    <row r="384" spans="1:12" ht="45" x14ac:dyDescent="0.25">
      <c r="A384" s="245">
        <v>4</v>
      </c>
      <c r="B384" s="245">
        <v>24</v>
      </c>
      <c r="C384" s="234" t="str">
        <f>Final!E143</f>
        <v>d</v>
      </c>
      <c r="D384" s="362" t="str">
        <f>Final!F143</f>
        <v>Evidencias de la inversión anual y los incrementos presupuestales en las adquisiciones y actualizaciones de libros, revistas especializadas, bases de datos y suscripciones a publicaciones periódicas, relacionados con el campo de conocimiento del proyecto curricular, ejecutadas en los últimos 5 años.</v>
      </c>
      <c r="E384" s="248" t="s">
        <v>594</v>
      </c>
      <c r="F384" s="248" t="s">
        <v>2870</v>
      </c>
      <c r="G384" s="72" t="s">
        <v>2892</v>
      </c>
      <c r="H384" s="45" t="str">
        <f t="shared" si="18"/>
        <v>SI</v>
      </c>
      <c r="I384" s="45">
        <f t="shared" si="19"/>
        <v>5</v>
      </c>
      <c r="J384" s="377">
        <f>AVERAGE(I384:I388)</f>
        <v>4</v>
      </c>
      <c r="K384" s="378"/>
      <c r="L384" s="382"/>
    </row>
    <row r="385" spans="1:12" ht="30" x14ac:dyDescent="0.25">
      <c r="A385" s="245">
        <v>4</v>
      </c>
      <c r="B385" s="245">
        <v>24</v>
      </c>
      <c r="C385" s="250" t="s">
        <v>81</v>
      </c>
      <c r="D385" s="364"/>
      <c r="E385" s="248" t="s">
        <v>2924</v>
      </c>
      <c r="F385" s="248" t="s">
        <v>2917</v>
      </c>
      <c r="G385" s="72" t="s">
        <v>2882</v>
      </c>
      <c r="H385" s="105" t="str">
        <f>IF((LEN(F385)=$O$4)*OR(LEN(G385)=$O$4),$N$4,IF(EXACT(F385,$N$5),$N$5,$N$3))</f>
        <v>SI</v>
      </c>
      <c r="I385" s="105">
        <f t="shared" si="19"/>
        <v>5</v>
      </c>
      <c r="J385" s="378"/>
      <c r="K385" s="378"/>
      <c r="L385" s="382"/>
    </row>
    <row r="386" spans="1:12" ht="45" x14ac:dyDescent="0.25">
      <c r="A386" s="245">
        <v>4</v>
      </c>
      <c r="B386" s="245">
        <v>24</v>
      </c>
      <c r="C386" s="235" t="s">
        <v>81</v>
      </c>
      <c r="D386" s="364"/>
      <c r="E386" s="248" t="s">
        <v>2925</v>
      </c>
      <c r="F386" s="248" t="s">
        <v>2918</v>
      </c>
      <c r="G386" s="72" t="s">
        <v>3138</v>
      </c>
      <c r="H386" s="45" t="str">
        <f t="shared" si="18"/>
        <v>SI</v>
      </c>
      <c r="I386" s="45">
        <f t="shared" si="19"/>
        <v>5</v>
      </c>
      <c r="J386" s="378"/>
      <c r="K386" s="378"/>
      <c r="L386" s="382"/>
    </row>
    <row r="387" spans="1:12" x14ac:dyDescent="0.25">
      <c r="A387" s="245">
        <v>4</v>
      </c>
      <c r="B387" s="245">
        <v>24</v>
      </c>
      <c r="C387" s="235" t="s">
        <v>81</v>
      </c>
      <c r="D387" s="364"/>
      <c r="E387" s="77" t="s">
        <v>597</v>
      </c>
      <c r="F387" s="313" t="s">
        <v>3174</v>
      </c>
      <c r="G387" s="10"/>
      <c r="H387" s="45" t="str">
        <f t="shared" si="18"/>
        <v>SI</v>
      </c>
      <c r="I387" s="45">
        <f t="shared" si="19"/>
        <v>5</v>
      </c>
      <c r="J387" s="378"/>
      <c r="K387" s="378"/>
      <c r="L387" s="382"/>
    </row>
    <row r="388" spans="1:12" ht="45" x14ac:dyDescent="0.25">
      <c r="A388" s="245">
        <v>4</v>
      </c>
      <c r="B388" s="245">
        <v>24</v>
      </c>
      <c r="C388" s="236" t="s">
        <v>81</v>
      </c>
      <c r="D388" s="363"/>
      <c r="E388" s="77" t="s">
        <v>599</v>
      </c>
      <c r="F388" s="10"/>
      <c r="G388" s="10"/>
      <c r="H388" s="45" t="str">
        <f t="shared" si="18"/>
        <v>NO</v>
      </c>
      <c r="I388" s="45">
        <f t="shared" si="19"/>
        <v>0</v>
      </c>
      <c r="J388" s="379"/>
      <c r="K388" s="378"/>
      <c r="L388" s="382"/>
    </row>
    <row r="389" spans="1:12" ht="55.5" customHeight="1" x14ac:dyDescent="0.25">
      <c r="A389" s="245">
        <v>4</v>
      </c>
      <c r="B389" s="245">
        <v>24</v>
      </c>
      <c r="C389" s="234" t="str">
        <f>Final!E144</f>
        <v>e</v>
      </c>
      <c r="D389" s="362" t="str">
        <f>Final!F144</f>
        <v>Análisis comparativo de los últimos cinco años, sobre la utilización que profesores y estudiantes del proyecto curricular hacen de los recursos bibliográficos: libros, revistas especializadas y bases de datos, etc., de acuerdo con la naturaleza, el tipo y modalidad del proyecto curricular.</v>
      </c>
      <c r="E389" s="21" t="s">
        <v>596</v>
      </c>
      <c r="F389" s="11" t="s">
        <v>3173</v>
      </c>
      <c r="G389" s="10"/>
      <c r="H389" s="45" t="str">
        <f t="shared" si="18"/>
        <v>SI</v>
      </c>
      <c r="I389" s="45">
        <f t="shared" si="19"/>
        <v>5</v>
      </c>
      <c r="J389" s="377">
        <f>AVERAGE(I389:I391)</f>
        <v>5</v>
      </c>
      <c r="K389" s="378"/>
      <c r="L389" s="382"/>
    </row>
    <row r="390" spans="1:12" ht="55.5" customHeight="1" x14ac:dyDescent="0.25">
      <c r="A390" s="245">
        <v>4</v>
      </c>
      <c r="B390" s="245">
        <v>24</v>
      </c>
      <c r="C390" s="247" t="s">
        <v>87</v>
      </c>
      <c r="D390" s="364"/>
      <c r="E390" s="248" t="s">
        <v>2931</v>
      </c>
      <c r="F390" s="248" t="s">
        <v>2933</v>
      </c>
      <c r="G390" s="72" t="s">
        <v>2932</v>
      </c>
      <c r="H390" s="105" t="str">
        <f>IF((LEN(F390)=$O$4)*OR(LEN(G390)=$O$4),$N$4,IF(EXACT(F390,$N$5),$N$5,$N$3))</f>
        <v>SI</v>
      </c>
      <c r="I390" s="105">
        <f t="shared" si="19"/>
        <v>5</v>
      </c>
      <c r="J390" s="378"/>
      <c r="K390" s="378"/>
      <c r="L390" s="382"/>
    </row>
    <row r="391" spans="1:12" ht="40.5" customHeight="1" x14ac:dyDescent="0.25">
      <c r="A391" s="245">
        <v>4</v>
      </c>
      <c r="B391" s="245">
        <v>24</v>
      </c>
      <c r="C391" s="236" t="s">
        <v>87</v>
      </c>
      <c r="D391" s="363"/>
      <c r="E391" s="248" t="s">
        <v>2930</v>
      </c>
      <c r="F391" s="248" t="s">
        <v>2934</v>
      </c>
      <c r="G391" s="72" t="s">
        <v>2935</v>
      </c>
      <c r="H391" s="45" t="str">
        <f t="shared" si="18"/>
        <v>SI</v>
      </c>
      <c r="I391" s="45">
        <f t="shared" si="19"/>
        <v>5</v>
      </c>
      <c r="J391" s="379"/>
      <c r="K391" s="378"/>
      <c r="L391" s="382"/>
    </row>
    <row r="392" spans="1:12" ht="75" x14ac:dyDescent="0.25">
      <c r="A392" s="245">
        <v>4</v>
      </c>
      <c r="B392" s="245">
        <v>24</v>
      </c>
      <c r="C392" s="52" t="str">
        <f>Final!E145</f>
        <v>f</v>
      </c>
      <c r="D392" s="21" t="str">
        <f>Final!F145</f>
        <v>Apreciación de directivos, profesores y estudiantes del proyecto curricular sobre la pertinencia, actualización y suficiencia del material bibliográfico con que cuenta el proyecto curricular.</v>
      </c>
      <c r="E392" s="21" t="s">
        <v>529</v>
      </c>
      <c r="F392" s="105" t="s">
        <v>64</v>
      </c>
      <c r="G392" s="10"/>
      <c r="H392" s="45" t="str">
        <f t="shared" si="18"/>
        <v>NA</v>
      </c>
      <c r="I392" s="45" t="str">
        <f t="shared" si="19"/>
        <v>NA</v>
      </c>
      <c r="J392" s="105" t="str">
        <f>IF(EXACT(I392,$N$3),$O$3,IF(EXACT(I392,$N$5),$N$5,$O$4))</f>
        <v>NA</v>
      </c>
      <c r="K392" s="379"/>
      <c r="L392" s="382"/>
    </row>
    <row r="393" spans="1:12" ht="45" x14ac:dyDescent="0.25">
      <c r="A393" s="245">
        <v>4</v>
      </c>
      <c r="B393" s="245">
        <v>25</v>
      </c>
      <c r="C393" s="234" t="str">
        <f>Final!E146</f>
        <v>a</v>
      </c>
      <c r="D393" s="362" t="str">
        <f>Final!F146</f>
        <v>Existencia y uso de plataformas tecnológicas que garanticen la conectividad, interactividad, acceso a sistemas de información, y apoyo y recursos para el aprendizaje, de acuerdo a los requerimientos del proyecto curricular, de sus espacios académicos y sus necesidades administrativas</v>
      </c>
      <c r="E393" s="248" t="s">
        <v>595</v>
      </c>
      <c r="F393" s="248" t="s">
        <v>2870</v>
      </c>
      <c r="G393" s="72" t="s">
        <v>2892</v>
      </c>
      <c r="H393" s="45" t="str">
        <f t="shared" si="18"/>
        <v>SI</v>
      </c>
      <c r="I393" s="45">
        <f t="shared" si="19"/>
        <v>5</v>
      </c>
      <c r="J393" s="381">
        <f>AVERAGE(I393:I398)</f>
        <v>5</v>
      </c>
      <c r="K393" s="381">
        <f>AVERAGE(J393:J409)</f>
        <v>4.8</v>
      </c>
      <c r="L393" s="382"/>
    </row>
    <row r="394" spans="1:12" ht="30" x14ac:dyDescent="0.25">
      <c r="A394" s="245"/>
      <c r="B394" s="245"/>
      <c r="C394" s="250"/>
      <c r="D394" s="364"/>
      <c r="E394" s="248" t="s">
        <v>2924</v>
      </c>
      <c r="F394" s="248" t="s">
        <v>2917</v>
      </c>
      <c r="G394" s="72" t="s">
        <v>2882</v>
      </c>
      <c r="H394" s="105" t="str">
        <f>IF((LEN(F394)=$O$4)*OR(LEN(G394)=$O$4),$N$4,IF(EXACT(F394,$N$5),$N$5,$N$3))</f>
        <v>SI</v>
      </c>
      <c r="I394" s="105">
        <f t="shared" si="19"/>
        <v>5</v>
      </c>
      <c r="J394" s="382"/>
      <c r="K394" s="382"/>
      <c r="L394" s="382"/>
    </row>
    <row r="395" spans="1:12" ht="35.25" customHeight="1" x14ac:dyDescent="0.25">
      <c r="A395" s="245">
        <v>4</v>
      </c>
      <c r="B395" s="245">
        <v>25</v>
      </c>
      <c r="C395" s="235" t="s">
        <v>55</v>
      </c>
      <c r="D395" s="364"/>
      <c r="E395" s="248" t="s">
        <v>2925</v>
      </c>
      <c r="F395" s="248" t="s">
        <v>2918</v>
      </c>
      <c r="G395" s="72" t="s">
        <v>2881</v>
      </c>
      <c r="H395" s="45" t="str">
        <f t="shared" si="18"/>
        <v>SI</v>
      </c>
      <c r="I395" s="45">
        <f t="shared" si="19"/>
        <v>5</v>
      </c>
      <c r="J395" s="382"/>
      <c r="K395" s="382"/>
      <c r="L395" s="382"/>
    </row>
    <row r="396" spans="1:12" ht="35.25" customHeight="1" x14ac:dyDescent="0.25">
      <c r="A396" s="245">
        <v>4</v>
      </c>
      <c r="B396" s="245">
        <v>25</v>
      </c>
      <c r="C396" s="235" t="s">
        <v>55</v>
      </c>
      <c r="D396" s="364"/>
      <c r="E396" s="77" t="s">
        <v>601</v>
      </c>
      <c r="F396" s="313" t="s">
        <v>3176</v>
      </c>
      <c r="G396" s="313" t="s">
        <v>3177</v>
      </c>
      <c r="H396" s="45" t="str">
        <f t="shared" si="18"/>
        <v>SI</v>
      </c>
      <c r="I396" s="45">
        <f t="shared" si="19"/>
        <v>5</v>
      </c>
      <c r="J396" s="382"/>
      <c r="K396" s="382"/>
      <c r="L396" s="382"/>
    </row>
    <row r="397" spans="1:12" ht="30" x14ac:dyDescent="0.25">
      <c r="A397" s="245">
        <v>4</v>
      </c>
      <c r="B397" s="245">
        <v>25</v>
      </c>
      <c r="C397" s="247" t="s">
        <v>55</v>
      </c>
      <c r="D397" s="364"/>
      <c r="E397" s="248" t="s">
        <v>2931</v>
      </c>
      <c r="F397" s="248" t="s">
        <v>2933</v>
      </c>
      <c r="G397" s="72" t="s">
        <v>2932</v>
      </c>
      <c r="H397" s="105" t="str">
        <f>IF((LEN(F397)=$O$4)*OR(LEN(G397)=$O$4),$N$4,IF(EXACT(F397,$N$5),$N$5,$N$3))</f>
        <v>SI</v>
      </c>
      <c r="I397" s="105">
        <f t="shared" si="19"/>
        <v>5</v>
      </c>
      <c r="J397" s="382"/>
      <c r="K397" s="382"/>
      <c r="L397" s="382"/>
    </row>
    <row r="398" spans="1:12" ht="30" customHeight="1" x14ac:dyDescent="0.25">
      <c r="A398" s="245">
        <v>4</v>
      </c>
      <c r="B398" s="245">
        <v>25</v>
      </c>
      <c r="C398" s="236" t="s">
        <v>55</v>
      </c>
      <c r="D398" s="363"/>
      <c r="E398" s="77" t="s">
        <v>2930</v>
      </c>
      <c r="F398" s="248" t="s">
        <v>2934</v>
      </c>
      <c r="G398" s="72" t="s">
        <v>2935</v>
      </c>
      <c r="H398" s="45" t="str">
        <f t="shared" si="18"/>
        <v>SI</v>
      </c>
      <c r="I398" s="45">
        <f t="shared" si="19"/>
        <v>5</v>
      </c>
      <c r="J398" s="383"/>
      <c r="K398" s="382"/>
      <c r="L398" s="382"/>
    </row>
    <row r="399" spans="1:12" ht="75" x14ac:dyDescent="0.25">
      <c r="A399" s="245">
        <v>4</v>
      </c>
      <c r="B399" s="245">
        <v>25</v>
      </c>
      <c r="C399" s="52" t="str">
        <f>Final!E147</f>
        <v>b</v>
      </c>
      <c r="D399" s="21" t="str">
        <f>Final!F147</f>
        <v>Aplicación, articulación y divulgación de estrategias y mecanismos orientados a incentivar el uso de recursos informáticos y de comunicación, por parte de los profesores y estudiantes del proyecto curricular.</v>
      </c>
      <c r="E399" s="21" t="s">
        <v>489</v>
      </c>
      <c r="F399" s="313" t="s">
        <v>3178</v>
      </c>
      <c r="G399" s="44" t="s">
        <v>3179</v>
      </c>
      <c r="H399" s="45" t="str">
        <f t="shared" si="18"/>
        <v>SI</v>
      </c>
      <c r="I399" s="45">
        <f t="shared" si="19"/>
        <v>5</v>
      </c>
      <c r="J399" s="100">
        <f>AVERAGE(I399)</f>
        <v>5</v>
      </c>
      <c r="K399" s="382"/>
      <c r="L399" s="382"/>
    </row>
    <row r="400" spans="1:12" ht="45" x14ac:dyDescent="0.25">
      <c r="A400" s="245">
        <v>4</v>
      </c>
      <c r="B400" s="245">
        <v>25</v>
      </c>
      <c r="C400" s="234" t="str">
        <f>Final!E148</f>
        <v>c</v>
      </c>
      <c r="D400" s="362" t="str">
        <f>Final!F148</f>
        <v>Actualización, disponibilidad, accesibilidad y calidad de los recursos informáticos y de comunicaciones requeridas por los docentes, estudiantes, directivos y administrativas, que permita el desarrollo de los procesos académicos y de apoyo necesarios para el desarrollo del proyecto curricular de acuerdo con su naturaleza.</v>
      </c>
      <c r="E400" s="21" t="s">
        <v>602</v>
      </c>
      <c r="F400" s="313" t="s">
        <v>3181</v>
      </c>
      <c r="G400" s="44" t="s">
        <v>3180</v>
      </c>
      <c r="H400" s="45" t="str">
        <f t="shared" si="18"/>
        <v>SI</v>
      </c>
      <c r="I400" s="45">
        <f t="shared" si="19"/>
        <v>5</v>
      </c>
      <c r="J400" s="377">
        <f>AVERAGE(I400:I404)</f>
        <v>4</v>
      </c>
      <c r="K400" s="382"/>
      <c r="L400" s="382"/>
    </row>
    <row r="401" spans="1:12" ht="30" x14ac:dyDescent="0.25">
      <c r="A401" s="245">
        <v>4</v>
      </c>
      <c r="B401" s="245">
        <v>25</v>
      </c>
      <c r="C401" s="235" t="s">
        <v>80</v>
      </c>
      <c r="D401" s="364"/>
      <c r="E401" s="77" t="s">
        <v>603</v>
      </c>
      <c r="F401" s="313" t="s">
        <v>3181</v>
      </c>
      <c r="G401" s="44" t="s">
        <v>3180</v>
      </c>
      <c r="H401" s="45" t="str">
        <f t="shared" si="18"/>
        <v>SI</v>
      </c>
      <c r="I401" s="45">
        <f t="shared" si="19"/>
        <v>5</v>
      </c>
      <c r="J401" s="378"/>
      <c r="K401" s="382"/>
      <c r="L401" s="382"/>
    </row>
    <row r="402" spans="1:12" ht="30" x14ac:dyDescent="0.25">
      <c r="A402" s="245">
        <v>4</v>
      </c>
      <c r="B402" s="245">
        <v>25</v>
      </c>
      <c r="C402" s="250" t="s">
        <v>80</v>
      </c>
      <c r="D402" s="364"/>
      <c r="E402" s="248" t="s">
        <v>2924</v>
      </c>
      <c r="F402" s="248" t="s">
        <v>2917</v>
      </c>
      <c r="G402" s="72" t="s">
        <v>2882</v>
      </c>
      <c r="H402" s="105" t="str">
        <f>IF((LEN(F402)=$O$4)*OR(LEN(G402)=$O$4),$N$4,IF(EXACT(F402,$N$5),$N$5,$N$3))</f>
        <v>SI</v>
      </c>
      <c r="I402" s="105">
        <f t="shared" si="19"/>
        <v>5</v>
      </c>
      <c r="J402" s="378"/>
      <c r="K402" s="382"/>
      <c r="L402" s="382"/>
    </row>
    <row r="403" spans="1:12" ht="30" x14ac:dyDescent="0.25">
      <c r="A403" s="245">
        <v>4</v>
      </c>
      <c r="B403" s="245">
        <v>25</v>
      </c>
      <c r="C403" s="235" t="s">
        <v>80</v>
      </c>
      <c r="D403" s="364"/>
      <c r="E403" s="248" t="s">
        <v>2925</v>
      </c>
      <c r="F403" s="248" t="s">
        <v>2918</v>
      </c>
      <c r="G403" s="72" t="s">
        <v>2881</v>
      </c>
      <c r="H403" s="45" t="str">
        <f t="shared" si="18"/>
        <v>SI</v>
      </c>
      <c r="I403" s="45">
        <f t="shared" si="19"/>
        <v>5</v>
      </c>
      <c r="J403" s="378"/>
      <c r="K403" s="382"/>
      <c r="L403" s="382"/>
    </row>
    <row r="404" spans="1:12" x14ac:dyDescent="0.25">
      <c r="A404" s="245">
        <v>4</v>
      </c>
      <c r="B404" s="245">
        <v>25</v>
      </c>
      <c r="C404" s="236" t="s">
        <v>80</v>
      </c>
      <c r="D404" s="363"/>
      <c r="E404" s="77" t="s">
        <v>597</v>
      </c>
      <c r="F404" s="10"/>
      <c r="G404" s="10"/>
      <c r="H404" s="45" t="str">
        <f t="shared" si="18"/>
        <v>NO</v>
      </c>
      <c r="I404" s="45">
        <f t="shared" si="19"/>
        <v>0</v>
      </c>
      <c r="J404" s="379"/>
      <c r="K404" s="382"/>
      <c r="L404" s="382"/>
    </row>
    <row r="405" spans="1:12" ht="46.5" customHeight="1" x14ac:dyDescent="0.25">
      <c r="A405" s="245">
        <v>4</v>
      </c>
      <c r="B405" s="245">
        <v>25</v>
      </c>
      <c r="C405" s="234" t="str">
        <f>Final!E149</f>
        <v>d</v>
      </c>
      <c r="D405" s="362" t="str">
        <f>Final!F149</f>
        <v>Aplicación y evaluación de estrategias que garanticen el rendimiento de los equipos, la capacidad de almacenamiento y la seguridad (confidencialidad, disponibilidad e integridad) en el manejo de la información.</v>
      </c>
      <c r="E405" s="21" t="s">
        <v>604</v>
      </c>
      <c r="F405" s="313" t="s">
        <v>3181</v>
      </c>
      <c r="G405" s="44" t="s">
        <v>3180</v>
      </c>
      <c r="H405" s="45" t="str">
        <f t="shared" si="18"/>
        <v>SI</v>
      </c>
      <c r="I405" s="45">
        <f t="shared" si="19"/>
        <v>5</v>
      </c>
      <c r="J405" s="377">
        <f>AVERAGE(I405:I406)</f>
        <v>5</v>
      </c>
      <c r="K405" s="382"/>
      <c r="L405" s="382"/>
    </row>
    <row r="406" spans="1:12" ht="41.25" customHeight="1" x14ac:dyDescent="0.25">
      <c r="A406" s="245">
        <v>4</v>
      </c>
      <c r="B406" s="245">
        <v>25</v>
      </c>
      <c r="C406" s="236" t="s">
        <v>81</v>
      </c>
      <c r="D406" s="363"/>
      <c r="E406" s="77" t="s">
        <v>605</v>
      </c>
      <c r="F406" s="313" t="s">
        <v>3181</v>
      </c>
      <c r="G406" s="44" t="s">
        <v>3180</v>
      </c>
      <c r="H406" s="45" t="str">
        <f t="shared" si="18"/>
        <v>SI</v>
      </c>
      <c r="I406" s="45">
        <f t="shared" si="19"/>
        <v>5</v>
      </c>
      <c r="J406" s="379"/>
      <c r="K406" s="382"/>
      <c r="L406" s="382"/>
    </row>
    <row r="407" spans="1:12" x14ac:dyDescent="0.25">
      <c r="A407" s="245">
        <v>4</v>
      </c>
      <c r="B407" s="245">
        <v>25</v>
      </c>
      <c r="C407" s="234" t="str">
        <f>Final!E150</f>
        <v>e</v>
      </c>
      <c r="D407" s="362" t="str">
        <f>Final!F150</f>
        <v>Análisis de la eficiencia, oportunidad y eficacia en cuanto a la actualización y al soporte técnico de la plataforma informática y los equipos computacionales con que cuenta el proyecto curricular</v>
      </c>
      <c r="E407" s="21" t="s">
        <v>606</v>
      </c>
      <c r="F407" s="313" t="s">
        <v>3181</v>
      </c>
      <c r="G407" s="44" t="s">
        <v>3180</v>
      </c>
      <c r="H407" s="45" t="str">
        <f t="shared" si="18"/>
        <v>SI</v>
      </c>
      <c r="I407" s="45">
        <f t="shared" si="19"/>
        <v>5</v>
      </c>
      <c r="J407" s="377">
        <f>AVERAGE(I407:I408)</f>
        <v>5</v>
      </c>
      <c r="K407" s="382"/>
      <c r="L407" s="382"/>
    </row>
    <row r="408" spans="1:12" ht="60.75" customHeight="1" x14ac:dyDescent="0.25">
      <c r="A408" s="245">
        <v>4</v>
      </c>
      <c r="B408" s="245">
        <v>25</v>
      </c>
      <c r="C408" s="236" t="s">
        <v>87</v>
      </c>
      <c r="D408" s="363"/>
      <c r="E408" s="77" t="s">
        <v>607</v>
      </c>
      <c r="F408" s="313" t="s">
        <v>3181</v>
      </c>
      <c r="G408" s="44" t="s">
        <v>3180</v>
      </c>
      <c r="H408" s="45" t="str">
        <f t="shared" si="18"/>
        <v>SI</v>
      </c>
      <c r="I408" s="45">
        <f t="shared" si="19"/>
        <v>5</v>
      </c>
      <c r="J408" s="379"/>
      <c r="K408" s="382"/>
      <c r="L408" s="382"/>
    </row>
    <row r="409" spans="1:12" ht="75" x14ac:dyDescent="0.25">
      <c r="A409" s="245">
        <v>4</v>
      </c>
      <c r="B409" s="245">
        <v>25</v>
      </c>
      <c r="C409" s="52" t="str">
        <f>Final!E151</f>
        <v>f</v>
      </c>
      <c r="D409" s="21" t="str">
        <f>Final!F151</f>
        <v>Apreciación de directivos, profesores y estudiantes del proyecto curricular sobre la pertinencia, correspondencia y suficiencia de los recursos informáticos y de comunicación con que cuenta el proyecto curricular.</v>
      </c>
      <c r="E409" s="21" t="s">
        <v>529</v>
      </c>
      <c r="F409" s="105" t="s">
        <v>64</v>
      </c>
      <c r="G409" s="10"/>
      <c r="H409" s="45" t="str">
        <f t="shared" si="18"/>
        <v>NA</v>
      </c>
      <c r="I409" s="45" t="str">
        <f t="shared" si="19"/>
        <v>NA</v>
      </c>
      <c r="J409" s="105" t="str">
        <f>IF(EXACT(I409,$N$3),$O$3,IF(EXACT(I409,$N$5),$N$5,$O$4))</f>
        <v>NA</v>
      </c>
      <c r="K409" s="383"/>
      <c r="L409" s="382"/>
    </row>
    <row r="410" spans="1:12" ht="45" x14ac:dyDescent="0.25">
      <c r="A410" s="245">
        <v>4</v>
      </c>
      <c r="B410" s="245">
        <v>26</v>
      </c>
      <c r="C410" s="234" t="str">
        <f>Final!E152</f>
        <v>a</v>
      </c>
      <c r="D410" s="362" t="str">
        <f>Final!F152</f>
        <v>Adecuación de la dotación de equipos, materiales e insumos en los laboratorios y talleres, campos de práctica, prácticas académicas, culturales y artísticas, plantas piloto, etc., según la naturaleza, metodología y exigencias del proyecto curricular.</v>
      </c>
      <c r="E410" s="248" t="s">
        <v>595</v>
      </c>
      <c r="F410" s="248" t="s">
        <v>2870</v>
      </c>
      <c r="G410" s="72" t="s">
        <v>2892</v>
      </c>
      <c r="H410" s="45" t="str">
        <f t="shared" si="18"/>
        <v>SI</v>
      </c>
      <c r="I410" s="45">
        <f t="shared" si="19"/>
        <v>5</v>
      </c>
      <c r="J410" s="377">
        <f>AVERAGE(I410:I414)</f>
        <v>3.75</v>
      </c>
      <c r="K410" s="377">
        <f>AVERAGE(J410:J428)</f>
        <v>4.5</v>
      </c>
      <c r="L410" s="382"/>
    </row>
    <row r="411" spans="1:12" ht="30" x14ac:dyDescent="0.25">
      <c r="A411" s="245"/>
      <c r="B411" s="245"/>
      <c r="C411" s="250"/>
      <c r="D411" s="364"/>
      <c r="E411" s="248" t="s">
        <v>2924</v>
      </c>
      <c r="F411" s="248" t="s">
        <v>2917</v>
      </c>
      <c r="G411" s="72" t="s">
        <v>2882</v>
      </c>
      <c r="H411" s="105"/>
      <c r="I411" s="105"/>
      <c r="J411" s="378"/>
      <c r="K411" s="378"/>
      <c r="L411" s="382"/>
    </row>
    <row r="412" spans="1:12" ht="30" x14ac:dyDescent="0.25">
      <c r="A412" s="245">
        <v>4</v>
      </c>
      <c r="B412" s="245">
        <v>26</v>
      </c>
      <c r="C412" s="235" t="s">
        <v>55</v>
      </c>
      <c r="D412" s="364"/>
      <c r="E412" s="248" t="s">
        <v>2925</v>
      </c>
      <c r="F412" s="248" t="s">
        <v>2918</v>
      </c>
      <c r="G412" s="72" t="s">
        <v>2881</v>
      </c>
      <c r="H412" s="45" t="str">
        <f t="shared" si="18"/>
        <v>SI</v>
      </c>
      <c r="I412" s="45">
        <f t="shared" ref="I412:I442" si="20">IF(EXACT(H412,$N$3),$O$3,IF(EXACT(H412,$N$5),$N$5,$O$4))</f>
        <v>5</v>
      </c>
      <c r="J412" s="378"/>
      <c r="K412" s="378"/>
      <c r="L412" s="382"/>
    </row>
    <row r="413" spans="1:12" x14ac:dyDescent="0.25">
      <c r="A413" s="245">
        <v>4</v>
      </c>
      <c r="B413" s="245">
        <v>26</v>
      </c>
      <c r="C413" s="235" t="s">
        <v>55</v>
      </c>
      <c r="D413" s="364"/>
      <c r="E413" s="77" t="s">
        <v>597</v>
      </c>
      <c r="F413" s="10"/>
      <c r="G413" s="10"/>
      <c r="H413" s="45" t="str">
        <f t="shared" si="18"/>
        <v>NO</v>
      </c>
      <c r="I413" s="45">
        <f t="shared" si="20"/>
        <v>0</v>
      </c>
      <c r="J413" s="378"/>
      <c r="K413" s="378"/>
      <c r="L413" s="382"/>
    </row>
    <row r="414" spans="1:12" x14ac:dyDescent="0.25">
      <c r="A414" s="245">
        <v>4</v>
      </c>
      <c r="B414" s="245">
        <v>26</v>
      </c>
      <c r="C414" s="236" t="s">
        <v>55</v>
      </c>
      <c r="D414" s="363"/>
      <c r="E414" s="77" t="s">
        <v>609</v>
      </c>
      <c r="F414" s="313" t="s">
        <v>3112</v>
      </c>
      <c r="G414" s="44" t="s">
        <v>3111</v>
      </c>
      <c r="H414" s="45" t="str">
        <f t="shared" si="18"/>
        <v>SI</v>
      </c>
      <c r="I414" s="45">
        <f t="shared" si="20"/>
        <v>5</v>
      </c>
      <c r="J414" s="379"/>
      <c r="K414" s="378"/>
      <c r="L414" s="382"/>
    </row>
    <row r="415" spans="1:12" ht="66.75" customHeight="1" x14ac:dyDescent="0.25">
      <c r="A415" s="245">
        <v>4</v>
      </c>
      <c r="B415" s="245">
        <v>26</v>
      </c>
      <c r="C415" s="234" t="str">
        <f>Final!E153</f>
        <v>b</v>
      </c>
      <c r="D415" s="362" t="str">
        <f>Final!F153</f>
        <v>Cumplimiento de las normas sanitarias y de bioseguridad, salud ocupacional, seguridad industrial y manejo de seres vivos, establecidas en las normas nacionales e institucionales vigentes requeridas para el funcionamiento de laboratorios, máquinas y talleres utilizados por el proyecto curricular.</v>
      </c>
      <c r="E415" s="21" t="s">
        <v>610</v>
      </c>
      <c r="F415" s="313" t="s">
        <v>3182</v>
      </c>
      <c r="G415" s="44" t="s">
        <v>3183</v>
      </c>
      <c r="H415" s="105" t="str">
        <f t="shared" si="18"/>
        <v>SI</v>
      </c>
      <c r="I415" s="45">
        <f t="shared" si="20"/>
        <v>5</v>
      </c>
      <c r="J415" s="377">
        <f>AVERAGE(I415:I416)</f>
        <v>5</v>
      </c>
      <c r="K415" s="378"/>
      <c r="L415" s="382"/>
    </row>
    <row r="416" spans="1:12" ht="41.25" customHeight="1" x14ac:dyDescent="0.25">
      <c r="A416" s="245">
        <v>4</v>
      </c>
      <c r="B416" s="245">
        <v>26</v>
      </c>
      <c r="C416" s="236" t="s">
        <v>56</v>
      </c>
      <c r="D416" s="363"/>
      <c r="E416" s="77" t="s">
        <v>611</v>
      </c>
      <c r="F416" s="248" t="s">
        <v>885</v>
      </c>
      <c r="G416" s="71" t="s">
        <v>3110</v>
      </c>
      <c r="H416" s="45" t="str">
        <f t="shared" si="18"/>
        <v>SI</v>
      </c>
      <c r="I416" s="45">
        <f t="shared" si="20"/>
        <v>5</v>
      </c>
      <c r="J416" s="379"/>
      <c r="K416" s="378"/>
      <c r="L416" s="382"/>
    </row>
    <row r="417" spans="1:12" ht="52.5" customHeight="1" x14ac:dyDescent="0.25">
      <c r="A417" s="245">
        <v>4</v>
      </c>
      <c r="B417" s="245">
        <v>26</v>
      </c>
      <c r="C417" s="234" t="str">
        <f>Final!E154</f>
        <v>c</v>
      </c>
      <c r="D417" s="362" t="str">
        <f>Final!F154</f>
        <v>Adecuación de la dotación, mantenimiento y las medidas de reducción del riesgo tanto delaboratorios, máquinas y talleres como de los equipos y materiales, según la naturaleza, metodología y exigencias del proyecto curricular</v>
      </c>
      <c r="E417" s="21" t="s">
        <v>612</v>
      </c>
      <c r="F417" s="283" t="s">
        <v>3112</v>
      </c>
      <c r="G417" s="44" t="s">
        <v>3111</v>
      </c>
      <c r="H417" s="45" t="str">
        <f t="shared" si="18"/>
        <v>SI</v>
      </c>
      <c r="I417" s="45">
        <f t="shared" si="20"/>
        <v>5</v>
      </c>
      <c r="J417" s="377">
        <f>AVERAGE(I417:I418)</f>
        <v>5</v>
      </c>
      <c r="K417" s="378"/>
      <c r="L417" s="382"/>
    </row>
    <row r="418" spans="1:12" ht="47.25" customHeight="1" x14ac:dyDescent="0.25">
      <c r="A418" s="245">
        <v>4</v>
      </c>
      <c r="B418" s="245">
        <v>26</v>
      </c>
      <c r="C418" s="236" t="s">
        <v>80</v>
      </c>
      <c r="D418" s="363"/>
      <c r="E418" s="77" t="s">
        <v>613</v>
      </c>
      <c r="F418" s="313" t="s">
        <v>3181</v>
      </c>
      <c r="G418" s="44" t="s">
        <v>3180</v>
      </c>
      <c r="H418" s="45" t="str">
        <f t="shared" si="18"/>
        <v>SI</v>
      </c>
      <c r="I418" s="45">
        <f t="shared" si="20"/>
        <v>5</v>
      </c>
      <c r="J418" s="379"/>
      <c r="K418" s="378"/>
      <c r="L418" s="382"/>
    </row>
    <row r="419" spans="1:12" ht="36.75" customHeight="1" x14ac:dyDescent="0.25">
      <c r="A419" s="245">
        <v>4</v>
      </c>
      <c r="B419" s="245">
        <v>26</v>
      </c>
      <c r="C419" s="234" t="str">
        <f>Final!E155</f>
        <v>d</v>
      </c>
      <c r="D419" s="362" t="str">
        <f>Final!F155</f>
        <v>Disponibilidad y capacidad de talleres, laboratorios, equipos, medios audiovisuales, sitios de práctica, espacios para atención a estudiantes, estaciones y granjas experimentales, escenarios de simulación virtual, entre otros, según los requerimientos del proyecto curricular que permitan el óptimo desempeño de la actividad docente, investigativa y de proyección social.</v>
      </c>
      <c r="E419" s="248" t="s">
        <v>595</v>
      </c>
      <c r="F419" s="248" t="s">
        <v>2870</v>
      </c>
      <c r="G419" s="72" t="s">
        <v>2892</v>
      </c>
      <c r="H419" s="45" t="str">
        <f t="shared" si="18"/>
        <v>SI</v>
      </c>
      <c r="I419" s="45">
        <f t="shared" si="20"/>
        <v>5</v>
      </c>
      <c r="J419" s="377">
        <f>AVERAGE(I419:I423)</f>
        <v>5</v>
      </c>
      <c r="K419" s="378"/>
      <c r="L419" s="382"/>
    </row>
    <row r="420" spans="1:12" ht="36.75" customHeight="1" x14ac:dyDescent="0.25">
      <c r="A420" s="245">
        <v>4</v>
      </c>
      <c r="B420" s="245">
        <v>26</v>
      </c>
      <c r="C420" s="250" t="s">
        <v>81</v>
      </c>
      <c r="D420" s="364"/>
      <c r="E420" s="248" t="s">
        <v>3188</v>
      </c>
      <c r="F420" s="248" t="s">
        <v>3187</v>
      </c>
      <c r="G420" s="220" t="s">
        <v>3186</v>
      </c>
      <c r="H420" s="105" t="str">
        <f>IF((LEN(F420)=$O$4)*OR(LEN(G420)=$O$4),$N$4,IF(EXACT(F420,$N$5),$N$5,$N$3))</f>
        <v>SI</v>
      </c>
      <c r="I420" s="105">
        <f t="shared" si="20"/>
        <v>5</v>
      </c>
      <c r="J420" s="378"/>
      <c r="K420" s="378"/>
      <c r="L420" s="382"/>
    </row>
    <row r="421" spans="1:12" ht="33" customHeight="1" x14ac:dyDescent="0.25">
      <c r="A421" s="245">
        <v>4</v>
      </c>
      <c r="B421" s="245">
        <v>26</v>
      </c>
      <c r="C421" s="235" t="s">
        <v>81</v>
      </c>
      <c r="D421" s="364"/>
      <c r="E421" s="248" t="s">
        <v>2925</v>
      </c>
      <c r="F421" s="248" t="s">
        <v>2918</v>
      </c>
      <c r="G421" s="72" t="s">
        <v>3138</v>
      </c>
      <c r="H421" s="45" t="str">
        <f t="shared" si="18"/>
        <v>SI</v>
      </c>
      <c r="I421" s="45">
        <f t="shared" si="20"/>
        <v>5</v>
      </c>
      <c r="J421" s="378"/>
      <c r="K421" s="378"/>
      <c r="L421" s="382"/>
    </row>
    <row r="422" spans="1:12" ht="27.75" customHeight="1" x14ac:dyDescent="0.25">
      <c r="A422" s="245">
        <v>4</v>
      </c>
      <c r="B422" s="245">
        <v>26</v>
      </c>
      <c r="C422" s="235" t="s">
        <v>81</v>
      </c>
      <c r="D422" s="364"/>
      <c r="E422" s="77" t="s">
        <v>3184</v>
      </c>
      <c r="F422" s="315" t="s">
        <v>3185</v>
      </c>
      <c r="G422" s="44" t="s">
        <v>3180</v>
      </c>
      <c r="H422" s="45" t="str">
        <f t="shared" si="18"/>
        <v>SI</v>
      </c>
      <c r="I422" s="45">
        <f t="shared" si="20"/>
        <v>5</v>
      </c>
      <c r="J422" s="378"/>
      <c r="K422" s="378"/>
      <c r="L422" s="382"/>
    </row>
    <row r="423" spans="1:12" ht="35.25" customHeight="1" x14ac:dyDescent="0.25">
      <c r="A423" s="10">
        <v>4</v>
      </c>
      <c r="B423" s="10">
        <v>26</v>
      </c>
      <c r="C423" s="251" t="s">
        <v>81</v>
      </c>
      <c r="D423" s="363"/>
      <c r="E423" s="77" t="s">
        <v>614</v>
      </c>
      <c r="F423" s="283" t="s">
        <v>3112</v>
      </c>
      <c r="G423" s="44" t="s">
        <v>3111</v>
      </c>
      <c r="H423" s="45" t="str">
        <f t="shared" si="18"/>
        <v>SI</v>
      </c>
      <c r="I423" s="45">
        <f t="shared" si="20"/>
        <v>5</v>
      </c>
      <c r="J423" s="379"/>
      <c r="K423" s="378"/>
      <c r="L423" s="382"/>
    </row>
    <row r="424" spans="1:12" ht="47.25" customHeight="1" x14ac:dyDescent="0.25">
      <c r="A424" s="10">
        <v>4</v>
      </c>
      <c r="B424" s="10">
        <v>26</v>
      </c>
      <c r="C424" s="251" t="str">
        <f>Final!E156</f>
        <v>e</v>
      </c>
      <c r="D424" s="362" t="str">
        <f>Final!F156</f>
        <v>Descripción de la actividad desplegada, por parte de la comunidad académica, en desarrollo de los convenios de cooperación con centros, instituciones, empresas u organizaciones, que facilitan el uso de otros recursos y escenarios de enseñanza, aprendizaje, investigación y creación artística y cultural, práctica profesional, entre otros.</v>
      </c>
      <c r="E424" s="21" t="s">
        <v>615</v>
      </c>
      <c r="F424" s="283" t="s">
        <v>887</v>
      </c>
      <c r="G424" s="44" t="s">
        <v>886</v>
      </c>
      <c r="H424" s="45" t="str">
        <f t="shared" si="18"/>
        <v>SI</v>
      </c>
      <c r="I424" s="45">
        <f t="shared" si="20"/>
        <v>5</v>
      </c>
      <c r="J424" s="377">
        <f>AVERAGE(I424:I427)</f>
        <v>3.75</v>
      </c>
      <c r="K424" s="378"/>
      <c r="L424" s="382"/>
    </row>
    <row r="425" spans="1:12" ht="30" x14ac:dyDescent="0.25">
      <c r="A425" s="10">
        <v>4</v>
      </c>
      <c r="B425" s="10">
        <v>26</v>
      </c>
      <c r="C425" s="251" t="s">
        <v>87</v>
      </c>
      <c r="D425" s="364"/>
      <c r="E425" s="77" t="s">
        <v>616</v>
      </c>
      <c r="F425" s="10"/>
      <c r="G425" s="10"/>
      <c r="H425" s="45" t="str">
        <f t="shared" si="18"/>
        <v>NO</v>
      </c>
      <c r="I425" s="45">
        <f t="shared" si="20"/>
        <v>0</v>
      </c>
      <c r="J425" s="378"/>
      <c r="K425" s="378"/>
      <c r="L425" s="382"/>
    </row>
    <row r="426" spans="1:12" ht="30" x14ac:dyDescent="0.25">
      <c r="A426" s="10">
        <v>4</v>
      </c>
      <c r="B426" s="10">
        <v>26</v>
      </c>
      <c r="C426" s="251" t="s">
        <v>87</v>
      </c>
      <c r="D426" s="364"/>
      <c r="E426" s="248" t="s">
        <v>2924</v>
      </c>
      <c r="F426" s="248" t="s">
        <v>2917</v>
      </c>
      <c r="G426" s="72" t="s">
        <v>2882</v>
      </c>
      <c r="H426" s="105" t="str">
        <f>IF((LEN(F426)=$O$4)*OR(LEN(G426)=$O$4),$N$4,IF(EXACT(F426,$N$5),$N$5,$N$3))</f>
        <v>SI</v>
      </c>
      <c r="I426" s="105">
        <f t="shared" si="20"/>
        <v>5</v>
      </c>
      <c r="J426" s="378"/>
      <c r="K426" s="378"/>
      <c r="L426" s="382"/>
    </row>
    <row r="427" spans="1:12" ht="45" x14ac:dyDescent="0.25">
      <c r="A427" s="10">
        <v>4</v>
      </c>
      <c r="B427" s="10">
        <v>26</v>
      </c>
      <c r="C427" s="251" t="s">
        <v>87</v>
      </c>
      <c r="D427" s="363"/>
      <c r="E427" s="248" t="s">
        <v>2925</v>
      </c>
      <c r="F427" s="248" t="s">
        <v>2918</v>
      </c>
      <c r="G427" s="72" t="s">
        <v>3138</v>
      </c>
      <c r="H427" s="45" t="str">
        <f t="shared" si="18"/>
        <v>SI</v>
      </c>
      <c r="I427" s="45">
        <f t="shared" si="20"/>
        <v>5</v>
      </c>
      <c r="J427" s="379"/>
      <c r="K427" s="378"/>
      <c r="L427" s="382"/>
    </row>
    <row r="428" spans="1:12" ht="120" x14ac:dyDescent="0.25">
      <c r="A428" s="245">
        <v>4</v>
      </c>
      <c r="B428" s="245">
        <v>26</v>
      </c>
      <c r="C428" s="52" t="str">
        <f>Final!E157</f>
        <v>f</v>
      </c>
      <c r="D428" s="21" t="str">
        <f>Final!F157</f>
        <v>Apreciación de profesores, estudiantes, administrativos y auxiliares de laboratorio del proyecto curricular sobre la capacidad, disponibilidad, dotación y cumplimiento de las normas vigentes en laboratorios, talleres, ayudas audiovisuales y campos de práctica, con los que cuenta el proyecto curricular para el desarrollo de sus actividades.</v>
      </c>
      <c r="E428" s="21" t="s">
        <v>529</v>
      </c>
      <c r="F428" s="105" t="s">
        <v>64</v>
      </c>
      <c r="G428" s="10"/>
      <c r="H428" s="45" t="str">
        <f t="shared" si="18"/>
        <v>NA</v>
      </c>
      <c r="I428" s="45" t="str">
        <f t="shared" si="20"/>
        <v>NA</v>
      </c>
      <c r="J428" s="105" t="str">
        <f>IF(EXACT(I428,$N$3),$O$3,IF(EXACT(I428,$N$5),$N$5,$O$4))</f>
        <v>NA</v>
      </c>
      <c r="K428" s="379"/>
      <c r="L428" s="383"/>
    </row>
    <row r="429" spans="1:12" ht="90" customHeight="1" x14ac:dyDescent="0.25">
      <c r="A429" s="245">
        <v>5</v>
      </c>
      <c r="B429" s="245">
        <v>27</v>
      </c>
      <c r="C429" s="52" t="str">
        <f>Final!E158</f>
        <v>a</v>
      </c>
      <c r="D429" s="21" t="str">
        <f>Final!F158</f>
        <v>Existencia, aplicación y seguimiento de políticas institucionales en materia de incorporación de referentes académicos externos, nacionales e internacionales para la revisión y actualización del plan de estudio.</v>
      </c>
      <c r="E429" s="21" t="s">
        <v>617</v>
      </c>
      <c r="F429" s="43" t="s">
        <v>2870</v>
      </c>
      <c r="G429" s="72" t="s">
        <v>2892</v>
      </c>
      <c r="H429" s="45" t="str">
        <f t="shared" si="18"/>
        <v>SI</v>
      </c>
      <c r="I429" s="45">
        <f t="shared" si="20"/>
        <v>5</v>
      </c>
      <c r="J429" s="100">
        <f>AVERAGE(I429)</f>
        <v>5</v>
      </c>
      <c r="K429" s="381">
        <f>AVERAGE(J429:J452)</f>
        <v>3.6363636363636362</v>
      </c>
      <c r="L429" s="381">
        <f>(K429*Ponderación!D28)+(K453*Ponderación!D29)</f>
        <v>3.5031249999999998</v>
      </c>
    </row>
    <row r="430" spans="1:12" ht="55.5" customHeight="1" x14ac:dyDescent="0.25">
      <c r="A430" s="245">
        <v>5</v>
      </c>
      <c r="B430" s="245">
        <v>27</v>
      </c>
      <c r="C430" s="234" t="str">
        <f>Final!E159</f>
        <v>b</v>
      </c>
      <c r="D430" s="362" t="str">
        <f>Final!F159</f>
        <v>Existencia de propuestas en curso y actividades ejecutadas para la revisión y actualización del plan de estudios, donde se tengan en cuenta referentes académicos externos, nacionales e internacionales.</v>
      </c>
      <c r="E430" s="21"/>
      <c r="F430" s="43"/>
      <c r="G430" s="72"/>
      <c r="H430" s="45" t="str">
        <f t="shared" si="18"/>
        <v>NO</v>
      </c>
      <c r="I430" s="45">
        <f t="shared" si="20"/>
        <v>0</v>
      </c>
      <c r="J430" s="377">
        <f>AVERAGE(I430:I431)</f>
        <v>2.5</v>
      </c>
      <c r="K430" s="382"/>
      <c r="L430" s="382"/>
    </row>
    <row r="431" spans="1:12" ht="39.75" customHeight="1" x14ac:dyDescent="0.25">
      <c r="A431" s="245">
        <v>5</v>
      </c>
      <c r="B431" s="245">
        <v>27</v>
      </c>
      <c r="C431" s="236" t="s">
        <v>56</v>
      </c>
      <c r="D431" s="363"/>
      <c r="E431" s="77" t="s">
        <v>92</v>
      </c>
      <c r="F431" s="264" t="s">
        <v>92</v>
      </c>
      <c r="G431" s="72" t="s">
        <v>2872</v>
      </c>
      <c r="H431" s="45" t="str">
        <f t="shared" si="18"/>
        <v>SI</v>
      </c>
      <c r="I431" s="45">
        <f t="shared" si="20"/>
        <v>5</v>
      </c>
      <c r="J431" s="379"/>
      <c r="K431" s="382"/>
      <c r="L431" s="382"/>
    </row>
    <row r="432" spans="1:12" ht="45" x14ac:dyDescent="0.25">
      <c r="A432" s="245">
        <v>5</v>
      </c>
      <c r="B432" s="245">
        <v>27</v>
      </c>
      <c r="C432" s="234" t="str">
        <f>Final!E160</f>
        <v>c</v>
      </c>
      <c r="D432" s="362" t="str">
        <f>Final!F160</f>
        <v>Actividades desarrolladas por los proyectos curriculares en las que se discuta y realicen análisis sistemáticos de comparabilidad con otros programas nacionales e internacionales de la misma naturaleza.</v>
      </c>
      <c r="E432" s="21" t="s">
        <v>617</v>
      </c>
      <c r="F432" s="43" t="s">
        <v>2870</v>
      </c>
      <c r="G432" s="72" t="s">
        <v>2892</v>
      </c>
      <c r="H432" s="45" t="str">
        <f t="shared" si="18"/>
        <v>SI</v>
      </c>
      <c r="I432" s="45">
        <f t="shared" si="20"/>
        <v>5</v>
      </c>
      <c r="J432" s="377">
        <f>AVERAGE(I432:I435)</f>
        <v>2.5</v>
      </c>
      <c r="K432" s="382"/>
      <c r="L432" s="382"/>
    </row>
    <row r="433" spans="1:12" ht="30" x14ac:dyDescent="0.25">
      <c r="A433" s="245">
        <v>5</v>
      </c>
      <c r="B433" s="245">
        <v>27</v>
      </c>
      <c r="C433" s="235" t="s">
        <v>80</v>
      </c>
      <c r="D433" s="364"/>
      <c r="E433" s="77" t="s">
        <v>92</v>
      </c>
      <c r="F433" s="264" t="s">
        <v>92</v>
      </c>
      <c r="G433" s="72" t="s">
        <v>2872</v>
      </c>
      <c r="H433" s="45" t="str">
        <f t="shared" si="18"/>
        <v>SI</v>
      </c>
      <c r="I433" s="45">
        <f t="shared" si="20"/>
        <v>5</v>
      </c>
      <c r="J433" s="378"/>
      <c r="K433" s="382"/>
      <c r="L433" s="382"/>
    </row>
    <row r="434" spans="1:12" x14ac:dyDescent="0.25">
      <c r="A434" s="245">
        <v>5</v>
      </c>
      <c r="B434" s="245">
        <v>27</v>
      </c>
      <c r="C434" s="235" t="s">
        <v>80</v>
      </c>
      <c r="D434" s="364"/>
      <c r="E434" s="77" t="s">
        <v>3190</v>
      </c>
      <c r="F434" s="10"/>
      <c r="G434" s="10"/>
      <c r="H434" s="45" t="str">
        <f t="shared" si="18"/>
        <v>NO</v>
      </c>
      <c r="I434" s="45">
        <f t="shared" si="20"/>
        <v>0</v>
      </c>
      <c r="J434" s="378"/>
      <c r="K434" s="382"/>
      <c r="L434" s="382"/>
    </row>
    <row r="435" spans="1:12" x14ac:dyDescent="0.25">
      <c r="A435" s="245">
        <v>5</v>
      </c>
      <c r="B435" s="245">
        <v>27</v>
      </c>
      <c r="C435" s="236" t="s">
        <v>80</v>
      </c>
      <c r="D435" s="363"/>
      <c r="E435" s="315" t="s">
        <v>3190</v>
      </c>
      <c r="F435" s="10"/>
      <c r="G435" s="10"/>
      <c r="H435" s="45" t="str">
        <f t="shared" si="18"/>
        <v>NO</v>
      </c>
      <c r="I435" s="45">
        <f t="shared" si="20"/>
        <v>0</v>
      </c>
      <c r="J435" s="379"/>
      <c r="K435" s="382"/>
      <c r="L435" s="382"/>
    </row>
    <row r="436" spans="1:12" ht="83.25" customHeight="1" x14ac:dyDescent="0.25">
      <c r="A436" s="245">
        <v>5</v>
      </c>
      <c r="B436" s="245">
        <v>27</v>
      </c>
      <c r="C436" s="234" t="str">
        <f>Final!E161</f>
        <v>d</v>
      </c>
      <c r="D436" s="362" t="str">
        <f>Final!F161</f>
        <v>Acuerdos y convenios activos de cooperación académica, establecidos y desarrollados por el proyecto curricular con instituciones y programas de alta calidad y reconocimiento nacional e internacional, o con instituciones reconocidas de diversa índole relacionados con el campo de formación del proyecto curricular.</v>
      </c>
      <c r="E436" s="21" t="s">
        <v>92</v>
      </c>
      <c r="F436" s="264" t="s">
        <v>92</v>
      </c>
      <c r="G436" s="72" t="s">
        <v>2872</v>
      </c>
      <c r="H436" s="45" t="str">
        <f t="shared" si="18"/>
        <v>SI</v>
      </c>
      <c r="I436" s="45">
        <f t="shared" si="20"/>
        <v>5</v>
      </c>
      <c r="J436" s="377">
        <f>AVERAGE(I436:I438)</f>
        <v>5</v>
      </c>
      <c r="K436" s="382"/>
      <c r="L436" s="382"/>
    </row>
    <row r="437" spans="1:12" ht="21" customHeight="1" x14ac:dyDescent="0.25">
      <c r="A437" s="245">
        <v>5</v>
      </c>
      <c r="B437" s="245">
        <v>27</v>
      </c>
      <c r="C437" s="235" t="s">
        <v>81</v>
      </c>
      <c r="D437" s="364"/>
      <c r="E437" s="254" t="s">
        <v>888</v>
      </c>
      <c r="F437" s="264" t="s">
        <v>889</v>
      </c>
      <c r="G437" s="71" t="s">
        <v>2861</v>
      </c>
      <c r="H437" s="45" t="str">
        <f>IF((LEN(F437)=$O$4)*OR(LEN(G437)=$O$4),$N$4,IF(EXACT(F437,$N$5),$N$5,$N$3))</f>
        <v>SI</v>
      </c>
      <c r="I437" s="45">
        <f t="shared" si="20"/>
        <v>5</v>
      </c>
      <c r="J437" s="378"/>
      <c r="K437" s="382"/>
      <c r="L437" s="382"/>
    </row>
    <row r="438" spans="1:12" ht="33.75" customHeight="1" x14ac:dyDescent="0.25">
      <c r="A438" s="245">
        <v>5</v>
      </c>
      <c r="B438" s="245">
        <v>27</v>
      </c>
      <c r="C438" s="236" t="s">
        <v>81</v>
      </c>
      <c r="D438" s="363"/>
      <c r="E438" s="77" t="s">
        <v>441</v>
      </c>
      <c r="F438" s="10" t="s">
        <v>64</v>
      </c>
      <c r="G438" s="10"/>
      <c r="H438" s="45" t="str">
        <f t="shared" si="18"/>
        <v>NA</v>
      </c>
      <c r="I438" s="45" t="str">
        <f t="shared" si="20"/>
        <v>NA</v>
      </c>
      <c r="J438" s="379"/>
      <c r="K438" s="382"/>
      <c r="L438" s="382"/>
    </row>
    <row r="439" spans="1:12" ht="63" customHeight="1" x14ac:dyDescent="0.25">
      <c r="A439" s="245">
        <v>5</v>
      </c>
      <c r="B439" s="245">
        <v>27</v>
      </c>
      <c r="C439" s="234" t="str">
        <f>Final!E162</f>
        <v>e</v>
      </c>
      <c r="D439" s="362" t="str">
        <f>Final!F162</f>
        <v>Actividades de cooperación académica desarrolladas por el proyecto curricular con instituciones y programas de alta calidad y(o reconocimiento nacional e internacional, o con instituciones reconocidas de diverso índole, que permitan el desarrollo del campo de conocimiento del proyecto curricular.</v>
      </c>
      <c r="E439" s="21" t="s">
        <v>92</v>
      </c>
      <c r="F439" s="264" t="s">
        <v>92</v>
      </c>
      <c r="G439" s="72" t="s">
        <v>2872</v>
      </c>
      <c r="H439" s="45" t="str">
        <f t="shared" si="18"/>
        <v>SI</v>
      </c>
      <c r="I439" s="45">
        <f t="shared" si="20"/>
        <v>5</v>
      </c>
      <c r="J439" s="377">
        <f>AVERAGE(I439:I442)</f>
        <v>5</v>
      </c>
      <c r="K439" s="382"/>
      <c r="L439" s="382"/>
    </row>
    <row r="440" spans="1:12" ht="27.75" customHeight="1" x14ac:dyDescent="0.25">
      <c r="A440" s="245">
        <v>5</v>
      </c>
      <c r="B440" s="245">
        <v>27</v>
      </c>
      <c r="C440" s="235" t="s">
        <v>87</v>
      </c>
      <c r="D440" s="364"/>
      <c r="E440" s="254" t="s">
        <v>888</v>
      </c>
      <c r="F440" s="264" t="s">
        <v>889</v>
      </c>
      <c r="G440" s="71" t="s">
        <v>2861</v>
      </c>
      <c r="H440" s="45" t="str">
        <f>IF((LEN(F440)=$O$4)*OR(LEN(G440)=$O$4),$N$4,IF(EXACT(F440,$N$5),$N$5,$N$3))</f>
        <v>SI</v>
      </c>
      <c r="I440" s="45">
        <f t="shared" si="20"/>
        <v>5</v>
      </c>
      <c r="J440" s="378"/>
      <c r="K440" s="382"/>
      <c r="L440" s="382"/>
    </row>
    <row r="441" spans="1:12" x14ac:dyDescent="0.25">
      <c r="A441" s="245">
        <v>5</v>
      </c>
      <c r="B441" s="245">
        <v>27</v>
      </c>
      <c r="C441" s="235" t="s">
        <v>87</v>
      </c>
      <c r="D441" s="364"/>
      <c r="E441" s="82" t="s">
        <v>441</v>
      </c>
      <c r="F441" s="315" t="s">
        <v>3191</v>
      </c>
      <c r="G441" s="220" t="s">
        <v>891</v>
      </c>
      <c r="H441" s="45" t="str">
        <f t="shared" si="18"/>
        <v>SI</v>
      </c>
      <c r="I441" s="45">
        <f t="shared" si="20"/>
        <v>5</v>
      </c>
      <c r="J441" s="378"/>
      <c r="K441" s="382"/>
      <c r="L441" s="382"/>
    </row>
    <row r="442" spans="1:12" ht="30" x14ac:dyDescent="0.25">
      <c r="A442" s="245">
        <v>5</v>
      </c>
      <c r="B442" s="245">
        <v>27</v>
      </c>
      <c r="C442" s="236" t="s">
        <v>87</v>
      </c>
      <c r="D442" s="363"/>
      <c r="E442" s="82" t="s">
        <v>3012</v>
      </c>
      <c r="F442" s="9" t="s">
        <v>3193</v>
      </c>
      <c r="G442" s="220" t="s">
        <v>3192</v>
      </c>
      <c r="H442" s="45" t="str">
        <f t="shared" si="18"/>
        <v>SI</v>
      </c>
      <c r="I442" s="45">
        <f t="shared" si="20"/>
        <v>5</v>
      </c>
      <c r="J442" s="379"/>
      <c r="K442" s="382"/>
      <c r="L442" s="382"/>
    </row>
    <row r="443" spans="1:12" ht="165" x14ac:dyDescent="0.25">
      <c r="A443" s="245">
        <v>5</v>
      </c>
      <c r="B443" s="245">
        <v>27</v>
      </c>
      <c r="C443" s="234" t="str">
        <f>Final!E163</f>
        <v>f</v>
      </c>
      <c r="D443" s="80" t="str">
        <f>Final!F163</f>
        <v>Proyectos de investigación, innovación, creación artística y cultural y/o proyección, desarrollados como producto de la cooperación académica y profesional y realizada por directivos, profesores y estudiantes del proyecto curricular, con miembros de comunidades nacionales e internacionales de reconocido liderazgo en el área del proyecto curricular, o con miembros de comunidades cuyo conocimiento es considerado fundamental y de gran valor dentro del contexto del proyecto curricular y/o la disciplina.</v>
      </c>
      <c r="E443" s="21" t="s">
        <v>619</v>
      </c>
      <c r="F443" s="283" t="s">
        <v>2870</v>
      </c>
      <c r="G443" s="72" t="s">
        <v>2892</v>
      </c>
      <c r="H443" s="45" t="str">
        <f t="shared" ref="H443:H513" si="21">IF((LEN(F443)=$O$4)*OR(LEN(G443)=$O$4),$N$4,IF(EXACT(F443,$N$5),$N$5,$N$3))</f>
        <v>SI</v>
      </c>
      <c r="I443" s="45">
        <f t="shared" ref="I443:I513" si="22">IF(EXACT(H443,$N$3),$O$3,IF(EXACT(H443,$N$5),$N$5,$O$4))</f>
        <v>5</v>
      </c>
      <c r="J443" s="100">
        <f>AVERAGE(I443)</f>
        <v>5</v>
      </c>
      <c r="K443" s="382"/>
      <c r="L443" s="382"/>
    </row>
    <row r="444" spans="1:12" ht="120" x14ac:dyDescent="0.25">
      <c r="A444" s="245">
        <v>5</v>
      </c>
      <c r="B444" s="245">
        <v>27</v>
      </c>
      <c r="C444" s="52" t="str">
        <f>Final!E164</f>
        <v>g</v>
      </c>
      <c r="D444" s="21" t="str">
        <f>Final!F164</f>
        <v>Profesores, estudiantes y directivos del proyecto curricular con participación activa en redes u organismos nacionales e internacionales de la que se hayan derivado productos concretos como publicaciones en coautoría, cofinanciación de proyectos, registros y patentes, entre otros, de acuerdo al campo de conocimiento del proyecto curricular.</v>
      </c>
      <c r="E444" s="21" t="s">
        <v>890</v>
      </c>
      <c r="F444" s="283" t="s">
        <v>3013</v>
      </c>
      <c r="G444" s="72" t="s">
        <v>3016</v>
      </c>
      <c r="H444" s="45" t="str">
        <f t="shared" si="21"/>
        <v>SI</v>
      </c>
      <c r="I444" s="45">
        <f t="shared" si="22"/>
        <v>5</v>
      </c>
      <c r="J444" s="100">
        <f>I444</f>
        <v>5</v>
      </c>
      <c r="K444" s="382"/>
      <c r="L444" s="382"/>
    </row>
    <row r="445" spans="1:12" ht="60" x14ac:dyDescent="0.25">
      <c r="A445" s="245">
        <v>5</v>
      </c>
      <c r="B445" s="245">
        <v>27</v>
      </c>
      <c r="C445" s="52" t="str">
        <f>Final!E165</f>
        <v>h</v>
      </c>
      <c r="D445" s="21" t="str">
        <f>Final!F165</f>
        <v>Existencia de estudios o iniciativas en curso, sobre posibilidades de doble titulación con otras instituciones, de acuerdo con el tipo y naturaleza del proyecto curricular.</v>
      </c>
      <c r="E445" s="21" t="s">
        <v>92</v>
      </c>
      <c r="F445" s="264" t="s">
        <v>92</v>
      </c>
      <c r="G445" s="72" t="s">
        <v>2872</v>
      </c>
      <c r="H445" s="45" t="str">
        <f t="shared" si="21"/>
        <v>SI</v>
      </c>
      <c r="I445" s="45">
        <f t="shared" si="22"/>
        <v>5</v>
      </c>
      <c r="J445" s="100">
        <f>AVERAGE(I445)</f>
        <v>5</v>
      </c>
      <c r="K445" s="382"/>
      <c r="L445" s="382"/>
    </row>
    <row r="446" spans="1:12" ht="45" x14ac:dyDescent="0.25">
      <c r="A446" s="245">
        <v>5</v>
      </c>
      <c r="B446" s="245">
        <v>27</v>
      </c>
      <c r="C446" s="234" t="str">
        <f>Final!E166</f>
        <v>i</v>
      </c>
      <c r="D446" s="362" t="str">
        <f>Final!F166</f>
        <v>Introducción de modificaciones y ajustes en el plan de estudios surgidos a partir de la interacción con comunidades académicas nacionales e internacionales y evaluación del impacto de dichas modificaciones.</v>
      </c>
      <c r="E446" s="21" t="s">
        <v>3017</v>
      </c>
      <c r="F446" s="283"/>
      <c r="G446" s="44"/>
      <c r="H446" s="45" t="str">
        <f t="shared" si="21"/>
        <v>NO</v>
      </c>
      <c r="I446" s="45">
        <f t="shared" si="22"/>
        <v>0</v>
      </c>
      <c r="J446" s="377">
        <f>AVERAGE(I446:I447)</f>
        <v>0</v>
      </c>
      <c r="K446" s="382"/>
      <c r="L446" s="382"/>
    </row>
    <row r="447" spans="1:12" ht="25.5" customHeight="1" x14ac:dyDescent="0.25">
      <c r="A447" s="245">
        <v>5</v>
      </c>
      <c r="B447" s="245">
        <v>27</v>
      </c>
      <c r="C447" s="236" t="s">
        <v>106</v>
      </c>
      <c r="D447" s="363"/>
      <c r="E447" s="82" t="s">
        <v>441</v>
      </c>
      <c r="F447" s="10"/>
      <c r="G447" s="10"/>
      <c r="H447" s="45" t="str">
        <f t="shared" si="21"/>
        <v>NO</v>
      </c>
      <c r="I447" s="45">
        <f t="shared" si="22"/>
        <v>0</v>
      </c>
      <c r="J447" s="379"/>
      <c r="K447" s="382"/>
      <c r="L447" s="382"/>
    </row>
    <row r="448" spans="1:12" ht="30" x14ac:dyDescent="0.25">
      <c r="A448" s="245">
        <v>5</v>
      </c>
      <c r="B448" s="245">
        <v>27</v>
      </c>
      <c r="C448" s="234" t="str">
        <f>Final!E167</f>
        <v>j</v>
      </c>
      <c r="D448" s="362" t="str">
        <f>Final!F167</f>
        <v>Evidencias del impacto social que ha generado la inserción del proyecto curricular en contextos académicos o profesionales nacionales e internacionales relacionados con el campo de formación, de acuerdo a su naturaleza y sus objetivos de formación.</v>
      </c>
      <c r="E448" s="21" t="s">
        <v>3018</v>
      </c>
      <c r="F448" s="10"/>
      <c r="G448" s="10"/>
      <c r="H448" s="45" t="str">
        <f t="shared" si="21"/>
        <v>NO</v>
      </c>
      <c r="I448" s="45">
        <f t="shared" si="22"/>
        <v>0</v>
      </c>
      <c r="J448" s="377">
        <f>AVERAGE(I448:I449)</f>
        <v>2.5</v>
      </c>
      <c r="K448" s="382"/>
      <c r="L448" s="382"/>
    </row>
    <row r="449" spans="1:12" ht="75" x14ac:dyDescent="0.25">
      <c r="A449" s="245">
        <v>5</v>
      </c>
      <c r="B449" s="245">
        <v>27</v>
      </c>
      <c r="C449" s="236" t="s">
        <v>177</v>
      </c>
      <c r="D449" s="363"/>
      <c r="E449" s="82" t="s">
        <v>3019</v>
      </c>
      <c r="F449" s="283" t="s">
        <v>3020</v>
      </c>
      <c r="G449" s="289" t="s">
        <v>3021</v>
      </c>
      <c r="H449" s="45" t="str">
        <f t="shared" si="21"/>
        <v>SI</v>
      </c>
      <c r="I449" s="45">
        <f t="shared" si="22"/>
        <v>5</v>
      </c>
      <c r="J449" s="379"/>
      <c r="K449" s="382"/>
      <c r="L449" s="382"/>
    </row>
    <row r="450" spans="1:12" ht="30" x14ac:dyDescent="0.25">
      <c r="A450" s="245"/>
      <c r="B450" s="245">
        <v>27</v>
      </c>
      <c r="C450" s="284" t="s">
        <v>181</v>
      </c>
      <c r="D450" s="359" t="str">
        <f>Final!F168</f>
        <v>Inversión efectivamente realizada por la institución para los fines de internacionalización del currículo del proyecto curricular, en los últimos cinco años.</v>
      </c>
      <c r="E450" s="283" t="s">
        <v>890</v>
      </c>
      <c r="F450" s="283" t="s">
        <v>3013</v>
      </c>
      <c r="G450" s="72" t="s">
        <v>3016</v>
      </c>
      <c r="H450" s="105"/>
      <c r="I450" s="105"/>
      <c r="J450" s="282"/>
      <c r="K450" s="382"/>
      <c r="L450" s="382"/>
    </row>
    <row r="451" spans="1:12" ht="15.95" customHeight="1" x14ac:dyDescent="0.25">
      <c r="A451" s="245">
        <v>5</v>
      </c>
      <c r="B451" s="245">
        <v>27</v>
      </c>
      <c r="C451" s="285" t="str">
        <f>Final!E168</f>
        <v>k</v>
      </c>
      <c r="D451" s="360"/>
      <c r="E451" s="21" t="s">
        <v>622</v>
      </c>
      <c r="F451" s="264" t="s">
        <v>622</v>
      </c>
      <c r="G451" s="44" t="s">
        <v>2952</v>
      </c>
      <c r="H451" s="45" t="str">
        <f t="shared" si="21"/>
        <v>SI</v>
      </c>
      <c r="I451" s="45">
        <f t="shared" si="22"/>
        <v>5</v>
      </c>
      <c r="J451" s="377">
        <f>AVERAGE(I451:I452)</f>
        <v>2.5</v>
      </c>
      <c r="K451" s="382"/>
      <c r="L451" s="382"/>
    </row>
    <row r="452" spans="1:12" ht="45" x14ac:dyDescent="0.25">
      <c r="A452" s="245">
        <v>5</v>
      </c>
      <c r="B452" s="245">
        <v>27</v>
      </c>
      <c r="C452" s="236" t="s">
        <v>181</v>
      </c>
      <c r="D452" s="361"/>
      <c r="E452" s="82" t="s">
        <v>3022</v>
      </c>
      <c r="F452" s="10"/>
      <c r="G452" s="10"/>
      <c r="H452" s="45" t="str">
        <f t="shared" si="21"/>
        <v>NO</v>
      </c>
      <c r="I452" s="45">
        <f t="shared" si="22"/>
        <v>0</v>
      </c>
      <c r="J452" s="379"/>
      <c r="K452" s="383"/>
      <c r="L452" s="382"/>
    </row>
    <row r="453" spans="1:12" ht="45" x14ac:dyDescent="0.25">
      <c r="A453" s="245">
        <v>5</v>
      </c>
      <c r="B453" s="245">
        <v>28</v>
      </c>
      <c r="C453" s="285" t="str">
        <f>Final!E169</f>
        <v>a</v>
      </c>
      <c r="D453" s="359" t="str">
        <f>Final!F169</f>
        <v>Convenios activos de intercambio con universidades nacionales y extranjeras.</v>
      </c>
      <c r="E453" s="21" t="s">
        <v>3024</v>
      </c>
      <c r="F453" s="283" t="s">
        <v>3023</v>
      </c>
      <c r="G453" s="10"/>
      <c r="H453" s="45" t="str">
        <f t="shared" si="21"/>
        <v>SI</v>
      </c>
      <c r="I453" s="45">
        <f t="shared" si="22"/>
        <v>5</v>
      </c>
      <c r="J453" s="377">
        <f>AVERAGE(I453:I454)</f>
        <v>5</v>
      </c>
      <c r="K453" s="381">
        <f>AVERAGE(J453:J467)</f>
        <v>3.4375</v>
      </c>
      <c r="L453" s="382"/>
    </row>
    <row r="454" spans="1:12" x14ac:dyDescent="0.25">
      <c r="A454" s="245">
        <v>5</v>
      </c>
      <c r="B454" s="245">
        <v>28</v>
      </c>
      <c r="C454" s="236" t="s">
        <v>55</v>
      </c>
      <c r="D454" s="361"/>
      <c r="E454" s="254" t="s">
        <v>888</v>
      </c>
      <c r="F454" s="264" t="s">
        <v>889</v>
      </c>
      <c r="G454" s="71" t="s">
        <v>2861</v>
      </c>
      <c r="H454" s="45" t="str">
        <f>IF((LEN(F454)=$O$4)*OR(LEN(G454)=$O$4),$N$4,IF(EXACT(F454,$N$5),$N$5,$N$3))</f>
        <v>SI</v>
      </c>
      <c r="I454" s="45">
        <f>IF(EXACT(H454,$N$3),$O$3,IF(EXACT(H454,$N$5),$N$5,$O$4))</f>
        <v>5</v>
      </c>
      <c r="J454" s="379"/>
      <c r="K454" s="382"/>
      <c r="L454" s="382"/>
    </row>
    <row r="455" spans="1:12" ht="30" x14ac:dyDescent="0.25">
      <c r="A455" s="245">
        <v>5</v>
      </c>
      <c r="B455" s="245">
        <v>28</v>
      </c>
      <c r="C455" s="52" t="str">
        <f>Final!E170</f>
        <v>b</v>
      </c>
      <c r="D455" s="21" t="str">
        <f>Final!F170</f>
        <v>Número de estudiantes extranjeros en el proyecto curricular en los últimos 5 años.</v>
      </c>
      <c r="E455" s="21"/>
      <c r="F455" s="264"/>
      <c r="G455" s="72"/>
      <c r="H455" s="45" t="str">
        <f t="shared" si="21"/>
        <v>NO</v>
      </c>
      <c r="I455" s="45">
        <f t="shared" si="22"/>
        <v>0</v>
      </c>
      <c r="J455" s="100">
        <f>AVERAGE(I455)</f>
        <v>0</v>
      </c>
      <c r="K455" s="382"/>
      <c r="L455" s="382"/>
    </row>
    <row r="456" spans="1:12" ht="45" x14ac:dyDescent="0.25">
      <c r="A456" s="245">
        <v>5</v>
      </c>
      <c r="B456" s="245">
        <v>28</v>
      </c>
      <c r="C456" s="234" t="str">
        <f>Final!E171</f>
        <v>c</v>
      </c>
      <c r="D456" s="362" t="str">
        <f>Final!F171</f>
        <v>Experiencias de homologación de cursos realizados en otros programas nacionales o extranjeros.</v>
      </c>
      <c r="E456" s="21" t="s">
        <v>3025</v>
      </c>
      <c r="F456" s="283" t="s">
        <v>3015</v>
      </c>
      <c r="G456" s="44" t="s">
        <v>3014</v>
      </c>
      <c r="H456" s="45" t="str">
        <f t="shared" si="21"/>
        <v>SI</v>
      </c>
      <c r="I456" s="45">
        <f t="shared" si="22"/>
        <v>5</v>
      </c>
      <c r="J456" s="377">
        <f>AVERAGE(I456:I457)</f>
        <v>5</v>
      </c>
      <c r="K456" s="382"/>
      <c r="L456" s="382"/>
    </row>
    <row r="457" spans="1:12" ht="60" x14ac:dyDescent="0.25">
      <c r="A457" s="245">
        <v>5</v>
      </c>
      <c r="B457" s="245">
        <v>28</v>
      </c>
      <c r="C457" s="236" t="s">
        <v>80</v>
      </c>
      <c r="D457" s="363"/>
      <c r="E457" s="82" t="s">
        <v>441</v>
      </c>
      <c r="F457" s="253" t="s">
        <v>92</v>
      </c>
      <c r="G457" s="254" t="s">
        <v>3026</v>
      </c>
      <c r="H457" s="45" t="str">
        <f t="shared" si="21"/>
        <v>SI</v>
      </c>
      <c r="I457" s="45">
        <f t="shared" si="22"/>
        <v>5</v>
      </c>
      <c r="J457" s="379"/>
      <c r="K457" s="382"/>
      <c r="L457" s="382"/>
    </row>
    <row r="458" spans="1:12" ht="38.25" customHeight="1" x14ac:dyDescent="0.25">
      <c r="A458" s="245">
        <v>5</v>
      </c>
      <c r="B458" s="245">
        <v>28</v>
      </c>
      <c r="C458" s="234" t="str">
        <f>Final!E172</f>
        <v>d</v>
      </c>
      <c r="D458" s="362" t="str">
        <f>Final!F172</f>
        <v>Profesores o expertos visitantes nacionales y extranjeros que ha recibido el proyecto curricular en los últimos cinco años (objetivos, duración y resultados de su estadía).</v>
      </c>
      <c r="E458" s="21" t="s">
        <v>441</v>
      </c>
      <c r="F458" s="253" t="s">
        <v>3194</v>
      </c>
      <c r="G458" s="220" t="s">
        <v>3151</v>
      </c>
      <c r="H458" s="45" t="str">
        <f t="shared" si="21"/>
        <v>SI</v>
      </c>
      <c r="I458" s="45">
        <f t="shared" si="22"/>
        <v>5</v>
      </c>
      <c r="J458" s="377">
        <f>AVERAGE(I458:I459)</f>
        <v>5</v>
      </c>
      <c r="K458" s="382"/>
      <c r="L458" s="382"/>
    </row>
    <row r="459" spans="1:12" ht="33" customHeight="1" x14ac:dyDescent="0.25">
      <c r="A459" s="245">
        <v>5</v>
      </c>
      <c r="B459" s="245">
        <v>28</v>
      </c>
      <c r="C459" s="236" t="s">
        <v>81</v>
      </c>
      <c r="D459" s="363"/>
      <c r="E459" s="82" t="s">
        <v>624</v>
      </c>
      <c r="F459" s="253" t="s">
        <v>3194</v>
      </c>
      <c r="G459" s="220" t="s">
        <v>3151</v>
      </c>
      <c r="H459" s="45" t="str">
        <f t="shared" si="21"/>
        <v>SI</v>
      </c>
      <c r="I459" s="45">
        <f t="shared" si="22"/>
        <v>5</v>
      </c>
      <c r="J459" s="379"/>
      <c r="K459" s="382"/>
      <c r="L459" s="382"/>
    </row>
    <row r="460" spans="1:12" ht="225" x14ac:dyDescent="0.25">
      <c r="A460" s="245">
        <v>5</v>
      </c>
      <c r="B460" s="245">
        <v>28</v>
      </c>
      <c r="C460" s="52" t="str">
        <f>Final!E173</f>
        <v>e</v>
      </c>
      <c r="D460" s="21" t="str">
        <f>Final!F173</f>
        <v>Profesores y estudiantes adscritos al proyecto curricular que en los últimos cinco años han participado en actividades de cooperación académica y profesional con programas nacionales e internacionales de reconocido liderazgo en el área (semestre académico de intercambio, pasantía o práctica, rotación médica, curso corto, misión, profesor visitante/conferencia, estancia de investigación, estudios de postgrado, profesor en programa de pregrado y/o postgrado, congresos, foros, seminarios, simposios, educación continuada, par académico, parques tecnológicos, incubadoras de empresas, mesas y ruedas de negociación económica y tecnológica, entre otros).</v>
      </c>
      <c r="E460" s="21" t="s">
        <v>625</v>
      </c>
      <c r="F460" s="283" t="s">
        <v>3027</v>
      </c>
      <c r="G460" s="72" t="s">
        <v>3016</v>
      </c>
      <c r="H460" s="45" t="str">
        <f t="shared" si="21"/>
        <v>SI</v>
      </c>
      <c r="I460" s="45">
        <f t="shared" si="22"/>
        <v>5</v>
      </c>
      <c r="J460" s="100">
        <f>AVERAGE(I460)</f>
        <v>5</v>
      </c>
      <c r="K460" s="382"/>
      <c r="L460" s="382"/>
    </row>
    <row r="461" spans="1:12" ht="75" x14ac:dyDescent="0.25">
      <c r="A461" s="245">
        <v>5</v>
      </c>
      <c r="B461" s="245">
        <v>28</v>
      </c>
      <c r="C461" s="234" t="str">
        <f>Final!E174</f>
        <v>f</v>
      </c>
      <c r="D461" s="362" t="str">
        <f>Final!F174</f>
        <v>Resultados efectivos de la participación de profesores y estudiantes adscritos al proyecto curricular en actividades de cooperación académica.</v>
      </c>
      <c r="E461" s="21" t="s">
        <v>626</v>
      </c>
      <c r="F461" s="254" t="s">
        <v>3028</v>
      </c>
      <c r="G461" s="254" t="s">
        <v>3029</v>
      </c>
      <c r="H461" s="45" t="str">
        <f t="shared" si="21"/>
        <v>SI</v>
      </c>
      <c r="I461" s="45">
        <f t="shared" si="22"/>
        <v>5</v>
      </c>
      <c r="J461" s="377">
        <f>AVERAGE(I461:I462)</f>
        <v>2.5</v>
      </c>
      <c r="K461" s="382"/>
      <c r="L461" s="382"/>
    </row>
    <row r="462" spans="1:12" ht="30" x14ac:dyDescent="0.25">
      <c r="A462" s="245">
        <v>5</v>
      </c>
      <c r="B462" s="245">
        <v>28</v>
      </c>
      <c r="C462" s="236" t="s">
        <v>88</v>
      </c>
      <c r="D462" s="363"/>
      <c r="E462" s="82" t="s">
        <v>627</v>
      </c>
      <c r="F462" s="254"/>
      <c r="G462" s="287"/>
      <c r="H462" s="45" t="str">
        <f t="shared" si="21"/>
        <v>NO</v>
      </c>
      <c r="I462" s="45">
        <f t="shared" si="22"/>
        <v>0</v>
      </c>
      <c r="J462" s="379"/>
      <c r="K462" s="382"/>
      <c r="L462" s="382"/>
    </row>
    <row r="463" spans="1:12" ht="67.5" customHeight="1" x14ac:dyDescent="0.25">
      <c r="A463" s="245">
        <v>5</v>
      </c>
      <c r="B463" s="245">
        <v>28</v>
      </c>
      <c r="C463" s="242" t="str">
        <f>Final!E175</f>
        <v>g</v>
      </c>
      <c r="D463" s="362" t="str">
        <f>Final!F175</f>
        <v>Participación de profesores adscritos al proyecto curricular en redes académicas, culturales, artísticas, científicas, técnicas y tecnológicas, económicas, a nivel nacional e internacional, de acuerdo con el tipo y modalidad del proyecto curricular.</v>
      </c>
      <c r="E463" s="21" t="s">
        <v>628</v>
      </c>
      <c r="F463" s="254" t="s">
        <v>3031</v>
      </c>
      <c r="G463" s="288" t="s">
        <v>3030</v>
      </c>
      <c r="H463" s="45" t="str">
        <f t="shared" si="21"/>
        <v>SI</v>
      </c>
      <c r="I463" s="45">
        <f t="shared" si="22"/>
        <v>5</v>
      </c>
      <c r="J463" s="377">
        <f>AVERAGE(I463:I464)</f>
        <v>2.5</v>
      </c>
      <c r="K463" s="382"/>
      <c r="L463" s="382"/>
    </row>
    <row r="464" spans="1:12" ht="25.5" customHeight="1" x14ac:dyDescent="0.25">
      <c r="A464" s="245">
        <v>5</v>
      </c>
      <c r="B464" s="245">
        <v>28</v>
      </c>
      <c r="C464" s="244" t="s">
        <v>102</v>
      </c>
      <c r="D464" s="363"/>
      <c r="E464" s="82" t="s">
        <v>441</v>
      </c>
      <c r="F464" s="287"/>
      <c r="G464" s="288"/>
      <c r="H464" s="45" t="str">
        <f t="shared" si="21"/>
        <v>NO</v>
      </c>
      <c r="I464" s="45">
        <f t="shared" si="22"/>
        <v>0</v>
      </c>
      <c r="J464" s="379"/>
      <c r="K464" s="382"/>
      <c r="L464" s="382"/>
    </row>
    <row r="465" spans="1:12" ht="24.75" customHeight="1" x14ac:dyDescent="0.25">
      <c r="A465" s="245">
        <v>5</v>
      </c>
      <c r="B465" s="245">
        <v>28</v>
      </c>
      <c r="C465" s="242" t="str">
        <f>Final!E176</f>
        <v>h</v>
      </c>
      <c r="D465" s="362" t="str">
        <f>Final!F176</f>
        <v>Inversión efectiva (directa o indirecta) destinada por la Universidad Distrital para financiar los proyectos de movilidad en doble vía, realizados por los estudiantes y profesores adscritos al proyecto curricular en los últimos cinco años.</v>
      </c>
      <c r="E465" s="21" t="s">
        <v>622</v>
      </c>
      <c r="F465" s="265" t="s">
        <v>622</v>
      </c>
      <c r="G465" s="44" t="s">
        <v>2952</v>
      </c>
      <c r="H465" s="45" t="str">
        <f t="shared" si="21"/>
        <v>SI</v>
      </c>
      <c r="I465" s="45">
        <f t="shared" si="22"/>
        <v>5</v>
      </c>
      <c r="J465" s="377">
        <f>AVERAGE(I465:I467)</f>
        <v>2.5</v>
      </c>
      <c r="K465" s="382"/>
      <c r="L465" s="382"/>
    </row>
    <row r="466" spans="1:12" ht="34.5" customHeight="1" x14ac:dyDescent="0.25">
      <c r="A466" s="245">
        <v>5</v>
      </c>
      <c r="B466" s="245">
        <v>28</v>
      </c>
      <c r="C466" s="243" t="s">
        <v>104</v>
      </c>
      <c r="D466" s="364"/>
      <c r="E466" s="82" t="s">
        <v>629</v>
      </c>
      <c r="F466" s="10"/>
      <c r="G466" s="10"/>
      <c r="H466" s="45" t="str">
        <f t="shared" si="21"/>
        <v>NO</v>
      </c>
      <c r="I466" s="45">
        <f t="shared" si="22"/>
        <v>0</v>
      </c>
      <c r="J466" s="378"/>
      <c r="K466" s="382"/>
      <c r="L466" s="382"/>
    </row>
    <row r="467" spans="1:12" ht="27" customHeight="1" x14ac:dyDescent="0.25">
      <c r="A467" s="245">
        <v>5</v>
      </c>
      <c r="B467" s="245">
        <v>28</v>
      </c>
      <c r="C467" s="244" t="s">
        <v>104</v>
      </c>
      <c r="D467" s="363"/>
      <c r="E467" s="82" t="s">
        <v>49</v>
      </c>
      <c r="F467" s="10" t="s">
        <v>64</v>
      </c>
      <c r="G467" s="10"/>
      <c r="H467" s="45" t="str">
        <f t="shared" si="21"/>
        <v>NA</v>
      </c>
      <c r="I467" s="45" t="str">
        <f t="shared" si="22"/>
        <v>NA</v>
      </c>
      <c r="J467" s="379"/>
      <c r="K467" s="383"/>
      <c r="L467" s="383"/>
    </row>
    <row r="468" spans="1:12" ht="45" x14ac:dyDescent="0.25">
      <c r="A468" s="245">
        <v>6</v>
      </c>
      <c r="B468" s="245">
        <v>29</v>
      </c>
      <c r="C468" s="242" t="str">
        <f>Final!E177</f>
        <v>a</v>
      </c>
      <c r="D468" s="362" t="str">
        <f>Final!F177</f>
        <v>Criterios, estrategias y actividades del programa orientado a promover la capacidad de indagación y búsqueda, y la formación de un espíritu investigativo, creativo e innovador en los estudiantes.</v>
      </c>
      <c r="E468" s="257" t="s">
        <v>2946</v>
      </c>
      <c r="F468" s="257" t="s">
        <v>2870</v>
      </c>
      <c r="G468" s="72" t="s">
        <v>2892</v>
      </c>
      <c r="H468" s="45" t="str">
        <f t="shared" si="21"/>
        <v>SI</v>
      </c>
      <c r="I468" s="45">
        <f t="shared" si="22"/>
        <v>5</v>
      </c>
      <c r="J468" s="381">
        <f>AVERAGE(I468:I473)</f>
        <v>4.166666666666667</v>
      </c>
      <c r="K468" s="381">
        <f>AVERAGE(J468:J486)</f>
        <v>4.166666666666667</v>
      </c>
      <c r="L468" s="377">
        <f>(K468*Ponderación!D30)+(K487*Ponderación!D31)</f>
        <v>4.6500000000000004</v>
      </c>
    </row>
    <row r="469" spans="1:12" ht="30" x14ac:dyDescent="0.25">
      <c r="A469" s="245">
        <v>6</v>
      </c>
      <c r="B469" s="245">
        <v>29</v>
      </c>
      <c r="C469" s="243" t="s">
        <v>55</v>
      </c>
      <c r="D469" s="364"/>
      <c r="E469" s="263" t="s">
        <v>890</v>
      </c>
      <c r="F469" s="11" t="s">
        <v>890</v>
      </c>
      <c r="G469" s="72" t="s">
        <v>891</v>
      </c>
      <c r="H469" s="45" t="str">
        <f>IF((LEN(F469)=$O$4)*OR(LEN(G469)=$O$4),$N$4,IF(EXACT(F469,$N$5),$N$5,$N$3))</f>
        <v>SI</v>
      </c>
      <c r="I469" s="45">
        <f>IF(EXACT(H469,$N$3),$O$3,IF(EXACT(H469,$N$5),$N$5,$O$4))</f>
        <v>5</v>
      </c>
      <c r="J469" s="382"/>
      <c r="K469" s="382"/>
      <c r="L469" s="378"/>
    </row>
    <row r="470" spans="1:12" ht="30" x14ac:dyDescent="0.25">
      <c r="A470" s="245">
        <v>6</v>
      </c>
      <c r="B470" s="245">
        <v>29</v>
      </c>
      <c r="C470" s="243" t="s">
        <v>55</v>
      </c>
      <c r="D470" s="364"/>
      <c r="E470" s="263" t="s">
        <v>892</v>
      </c>
      <c r="F470" s="11" t="s">
        <v>892</v>
      </c>
      <c r="G470" s="72" t="s">
        <v>893</v>
      </c>
      <c r="H470" s="45" t="str">
        <f>IF((LEN(F470)=$O$4)*OR(LEN(G470)=$O$4),$N$4,IF(EXACT(F470,$N$5),$N$5,$N$3))</f>
        <v>SI</v>
      </c>
      <c r="I470" s="45">
        <f>IF(EXACT(H470,$N$3),$O$3,IF(EXACT(H470,$N$5),$N$5,$O$4))</f>
        <v>5</v>
      </c>
      <c r="J470" s="382"/>
      <c r="K470" s="382"/>
      <c r="L470" s="378"/>
    </row>
    <row r="471" spans="1:12" ht="30" x14ac:dyDescent="0.25">
      <c r="A471" s="245">
        <v>6</v>
      </c>
      <c r="B471" s="245">
        <v>29</v>
      </c>
      <c r="C471" s="243" t="s">
        <v>55</v>
      </c>
      <c r="D471" s="364"/>
      <c r="E471" s="263" t="s">
        <v>894</v>
      </c>
      <c r="F471" s="11" t="s">
        <v>894</v>
      </c>
      <c r="G471" s="72" t="s">
        <v>2947</v>
      </c>
      <c r="H471" s="45" t="str">
        <f>IF((LEN(F471)=$O$4)*OR(LEN(G471)=$O$4),$N$4,IF(EXACT(F471,$N$5),$N$5,$N$3))</f>
        <v>SI</v>
      </c>
      <c r="I471" s="45">
        <f>IF(EXACT(H471,$N$3),$O$3,IF(EXACT(H471,$N$5),$N$5,$O$4))</f>
        <v>5</v>
      </c>
      <c r="J471" s="382"/>
      <c r="K471" s="382"/>
      <c r="L471" s="378"/>
    </row>
    <row r="472" spans="1:12" ht="60" x14ac:dyDescent="0.25">
      <c r="A472" s="245">
        <v>6</v>
      </c>
      <c r="B472" s="245">
        <v>29</v>
      </c>
      <c r="C472" s="243" t="s">
        <v>55</v>
      </c>
      <c r="D472" s="364"/>
      <c r="E472" s="82" t="s">
        <v>3032</v>
      </c>
      <c r="F472" s="259"/>
      <c r="H472" s="105" t="str">
        <f>IF((LEN(F472)=$O$4)*OR(LEN(G472)=$O$4),$N$4,IF(EXACT(F472,$N$5),$N$5,$N$3))</f>
        <v>NO</v>
      </c>
      <c r="I472" s="105">
        <f>IF(EXACT(H472,$N$3),$O$3,IF(EXACT(H472,$N$5),$N$5,$O$4))</f>
        <v>0</v>
      </c>
      <c r="J472" s="382"/>
      <c r="K472" s="382"/>
      <c r="L472" s="378"/>
    </row>
    <row r="473" spans="1:12" ht="30" x14ac:dyDescent="0.25">
      <c r="A473" s="245">
        <v>6</v>
      </c>
      <c r="B473" s="245">
        <v>29</v>
      </c>
      <c r="C473" s="243" t="s">
        <v>55</v>
      </c>
      <c r="D473" s="363"/>
      <c r="E473" s="82" t="s">
        <v>74</v>
      </c>
      <c r="F473" s="257" t="s">
        <v>2948</v>
      </c>
      <c r="G473" s="72" t="s">
        <v>2865</v>
      </c>
      <c r="H473" s="105" t="str">
        <f>IF((LEN(F473)=$O$4)*OR(LEN(G473)=$O$4),$N$4,IF(EXACT(F473,$N$5),$N$5,$N$3))</f>
        <v>SI</v>
      </c>
      <c r="I473" s="105">
        <f>IF(EXACT(H473,$N$3),$O$3,IF(EXACT(H473,$N$5),$N$5,$O$4))</f>
        <v>5</v>
      </c>
      <c r="J473" s="383"/>
      <c r="K473" s="382"/>
      <c r="L473" s="378"/>
    </row>
    <row r="474" spans="1:12" ht="45" x14ac:dyDescent="0.25">
      <c r="A474" s="245">
        <v>6</v>
      </c>
      <c r="B474" s="245">
        <v>29</v>
      </c>
      <c r="C474" s="242" t="str">
        <f>Final!E178</f>
        <v>b</v>
      </c>
      <c r="D474" s="362" t="str">
        <f>Final!F178</f>
        <v>Existencia y utilización de mecanismos por parte de los profesores adscritos al programa para incentivar en los estudiantes la generación de ideas y problemas de investigación, la identificación de problemas en el ámbito empresarial susceptibles de resolver mediante la aplicación del conocimiento y la innovación.</v>
      </c>
      <c r="E474" s="21" t="s">
        <v>630</v>
      </c>
      <c r="F474" s="257" t="s">
        <v>2870</v>
      </c>
      <c r="G474" s="72" t="s">
        <v>2892</v>
      </c>
      <c r="H474" s="45" t="str">
        <f t="shared" si="21"/>
        <v>SI</v>
      </c>
      <c r="I474" s="45">
        <f t="shared" si="22"/>
        <v>5</v>
      </c>
      <c r="J474" s="381">
        <f>AVERAGE(I474:I476)</f>
        <v>1.6666666666666667</v>
      </c>
      <c r="K474" s="382"/>
      <c r="L474" s="378"/>
    </row>
    <row r="475" spans="1:12" ht="60" x14ac:dyDescent="0.25">
      <c r="A475" s="245">
        <v>6</v>
      </c>
      <c r="B475" s="245">
        <v>29</v>
      </c>
      <c r="C475" s="243" t="s">
        <v>56</v>
      </c>
      <c r="D475" s="364"/>
      <c r="E475" s="82" t="s">
        <v>3033</v>
      </c>
      <c r="F475" s="259"/>
      <c r="G475" s="10"/>
      <c r="H475" s="45" t="str">
        <f t="shared" si="21"/>
        <v>NO</v>
      </c>
      <c r="I475" s="45">
        <f t="shared" si="22"/>
        <v>0</v>
      </c>
      <c r="J475" s="382"/>
      <c r="K475" s="382"/>
      <c r="L475" s="378"/>
    </row>
    <row r="476" spans="1:12" ht="45" x14ac:dyDescent="0.25">
      <c r="A476" s="245">
        <v>6</v>
      </c>
      <c r="B476" s="245">
        <v>29</v>
      </c>
      <c r="C476" s="244" t="s">
        <v>56</v>
      </c>
      <c r="D476" s="363"/>
      <c r="E476" s="82" t="s">
        <v>3034</v>
      </c>
      <c r="F476" s="259"/>
      <c r="G476" s="10"/>
      <c r="H476" s="45" t="str">
        <f t="shared" si="21"/>
        <v>NO</v>
      </c>
      <c r="I476" s="45">
        <f t="shared" si="22"/>
        <v>0</v>
      </c>
      <c r="J476" s="383"/>
      <c r="K476" s="382"/>
      <c r="L476" s="378"/>
    </row>
    <row r="477" spans="1:12" ht="60" x14ac:dyDescent="0.25">
      <c r="A477" s="245">
        <v>6</v>
      </c>
      <c r="B477" s="245">
        <v>29</v>
      </c>
      <c r="C477" s="52" t="str">
        <f>Final!E179</f>
        <v>c</v>
      </c>
      <c r="D477" s="21" t="str">
        <f>Final!F179</f>
        <v>Estudiantes que están vinculados como monitores, auxiliares de investigación e integrantes de semilleros y/o grupos de investigación.</v>
      </c>
      <c r="E477" s="21"/>
      <c r="F477" s="45" t="s">
        <v>64</v>
      </c>
      <c r="G477" s="10"/>
      <c r="H477" s="45" t="str">
        <f t="shared" si="21"/>
        <v>NA</v>
      </c>
      <c r="I477" s="45" t="str">
        <f t="shared" si="22"/>
        <v>NA</v>
      </c>
      <c r="J477" s="100" t="str">
        <f>I477</f>
        <v>NA</v>
      </c>
      <c r="K477" s="382"/>
      <c r="L477" s="378"/>
    </row>
    <row r="478" spans="1:12" ht="45" x14ac:dyDescent="0.25">
      <c r="A478" s="245">
        <v>6</v>
      </c>
      <c r="B478" s="245">
        <v>29</v>
      </c>
      <c r="C478" s="52" t="str">
        <f>Final!E180</f>
        <v>d</v>
      </c>
      <c r="D478" s="21" t="str">
        <f>Final!F180</f>
        <v>Grupos y semilleros de investigación del programa en los que participan estudiantes de acuerdo con su tipo y modalidad.</v>
      </c>
      <c r="E478" s="21"/>
      <c r="F478" s="45" t="s">
        <v>64</v>
      </c>
      <c r="G478" s="10"/>
      <c r="H478" s="45" t="str">
        <f t="shared" si="21"/>
        <v>NA</v>
      </c>
      <c r="I478" s="45" t="str">
        <f t="shared" si="22"/>
        <v>NA</v>
      </c>
      <c r="J478" s="100" t="str">
        <f>I478</f>
        <v>NA</v>
      </c>
      <c r="K478" s="382"/>
      <c r="L478" s="378"/>
    </row>
    <row r="479" spans="1:12" ht="75" x14ac:dyDescent="0.25">
      <c r="A479" s="245">
        <v>6</v>
      </c>
      <c r="B479" s="245">
        <v>29</v>
      </c>
      <c r="C479" s="52" t="str">
        <f>Final!E181</f>
        <v>e</v>
      </c>
      <c r="D479" s="21" t="str">
        <f>Final!F181</f>
        <v>Actividades académicas –cursos electivos, seminarios, pasantías, eventos– derivados de líneas de investigación y/o de espacios académicos vinculados a la investigación en los últimos cinco años.</v>
      </c>
      <c r="E479" s="21"/>
      <c r="F479" s="45" t="s">
        <v>64</v>
      </c>
      <c r="G479" s="10"/>
      <c r="H479" s="45" t="str">
        <f t="shared" si="21"/>
        <v>NA</v>
      </c>
      <c r="I479" s="45" t="str">
        <f t="shared" si="22"/>
        <v>NA</v>
      </c>
      <c r="J479" s="100" t="str">
        <f>I479</f>
        <v>NA</v>
      </c>
      <c r="K479" s="382"/>
      <c r="L479" s="378"/>
    </row>
    <row r="480" spans="1:12" ht="90" x14ac:dyDescent="0.25">
      <c r="A480" s="245">
        <v>6</v>
      </c>
      <c r="B480" s="245">
        <v>29</v>
      </c>
      <c r="C480" s="52" t="str">
        <f>Final!E182</f>
        <v>f</v>
      </c>
      <c r="D480" s="21" t="str">
        <f>Final!F182</f>
        <v>Actividades académicas – pasantías, talleres, actividades conjuntas- relacionadas con la realidad profesional en diversos ámbitos, organizadas desde los primeros semestres con una lógica enfocada en la comprensión de los grados de complejidad.</v>
      </c>
      <c r="E480" s="21"/>
      <c r="F480" s="45" t="s">
        <v>64</v>
      </c>
      <c r="G480" s="10"/>
      <c r="H480" s="45" t="str">
        <f t="shared" si="21"/>
        <v>NA</v>
      </c>
      <c r="I480" s="45" t="str">
        <f t="shared" si="22"/>
        <v>NA</v>
      </c>
      <c r="J480" s="100" t="str">
        <f>I480</f>
        <v>NA</v>
      </c>
      <c r="K480" s="382"/>
      <c r="L480" s="378"/>
    </row>
    <row r="481" spans="1:12" ht="135" customHeight="1" x14ac:dyDescent="0.25">
      <c r="A481" s="245">
        <v>6</v>
      </c>
      <c r="B481" s="245">
        <v>29</v>
      </c>
      <c r="C481" s="52" t="str">
        <f>Final!E183</f>
        <v>g</v>
      </c>
      <c r="D481" s="362" t="str">
        <f>Final!F183</f>
        <v>Existencia dentro del plan de estudios de espacios académicos y de vinculación con el sector productivo o con ámbitos de desarrollo y desempeño profesional según naturaleza del programa donde se analiza la naturaleza de la investigación científica, técnica y tecnológica, la innovación, sus objetos de indagación, sus problemas, oportunidades y sus resultados y soluciones.</v>
      </c>
      <c r="E481" s="21" t="s">
        <v>636</v>
      </c>
      <c r="F481" s="10" t="s">
        <v>2949</v>
      </c>
      <c r="G481" s="44" t="s">
        <v>2950</v>
      </c>
      <c r="H481" s="45" t="str">
        <f t="shared" si="21"/>
        <v>SI</v>
      </c>
      <c r="I481" s="45">
        <f t="shared" si="22"/>
        <v>5</v>
      </c>
      <c r="J481" s="100">
        <f>AVERAGE(I481)</f>
        <v>5</v>
      </c>
      <c r="K481" s="382"/>
      <c r="L481" s="378"/>
    </row>
    <row r="482" spans="1:12" ht="27" customHeight="1" x14ac:dyDescent="0.25">
      <c r="A482" s="245">
        <v>6</v>
      </c>
      <c r="B482" s="245">
        <v>29</v>
      </c>
      <c r="C482" s="258" t="s">
        <v>102</v>
      </c>
      <c r="D482" s="364"/>
      <c r="E482" s="257" t="s">
        <v>2931</v>
      </c>
      <c r="F482" s="257" t="s">
        <v>2933</v>
      </c>
      <c r="G482" s="72" t="s">
        <v>2932</v>
      </c>
      <c r="H482" s="105" t="str">
        <f t="shared" si="21"/>
        <v>SI</v>
      </c>
      <c r="I482" s="105">
        <f t="shared" si="22"/>
        <v>5</v>
      </c>
      <c r="J482" s="100">
        <f>AVERAGE(I482)</f>
        <v>5</v>
      </c>
      <c r="K482" s="382"/>
      <c r="L482" s="378"/>
    </row>
    <row r="483" spans="1:12" ht="27" customHeight="1" x14ac:dyDescent="0.25">
      <c r="A483" s="245">
        <v>6</v>
      </c>
      <c r="B483" s="245">
        <v>29</v>
      </c>
      <c r="C483" s="258" t="s">
        <v>102</v>
      </c>
      <c r="D483" s="363"/>
      <c r="E483" s="257" t="s">
        <v>2930</v>
      </c>
      <c r="F483" s="257" t="s">
        <v>2934</v>
      </c>
      <c r="G483" s="72" t="s">
        <v>2935</v>
      </c>
      <c r="H483" s="105" t="str">
        <f>IF((LEN(F483)=$O$4)*OR(LEN(G483)=$O$4),$N$4,IF(EXACT(F483,$N$5),$N$5,$N$3))</f>
        <v>SI</v>
      </c>
      <c r="I483" s="105">
        <f>IF(EXACT(H483,$N$3),$O$3,IF(EXACT(H483,$N$5),$N$5,$O$4))</f>
        <v>5</v>
      </c>
      <c r="J483" s="100">
        <f>AVERAGE(I483)</f>
        <v>5</v>
      </c>
      <c r="K483" s="382"/>
      <c r="L483" s="378"/>
    </row>
    <row r="484" spans="1:12" ht="30" x14ac:dyDescent="0.25">
      <c r="A484" s="245">
        <v>6</v>
      </c>
      <c r="B484" s="245">
        <v>29</v>
      </c>
      <c r="C484" s="52" t="str">
        <f>Final!E184</f>
        <v>h</v>
      </c>
      <c r="D484" s="21" t="str">
        <f>Final!F184</f>
        <v>Participación de los estudiantes en los programas institucionales de jóvenes investigadores.</v>
      </c>
      <c r="E484" s="21"/>
      <c r="F484" s="45" t="s">
        <v>64</v>
      </c>
      <c r="G484" s="10"/>
      <c r="H484" s="45" t="str">
        <f t="shared" si="21"/>
        <v>NA</v>
      </c>
      <c r="I484" s="45" t="str">
        <f t="shared" si="22"/>
        <v>NA</v>
      </c>
      <c r="J484" s="100" t="str">
        <f>I484</f>
        <v>NA</v>
      </c>
      <c r="K484" s="382"/>
      <c r="L484" s="378"/>
    </row>
    <row r="485" spans="1:12" ht="45" x14ac:dyDescent="0.25">
      <c r="A485" s="245">
        <v>6</v>
      </c>
      <c r="B485" s="245">
        <v>29</v>
      </c>
      <c r="C485" s="52" t="str">
        <f>Final!E185</f>
        <v>i</v>
      </c>
      <c r="D485" s="21" t="str">
        <f>Final!F185</f>
        <v>Participación de los estudiantes en proyectos Universidad Empresa Estado que adelante la Institución.</v>
      </c>
      <c r="E485" s="21"/>
      <c r="F485" s="45" t="s">
        <v>64</v>
      </c>
      <c r="G485" s="10"/>
      <c r="H485" s="45" t="str">
        <f t="shared" si="21"/>
        <v>NA</v>
      </c>
      <c r="I485" s="45" t="str">
        <f t="shared" si="22"/>
        <v>NA</v>
      </c>
      <c r="J485" s="100" t="str">
        <f>I485</f>
        <v>NA</v>
      </c>
      <c r="K485" s="382"/>
      <c r="L485" s="378"/>
    </row>
    <row r="486" spans="1:12" ht="45" x14ac:dyDescent="0.25">
      <c r="A486" s="245">
        <v>6</v>
      </c>
      <c r="B486" s="245">
        <v>29</v>
      </c>
      <c r="C486" s="52" t="str">
        <f>Final!E186</f>
        <v>j</v>
      </c>
      <c r="D486" s="21" t="str">
        <f>Final!F186</f>
        <v>Participación de los estudiantes en programas de innovación como: transferencia de conocimiento, emprendimiento y creatividad.</v>
      </c>
      <c r="E486" s="21"/>
      <c r="F486" s="45" t="s">
        <v>64</v>
      </c>
      <c r="G486" s="10"/>
      <c r="H486" s="45" t="str">
        <f t="shared" si="21"/>
        <v>NA</v>
      </c>
      <c r="I486" s="45" t="str">
        <f t="shared" si="22"/>
        <v>NA</v>
      </c>
      <c r="J486" s="100" t="str">
        <f>I486</f>
        <v>NA</v>
      </c>
      <c r="K486" s="383"/>
      <c r="L486" s="378"/>
    </row>
    <row r="487" spans="1:12" x14ac:dyDescent="0.25">
      <c r="A487" s="245">
        <v>6</v>
      </c>
      <c r="B487" s="245">
        <v>30</v>
      </c>
      <c r="C487" s="242" t="str">
        <f>Final!E187</f>
        <v>a</v>
      </c>
      <c r="D487" s="362" t="str">
        <f>Final!F187</f>
        <v xml:space="preserve">Criterios, estrategias y políticas institucionales en materia de investigación, innovación y creación artística y cultural que se evidencie en mecanismos efectivos que estimulen el desarrollo de los procesos investigativos, de innovación y creativos, y establezcan criterios de evaluación de su calidad y pertinencia, ampliamente difundidos y aceptados por la comunidad académica. </v>
      </c>
      <c r="E487" s="253" t="s">
        <v>2862</v>
      </c>
      <c r="F487" s="253" t="s">
        <v>2862</v>
      </c>
      <c r="G487" s="44" t="s">
        <v>2863</v>
      </c>
      <c r="H487" s="45" t="str">
        <f t="shared" si="21"/>
        <v>SI</v>
      </c>
      <c r="I487" s="45">
        <f t="shared" si="22"/>
        <v>5</v>
      </c>
      <c r="J487" s="377">
        <f>AVERAGE(I487:I490)</f>
        <v>5</v>
      </c>
      <c r="K487" s="377">
        <f>AVERAGE(J487:J504)</f>
        <v>5</v>
      </c>
      <c r="L487" s="378"/>
    </row>
    <row r="488" spans="1:12" ht="33" customHeight="1" x14ac:dyDescent="0.25">
      <c r="A488" s="245">
        <v>6</v>
      </c>
      <c r="B488" s="245">
        <v>30</v>
      </c>
      <c r="C488" s="243" t="s">
        <v>55</v>
      </c>
      <c r="D488" s="364"/>
      <c r="E488" s="82" t="s">
        <v>3037</v>
      </c>
      <c r="F488" s="253" t="s">
        <v>3036</v>
      </c>
      <c r="G488" s="44" t="s">
        <v>3035</v>
      </c>
      <c r="H488" s="45" t="str">
        <f t="shared" si="21"/>
        <v>SI</v>
      </c>
      <c r="I488" s="45">
        <f t="shared" si="22"/>
        <v>5</v>
      </c>
      <c r="J488" s="378"/>
      <c r="K488" s="378"/>
      <c r="L488" s="378"/>
    </row>
    <row r="489" spans="1:12" ht="45" x14ac:dyDescent="0.25">
      <c r="A489" s="245">
        <v>6</v>
      </c>
      <c r="B489" s="245">
        <v>30</v>
      </c>
      <c r="C489" s="243" t="s">
        <v>55</v>
      </c>
      <c r="D489" s="364"/>
      <c r="E489" s="82" t="s">
        <v>639</v>
      </c>
      <c r="F489" s="11" t="s">
        <v>895</v>
      </c>
      <c r="G489" s="71" t="s">
        <v>891</v>
      </c>
      <c r="H489" s="45" t="str">
        <f t="shared" si="21"/>
        <v>SI</v>
      </c>
      <c r="I489" s="45">
        <f t="shared" si="22"/>
        <v>5</v>
      </c>
      <c r="J489" s="378"/>
      <c r="K489" s="378"/>
      <c r="L489" s="378"/>
    </row>
    <row r="490" spans="1:12" ht="45" x14ac:dyDescent="0.25">
      <c r="A490" s="245">
        <v>6</v>
      </c>
      <c r="B490" s="245">
        <v>30</v>
      </c>
      <c r="C490" s="243" t="s">
        <v>55</v>
      </c>
      <c r="D490" s="363"/>
      <c r="E490" s="82" t="s">
        <v>640</v>
      </c>
      <c r="F490" s="257" t="s">
        <v>2870</v>
      </c>
      <c r="G490" s="72" t="s">
        <v>2892</v>
      </c>
      <c r="H490" s="45" t="str">
        <f t="shared" si="21"/>
        <v>SI</v>
      </c>
      <c r="I490" s="45">
        <f t="shared" si="22"/>
        <v>5</v>
      </c>
      <c r="J490" s="379"/>
      <c r="K490" s="378"/>
      <c r="L490" s="378"/>
    </row>
    <row r="491" spans="1:12" ht="75" x14ac:dyDescent="0.25">
      <c r="A491" s="245">
        <v>6</v>
      </c>
      <c r="B491" s="245">
        <v>30</v>
      </c>
      <c r="C491" s="52" t="str">
        <f>Final!E188</f>
        <v>b</v>
      </c>
      <c r="D491" s="21" t="str">
        <f>Final!F188</f>
        <v>Correspondencia entre el número y el nivel de formación de los profesores adscritos al proyecto curricular con la intensidad de la actividad investigativa y de innovación y creación artística y cultural.</v>
      </c>
      <c r="E491" s="21" t="s">
        <v>641</v>
      </c>
      <c r="F491" s="257" t="s">
        <v>2870</v>
      </c>
      <c r="G491" s="72" t="s">
        <v>2892</v>
      </c>
      <c r="H491" s="45" t="str">
        <f t="shared" si="21"/>
        <v>SI</v>
      </c>
      <c r="I491" s="45">
        <f t="shared" si="22"/>
        <v>5</v>
      </c>
      <c r="J491" s="100">
        <f>AVERAGE(I491)</f>
        <v>5</v>
      </c>
      <c r="K491" s="378"/>
      <c r="L491" s="378"/>
    </row>
    <row r="492" spans="1:12" ht="75" x14ac:dyDescent="0.25">
      <c r="A492" s="245">
        <v>6</v>
      </c>
      <c r="B492" s="245">
        <v>30</v>
      </c>
      <c r="C492" s="52" t="str">
        <f>Final!E189</f>
        <v>c</v>
      </c>
      <c r="D492" s="21" t="str">
        <f>Final!F189</f>
        <v>Talento humano y recursos logísticos y financieros con que cuenta el proyecto curricular, asociados a proyectos y a otras actividades de investigación, innovación y creación artística y cultural.</v>
      </c>
      <c r="E492" s="21"/>
      <c r="F492" s="45" t="s">
        <v>64</v>
      </c>
      <c r="G492" s="10"/>
      <c r="H492" s="45" t="str">
        <f t="shared" si="21"/>
        <v>NA</v>
      </c>
      <c r="I492" s="45" t="str">
        <f t="shared" si="22"/>
        <v>NA</v>
      </c>
      <c r="J492" s="100" t="str">
        <f>I492</f>
        <v>NA</v>
      </c>
      <c r="K492" s="378"/>
      <c r="L492" s="378"/>
    </row>
    <row r="493" spans="1:12" ht="60" x14ac:dyDescent="0.25">
      <c r="A493" s="245">
        <v>6</v>
      </c>
      <c r="B493" s="245">
        <v>30</v>
      </c>
      <c r="C493" s="52" t="str">
        <f>Final!E190</f>
        <v>d</v>
      </c>
      <c r="D493" s="21" t="str">
        <f>Final!F190</f>
        <v>Grupos de investigación conformados por profesores y estudiantes adscritos al proyecto curricular reconocidos por COLCIENCIAS o por otra entidad reconocida.</v>
      </c>
      <c r="E493" s="21"/>
      <c r="F493" s="45" t="s">
        <v>64</v>
      </c>
      <c r="G493" s="10"/>
      <c r="H493" s="45" t="str">
        <f t="shared" si="21"/>
        <v>NA</v>
      </c>
      <c r="I493" s="45" t="str">
        <f t="shared" si="22"/>
        <v>NA</v>
      </c>
      <c r="J493" s="100" t="str">
        <f>I493</f>
        <v>NA</v>
      </c>
      <c r="K493" s="378"/>
      <c r="L493" s="378"/>
    </row>
    <row r="494" spans="1:12" ht="30" customHeight="1" x14ac:dyDescent="0.25">
      <c r="A494" s="245">
        <v>6</v>
      </c>
      <c r="B494" s="245">
        <v>30</v>
      </c>
      <c r="C494" s="242" t="str">
        <f>Final!E191</f>
        <v>e</v>
      </c>
      <c r="D494" s="362" t="str">
        <f>Final!F191</f>
        <v>Impacto a nivel regional, nacional e internacional de la investigación, la innovación y la creación artística y cultural del proyecto curricular, de acuerdo con su naturaleza.</v>
      </c>
      <c r="E494" s="253" t="s">
        <v>2862</v>
      </c>
      <c r="F494" s="253" t="s">
        <v>2862</v>
      </c>
      <c r="G494" s="44" t="s">
        <v>2863</v>
      </c>
      <c r="H494" s="45" t="str">
        <f t="shared" si="21"/>
        <v>SI</v>
      </c>
      <c r="I494" s="45">
        <f t="shared" si="22"/>
        <v>5</v>
      </c>
      <c r="J494" s="377">
        <f>AVERAGE(I494:I497)</f>
        <v>5</v>
      </c>
      <c r="K494" s="378"/>
      <c r="L494" s="378"/>
    </row>
    <row r="495" spans="1:12" ht="60" x14ac:dyDescent="0.25">
      <c r="A495" s="245">
        <v>6</v>
      </c>
      <c r="B495" s="245">
        <v>30</v>
      </c>
      <c r="C495" s="243" t="s">
        <v>87</v>
      </c>
      <c r="D495" s="364"/>
      <c r="E495" s="82" t="s">
        <v>649</v>
      </c>
      <c r="F495" s="257" t="s">
        <v>2948</v>
      </c>
      <c r="G495" s="72" t="s">
        <v>2865</v>
      </c>
      <c r="H495" s="45" t="str">
        <f t="shared" si="21"/>
        <v>SI</v>
      </c>
      <c r="I495" s="45">
        <f t="shared" si="22"/>
        <v>5</v>
      </c>
      <c r="J495" s="378"/>
      <c r="K495" s="378"/>
      <c r="L495" s="378"/>
    </row>
    <row r="496" spans="1:12" ht="45" x14ac:dyDescent="0.25">
      <c r="A496" s="245">
        <v>6</v>
      </c>
      <c r="B496" s="245">
        <v>30</v>
      </c>
      <c r="C496" s="243" t="s">
        <v>87</v>
      </c>
      <c r="D496" s="364"/>
      <c r="E496" s="82" t="s">
        <v>650</v>
      </c>
      <c r="F496" s="257" t="s">
        <v>2951</v>
      </c>
      <c r="G496" s="44" t="s">
        <v>2951</v>
      </c>
      <c r="H496" s="45" t="str">
        <f t="shared" si="21"/>
        <v>SI</v>
      </c>
      <c r="I496" s="45">
        <f t="shared" si="22"/>
        <v>5</v>
      </c>
      <c r="J496" s="378"/>
      <c r="K496" s="378"/>
      <c r="L496" s="378"/>
    </row>
    <row r="497" spans="1:12" ht="30" x14ac:dyDescent="0.25">
      <c r="A497" s="245">
        <v>6</v>
      </c>
      <c r="B497" s="245">
        <v>30</v>
      </c>
      <c r="C497" s="243" t="s">
        <v>87</v>
      </c>
      <c r="D497" s="363"/>
      <c r="E497" s="82" t="s">
        <v>3041</v>
      </c>
      <c r="F497" s="105" t="s">
        <v>64</v>
      </c>
      <c r="G497" s="222"/>
      <c r="H497" s="105" t="str">
        <f>IF((LEN(F497)=$O$4)*OR(LEN(G497)=$O$4),$N$4,IF(EXACT(F497,$N$5),$N$5,$N$3))</f>
        <v>NA</v>
      </c>
      <c r="I497" s="105" t="str">
        <f>IF(EXACT(H497,$N$3),$O$3,IF(EXACT(H497,$N$5),$N$5,$O$4))</f>
        <v>NA</v>
      </c>
      <c r="J497" s="379"/>
      <c r="K497" s="378"/>
      <c r="L497" s="378"/>
    </row>
    <row r="498" spans="1:12" ht="210" x14ac:dyDescent="0.25">
      <c r="A498" s="245">
        <v>6</v>
      </c>
      <c r="B498" s="245">
        <v>30</v>
      </c>
      <c r="C498" s="52" t="str">
        <f>Final!E192</f>
        <v>f</v>
      </c>
      <c r="D498" s="21" t="str">
        <f>Final!F192</f>
        <v>Publicaciones en revistas indexadas y especializadas nacionales e internacionales, innovaciones, patentes, productos o procesos técnicos y tecnológicos patentables o no patentables o protegidas por secreto industrial, libros, capítulos de libros, dirección de trabajos de grado de maestría y doctorado, paquetes tecnológicos, normas resultado de investigación, producción artística y cultural, productos de apropiación social del conocimiento, productos asociados a servicios técnicos o consultoría cualificada, elaborados por profesores adscritos al proyecto curricular, de acuerdo con su tipo y naturaleza.</v>
      </c>
      <c r="E498" s="21" t="s">
        <v>651</v>
      </c>
      <c r="F498" s="257" t="s">
        <v>2870</v>
      </c>
      <c r="G498" s="72" t="s">
        <v>2892</v>
      </c>
      <c r="H498" s="45" t="str">
        <f t="shared" si="21"/>
        <v>SI</v>
      </c>
      <c r="I498" s="45">
        <f t="shared" si="22"/>
        <v>5</v>
      </c>
      <c r="J498" s="100">
        <f>AVERAGE(I498)</f>
        <v>5</v>
      </c>
      <c r="K498" s="378"/>
      <c r="L498" s="378"/>
    </row>
    <row r="499" spans="1:12" ht="45" x14ac:dyDescent="0.25">
      <c r="A499" s="245">
        <v>6</v>
      </c>
      <c r="B499" s="245">
        <v>30</v>
      </c>
      <c r="C499" s="242" t="str">
        <f>Final!E193</f>
        <v>g</v>
      </c>
      <c r="D499" s="362" t="str">
        <f>Final!F193</f>
        <v>En el caso de las artes, los reconocimientos en libros de arte y revistas especializadas, presentación, exposición o ejecución de obras en instituciones de reconocido prestigio, participación en eventos organizados por comunidades artísticas y académicas. Cuando existen productos literarios, publicación por editoriales reconocidas en el ámbito literario e incluidas en antologías, entre otras.</v>
      </c>
      <c r="E499" s="21" t="s">
        <v>651</v>
      </c>
      <c r="F499" s="257" t="s">
        <v>2870</v>
      </c>
      <c r="G499" s="72" t="s">
        <v>2892</v>
      </c>
      <c r="H499" s="45" t="str">
        <f t="shared" si="21"/>
        <v>SI</v>
      </c>
      <c r="I499" s="45">
        <f t="shared" si="22"/>
        <v>5</v>
      </c>
      <c r="J499" s="377">
        <f>AVERAGE(I499:I503)</f>
        <v>5</v>
      </c>
      <c r="K499" s="378"/>
      <c r="L499" s="378"/>
    </row>
    <row r="500" spans="1:12" ht="60" x14ac:dyDescent="0.25">
      <c r="A500" s="245">
        <v>6</v>
      </c>
      <c r="B500" s="245">
        <v>30</v>
      </c>
      <c r="C500" s="243" t="s">
        <v>102</v>
      </c>
      <c r="D500" s="364"/>
      <c r="E500" s="82" t="s">
        <v>3038</v>
      </c>
      <c r="F500" s="105" t="s">
        <v>64</v>
      </c>
      <c r="G500" s="10"/>
      <c r="H500" s="45" t="str">
        <f t="shared" si="21"/>
        <v>NA</v>
      </c>
      <c r="I500" s="45" t="str">
        <f t="shared" si="22"/>
        <v>NA</v>
      </c>
      <c r="J500" s="378"/>
      <c r="K500" s="378"/>
      <c r="L500" s="378"/>
    </row>
    <row r="501" spans="1:12" ht="77.25" customHeight="1" x14ac:dyDescent="0.25">
      <c r="A501" s="245">
        <v>6</v>
      </c>
      <c r="B501" s="245">
        <v>30</v>
      </c>
      <c r="C501" s="243" t="s">
        <v>102</v>
      </c>
      <c r="D501" s="364"/>
      <c r="E501" s="260" t="s">
        <v>3039</v>
      </c>
      <c r="F501" s="105" t="s">
        <v>64</v>
      </c>
      <c r="G501" s="10"/>
      <c r="H501" s="45" t="str">
        <f t="shared" si="21"/>
        <v>NA</v>
      </c>
      <c r="I501" s="45" t="str">
        <f t="shared" si="22"/>
        <v>NA</v>
      </c>
      <c r="J501" s="378"/>
      <c r="K501" s="378"/>
      <c r="L501" s="378"/>
    </row>
    <row r="502" spans="1:12" ht="90.75" customHeight="1" x14ac:dyDescent="0.25">
      <c r="A502" s="245">
        <v>6</v>
      </c>
      <c r="B502" s="245">
        <v>30</v>
      </c>
      <c r="C502" s="243" t="s">
        <v>102</v>
      </c>
      <c r="D502" s="364"/>
      <c r="E502" s="82" t="s">
        <v>3040</v>
      </c>
      <c r="F502" s="105" t="s">
        <v>64</v>
      </c>
      <c r="G502" s="10"/>
      <c r="H502" s="45" t="str">
        <f t="shared" si="21"/>
        <v>NA</v>
      </c>
      <c r="I502" s="45" t="str">
        <f t="shared" si="22"/>
        <v>NA</v>
      </c>
      <c r="J502" s="378"/>
      <c r="K502" s="378"/>
      <c r="L502" s="378"/>
    </row>
    <row r="503" spans="1:12" ht="32.25" customHeight="1" x14ac:dyDescent="0.25">
      <c r="A503" s="245">
        <v>6</v>
      </c>
      <c r="B503" s="245">
        <v>30</v>
      </c>
      <c r="C503" s="243" t="s">
        <v>102</v>
      </c>
      <c r="D503" s="363"/>
      <c r="E503" s="82" t="s">
        <v>654</v>
      </c>
      <c r="F503" s="105" t="s">
        <v>64</v>
      </c>
      <c r="G503" s="10" t="s">
        <v>64</v>
      </c>
      <c r="H503" s="45" t="str">
        <f t="shared" si="21"/>
        <v>NA</v>
      </c>
      <c r="I503" s="45" t="str">
        <f t="shared" si="22"/>
        <v>NA</v>
      </c>
      <c r="J503" s="379"/>
      <c r="K503" s="378"/>
      <c r="L503" s="378"/>
    </row>
    <row r="504" spans="1:12" ht="210" x14ac:dyDescent="0.25">
      <c r="A504" s="245">
        <v>6</v>
      </c>
      <c r="B504" s="245">
        <v>30</v>
      </c>
      <c r="C504" s="52" t="str">
        <f>Final!E194</f>
        <v>h</v>
      </c>
      <c r="D504" s="21" t="str">
        <f>Final!F194</f>
        <v>Apoyo administrativo, formativo y financiero para el desarrollo y gestión de la investigación, la gestión del conocimiento (vigilancia tecnológica), la creación de empresas y de planes de negocios (como los centros de incubación y financiación empresarial, oficinas de transferencia de resultados de investigación, centros de investigación y desarrollo tecnológico, entre otros), proyectos de innovación en conjunto con empresas o entidades que promuevan el desarrollo de proyectos o iniciativas y la creación artística y cultural, la gestión y producción artística y cultural, y la investigación-creación de acuerdo con la naturaleza del proyecto curricular.</v>
      </c>
      <c r="E504" s="21" t="s">
        <v>655</v>
      </c>
      <c r="F504" s="261" t="s">
        <v>2870</v>
      </c>
      <c r="G504" s="72" t="s">
        <v>2892</v>
      </c>
      <c r="H504" s="45" t="str">
        <f t="shared" si="21"/>
        <v>SI</v>
      </c>
      <c r="I504" s="45">
        <f t="shared" si="22"/>
        <v>5</v>
      </c>
      <c r="J504" s="100">
        <f>AVERAGE(I504)</f>
        <v>5</v>
      </c>
      <c r="K504" s="379"/>
      <c r="L504" s="379"/>
    </row>
    <row r="505" spans="1:12" ht="45" x14ac:dyDescent="0.25">
      <c r="A505" s="245">
        <v>7</v>
      </c>
      <c r="B505" s="245">
        <v>31</v>
      </c>
      <c r="C505" s="242" t="str">
        <f>Final!E195</f>
        <v>a</v>
      </c>
      <c r="D505" s="362" t="str">
        <f>Final!F195</f>
        <v>Existencia y aplicación de las políticas sobre bienestar institucional suficientemente conocidas que propician el desarrollo integral de la comunidad institucional, reconocen el valor y la diversidad y orientan la prestación de los servicios de bienestar.</v>
      </c>
      <c r="E505" s="21" t="s">
        <v>657</v>
      </c>
      <c r="F505" s="252" t="s">
        <v>657</v>
      </c>
      <c r="G505" s="72" t="s">
        <v>2892</v>
      </c>
      <c r="H505" s="45" t="str">
        <f t="shared" si="21"/>
        <v>SI</v>
      </c>
      <c r="I505" s="45">
        <f t="shared" si="22"/>
        <v>5</v>
      </c>
      <c r="J505" s="377">
        <f>AVERAGE(I505:I508)</f>
        <v>5</v>
      </c>
      <c r="K505" s="377">
        <f>AVERAGE(J505:J526)</f>
        <v>3.75</v>
      </c>
      <c r="L505" s="381">
        <f>(K505*Ponderación!D32)+(K527*Ponderación!D32)</f>
        <v>2.9749999999999996</v>
      </c>
    </row>
    <row r="506" spans="1:12" x14ac:dyDescent="0.25">
      <c r="A506" s="245">
        <v>7</v>
      </c>
      <c r="B506" s="245">
        <v>31</v>
      </c>
      <c r="C506" s="243" t="s">
        <v>55</v>
      </c>
      <c r="D506" s="364"/>
      <c r="E506" s="82" t="s">
        <v>3042</v>
      </c>
      <c r="F506" s="283" t="s">
        <v>3043</v>
      </c>
      <c r="G506" s="44" t="s">
        <v>3044</v>
      </c>
      <c r="H506" s="45" t="str">
        <f t="shared" si="21"/>
        <v>SI</v>
      </c>
      <c r="I506" s="45">
        <f t="shared" si="22"/>
        <v>5</v>
      </c>
      <c r="J506" s="378"/>
      <c r="K506" s="378"/>
      <c r="L506" s="382"/>
    </row>
    <row r="507" spans="1:12" ht="30" x14ac:dyDescent="0.25">
      <c r="A507" s="245">
        <v>7</v>
      </c>
      <c r="B507" s="245">
        <v>31</v>
      </c>
      <c r="C507" s="243" t="s">
        <v>55</v>
      </c>
      <c r="D507" s="364"/>
      <c r="E507" s="82" t="s">
        <v>586</v>
      </c>
      <c r="F507" s="283" t="s">
        <v>476</v>
      </c>
      <c r="G507" s="72" t="s">
        <v>8</v>
      </c>
      <c r="H507" s="45" t="str">
        <f t="shared" si="21"/>
        <v>SI</v>
      </c>
      <c r="I507" s="45">
        <f t="shared" si="22"/>
        <v>5</v>
      </c>
      <c r="J507" s="378"/>
      <c r="K507" s="378"/>
      <c r="L507" s="382"/>
    </row>
    <row r="508" spans="1:12" ht="45" x14ac:dyDescent="0.25">
      <c r="A508" s="245">
        <v>7</v>
      </c>
      <c r="B508" s="245">
        <v>31</v>
      </c>
      <c r="C508" s="243" t="s">
        <v>55</v>
      </c>
      <c r="D508" s="363"/>
      <c r="E508" s="82" t="s">
        <v>3045</v>
      </c>
      <c r="F508" s="283" t="s">
        <v>657</v>
      </c>
      <c r="G508" s="72" t="s">
        <v>2892</v>
      </c>
      <c r="H508" s="45" t="str">
        <f t="shared" si="21"/>
        <v>SI</v>
      </c>
      <c r="I508" s="45">
        <f t="shared" si="22"/>
        <v>5</v>
      </c>
      <c r="J508" s="379"/>
      <c r="K508" s="378"/>
      <c r="L508" s="382"/>
    </row>
    <row r="509" spans="1:12" ht="45" x14ac:dyDescent="0.25">
      <c r="A509" s="245">
        <v>7</v>
      </c>
      <c r="B509" s="245">
        <v>31</v>
      </c>
      <c r="C509" s="242" t="str">
        <f>Final!E196</f>
        <v>b</v>
      </c>
      <c r="D509" s="362" t="str">
        <f>Final!F196</f>
        <v xml:space="preserve">Estrategias que propicien un clima institucional adecuado que favorezca el desarrollo humano y promueva una cultura que reconozca el valor de la diversidad. </v>
      </c>
      <c r="E509" s="21" t="s">
        <v>657</v>
      </c>
      <c r="F509" s="252" t="s">
        <v>657</v>
      </c>
      <c r="G509" s="72" t="s">
        <v>2892</v>
      </c>
      <c r="H509" s="45" t="str">
        <f t="shared" si="21"/>
        <v>SI</v>
      </c>
      <c r="I509" s="45">
        <f t="shared" si="22"/>
        <v>5</v>
      </c>
      <c r="J509" s="377">
        <f>AVERAGE(I509:I512)</f>
        <v>5</v>
      </c>
      <c r="K509" s="378"/>
      <c r="L509" s="382"/>
    </row>
    <row r="510" spans="1:12" x14ac:dyDescent="0.25">
      <c r="A510" s="245">
        <v>7</v>
      </c>
      <c r="B510" s="245">
        <v>31</v>
      </c>
      <c r="C510" s="243" t="s">
        <v>56</v>
      </c>
      <c r="D510" s="364"/>
      <c r="E510" s="82" t="s">
        <v>3042</v>
      </c>
      <c r="F510" s="283" t="s">
        <v>3043</v>
      </c>
      <c r="G510" s="44" t="s">
        <v>3044</v>
      </c>
      <c r="H510" s="45" t="str">
        <f t="shared" si="21"/>
        <v>SI</v>
      </c>
      <c r="I510" s="45">
        <f t="shared" si="22"/>
        <v>5</v>
      </c>
      <c r="J510" s="378"/>
      <c r="K510" s="378"/>
      <c r="L510" s="382"/>
    </row>
    <row r="511" spans="1:12" x14ac:dyDescent="0.25">
      <c r="A511" s="245">
        <v>7</v>
      </c>
      <c r="B511" s="245">
        <v>31</v>
      </c>
      <c r="C511" s="243" t="s">
        <v>56</v>
      </c>
      <c r="D511" s="364"/>
      <c r="E511" s="253" t="s">
        <v>2942</v>
      </c>
      <c r="F511" s="253" t="s">
        <v>2862</v>
      </c>
      <c r="G511" s="44" t="s">
        <v>2863</v>
      </c>
      <c r="H511" s="45" t="str">
        <f t="shared" si="21"/>
        <v>SI</v>
      </c>
      <c r="I511" s="45">
        <f t="shared" si="22"/>
        <v>5</v>
      </c>
      <c r="J511" s="378"/>
      <c r="K511" s="378"/>
      <c r="L511" s="382"/>
    </row>
    <row r="512" spans="1:12" ht="45" x14ac:dyDescent="0.25">
      <c r="A512" s="245">
        <v>7</v>
      </c>
      <c r="B512" s="245">
        <v>31</v>
      </c>
      <c r="C512" s="243" t="s">
        <v>56</v>
      </c>
      <c r="D512" s="363"/>
      <c r="E512" s="82" t="s">
        <v>3046</v>
      </c>
      <c r="F512" s="283" t="s">
        <v>657</v>
      </c>
      <c r="G512" s="72" t="s">
        <v>2892</v>
      </c>
      <c r="H512" s="45" t="str">
        <f t="shared" si="21"/>
        <v>SI</v>
      </c>
      <c r="I512" s="45">
        <f t="shared" si="22"/>
        <v>5</v>
      </c>
      <c r="J512" s="379"/>
      <c r="K512" s="378"/>
      <c r="L512" s="382"/>
    </row>
    <row r="513" spans="1:12" ht="45" x14ac:dyDescent="0.25">
      <c r="A513" s="245">
        <v>7</v>
      </c>
      <c r="B513" s="245">
        <v>31</v>
      </c>
      <c r="C513" s="52" t="str">
        <f>Final!E197</f>
        <v>c</v>
      </c>
      <c r="D513" s="21" t="str">
        <f>Final!F197</f>
        <v>Programas, servicios y actividades de bienestar dirigidos a los profesores, estudiantes y personal administrativo del proyecto curricular.</v>
      </c>
      <c r="E513" s="21" t="s">
        <v>660</v>
      </c>
      <c r="F513" s="283" t="s">
        <v>2878</v>
      </c>
      <c r="G513" s="44" t="s">
        <v>3047</v>
      </c>
      <c r="H513" s="45" t="str">
        <f t="shared" si="21"/>
        <v>SI</v>
      </c>
      <c r="I513" s="45">
        <f t="shared" si="22"/>
        <v>5</v>
      </c>
      <c r="J513" s="100">
        <f>AVERAGE(I513)</f>
        <v>5</v>
      </c>
      <c r="K513" s="378"/>
      <c r="L513" s="382"/>
    </row>
    <row r="514" spans="1:12" ht="75" x14ac:dyDescent="0.25">
      <c r="A514" s="245">
        <v>7</v>
      </c>
      <c r="B514" s="245">
        <v>31</v>
      </c>
      <c r="C514" s="52" t="str">
        <f>Final!E198</f>
        <v>d</v>
      </c>
      <c r="D514" s="21" t="str">
        <f>Final!F198</f>
        <v>Participación de directivos, profesores, estudiantes y personal administrativo del proyecto curricular en los programas, los servicios y las actividades de bienestar institucional.</v>
      </c>
      <c r="E514" s="21"/>
      <c r="F514" s="45" t="s">
        <v>64</v>
      </c>
      <c r="G514" s="10"/>
      <c r="H514" s="45" t="str">
        <f t="shared" ref="H514:H579" si="23">IF((LEN(F514)=$O$4)*OR(LEN(G514)=$O$4),$N$4,IF(EXACT(F514,$N$5),$N$5,$N$3))</f>
        <v>NA</v>
      </c>
      <c r="I514" s="45" t="str">
        <f t="shared" ref="I514:I546" si="24">IF(EXACT(H514,$N$3),$O$3,IF(EXACT(H514,$N$5),$N$5,$O$4))</f>
        <v>NA</v>
      </c>
      <c r="J514" s="100" t="str">
        <f>I514</f>
        <v>NA</v>
      </c>
      <c r="K514" s="378"/>
      <c r="L514" s="382"/>
    </row>
    <row r="515" spans="1:12" ht="75" x14ac:dyDescent="0.25">
      <c r="A515" s="245">
        <v>7</v>
      </c>
      <c r="B515" s="245">
        <v>31</v>
      </c>
      <c r="C515" s="52" t="str">
        <f>Final!E199</f>
        <v>e</v>
      </c>
      <c r="D515" s="21" t="str">
        <f>Final!F199</f>
        <v>Apreciación de directivos, profesores, estudiantes y personal administrativo del proyecto curricular sobre la calidad y pertinencia de los servicios y las actividades de bienestar y sobre su contribución a su desarrollo personal.</v>
      </c>
      <c r="E515" s="21" t="s">
        <v>49</v>
      </c>
      <c r="F515" s="105" t="s">
        <v>64</v>
      </c>
      <c r="G515" s="10"/>
      <c r="H515" s="45" t="str">
        <f t="shared" si="23"/>
        <v>NA</v>
      </c>
      <c r="I515" s="45" t="str">
        <f t="shared" si="24"/>
        <v>NA</v>
      </c>
      <c r="J515" s="105" t="str">
        <f>IF(EXACT(I515,$N$3),$O$3,IF(EXACT(I515,$N$5),$N$5,$O$4))</f>
        <v>NA</v>
      </c>
      <c r="K515" s="378"/>
      <c r="L515" s="382"/>
    </row>
    <row r="516" spans="1:12" x14ac:dyDescent="0.25">
      <c r="A516" s="245">
        <v>7</v>
      </c>
      <c r="B516" s="245">
        <v>31</v>
      </c>
      <c r="C516" s="242" t="str">
        <f>Final!E200</f>
        <v>f</v>
      </c>
      <c r="D516" s="362" t="str">
        <f>Final!F200</f>
        <v>Programas y estrategias de seguimiento integral a la comunidad institucional y acciones derivadas que conduzcan al desarrollo humano y el respeto a la diferencia.</v>
      </c>
      <c r="E516" s="362" t="s">
        <v>662</v>
      </c>
      <c r="F516" s="253" t="s">
        <v>2862</v>
      </c>
      <c r="G516" s="44" t="s">
        <v>2863</v>
      </c>
      <c r="H516" s="45" t="str">
        <f t="shared" si="23"/>
        <v>SI</v>
      </c>
      <c r="I516" s="45">
        <f t="shared" si="24"/>
        <v>5</v>
      </c>
      <c r="J516" s="377">
        <f>AVERAGE(I516:I519)</f>
        <v>5</v>
      </c>
      <c r="K516" s="378"/>
      <c r="L516" s="382"/>
    </row>
    <row r="517" spans="1:12" ht="25.5" customHeight="1" x14ac:dyDescent="0.25">
      <c r="A517" s="245">
        <v>7</v>
      </c>
      <c r="B517" s="245">
        <v>31</v>
      </c>
      <c r="C517" s="243" t="s">
        <v>88</v>
      </c>
      <c r="D517" s="364"/>
      <c r="E517" s="363"/>
      <c r="F517" s="253" t="s">
        <v>2943</v>
      </c>
      <c r="G517" s="72" t="s">
        <v>2864</v>
      </c>
      <c r="H517" s="45" t="str">
        <f>IF((LEN(F517)=$O$4)*OR(LEN(G517)=$O$4),$N$4,IF(EXACT(F517,$N$5),$N$5,$N$3))</f>
        <v>SI</v>
      </c>
      <c r="I517" s="45">
        <f t="shared" si="24"/>
        <v>5</v>
      </c>
      <c r="J517" s="378"/>
      <c r="K517" s="378"/>
      <c r="L517" s="382"/>
    </row>
    <row r="518" spans="1:12" ht="30" x14ac:dyDescent="0.25">
      <c r="A518" s="245">
        <v>7</v>
      </c>
      <c r="B518" s="245">
        <v>31</v>
      </c>
      <c r="C518" s="243" t="s">
        <v>88</v>
      </c>
      <c r="D518" s="364"/>
      <c r="E518" s="82" t="s">
        <v>3048</v>
      </c>
      <c r="F518" s="253" t="s">
        <v>3049</v>
      </c>
      <c r="G518" s="72" t="s">
        <v>896</v>
      </c>
      <c r="H518" s="45" t="str">
        <f t="shared" si="23"/>
        <v>SI</v>
      </c>
      <c r="I518" s="45">
        <f t="shared" si="24"/>
        <v>5</v>
      </c>
      <c r="J518" s="378"/>
      <c r="K518" s="378"/>
      <c r="L518" s="382"/>
    </row>
    <row r="519" spans="1:12" ht="30" x14ac:dyDescent="0.25">
      <c r="A519" s="245">
        <v>7</v>
      </c>
      <c r="B519" s="245">
        <v>31</v>
      </c>
      <c r="C519" s="243" t="s">
        <v>88</v>
      </c>
      <c r="D519" s="363"/>
      <c r="E519" s="82" t="s">
        <v>663</v>
      </c>
      <c r="F519" s="253" t="s">
        <v>3050</v>
      </c>
      <c r="G519" s="44" t="s">
        <v>3051</v>
      </c>
      <c r="H519" s="45" t="str">
        <f t="shared" si="23"/>
        <v>SI</v>
      </c>
      <c r="I519" s="45">
        <f t="shared" si="24"/>
        <v>5</v>
      </c>
      <c r="J519" s="379"/>
      <c r="K519" s="378"/>
      <c r="L519" s="382"/>
    </row>
    <row r="520" spans="1:12" ht="24" x14ac:dyDescent="0.25">
      <c r="A520" s="245">
        <v>7</v>
      </c>
      <c r="B520" s="245">
        <v>31</v>
      </c>
      <c r="C520" s="242" t="str">
        <f>Final!E201</f>
        <v>g</v>
      </c>
      <c r="D520" s="362" t="str">
        <f>Final!F201</f>
        <v>Investigación permanente de la problemática social del entorno que incide en la comunidad institucional.</v>
      </c>
      <c r="E520" s="21" t="s">
        <v>664</v>
      </c>
      <c r="F520" s="11" t="s">
        <v>895</v>
      </c>
      <c r="G520" s="72" t="s">
        <v>891</v>
      </c>
      <c r="H520" s="45" t="str">
        <f t="shared" si="23"/>
        <v>SI</v>
      </c>
      <c r="I520" s="45">
        <f t="shared" si="24"/>
        <v>5</v>
      </c>
      <c r="J520" s="377">
        <f>AVERAGE(I520:I523)</f>
        <v>2.5</v>
      </c>
      <c r="K520" s="378"/>
      <c r="L520" s="382"/>
    </row>
    <row r="521" spans="1:12" ht="45" x14ac:dyDescent="0.25">
      <c r="A521" s="245">
        <v>7</v>
      </c>
      <c r="B521" s="245">
        <v>31</v>
      </c>
      <c r="C521" s="243" t="s">
        <v>102</v>
      </c>
      <c r="D521" s="364"/>
      <c r="E521" s="82" t="s">
        <v>665</v>
      </c>
      <c r="F521" s="252" t="s">
        <v>2944</v>
      </c>
      <c r="G521" s="72" t="s">
        <v>2892</v>
      </c>
      <c r="H521" s="45" t="str">
        <f t="shared" si="23"/>
        <v>SI</v>
      </c>
      <c r="I521" s="45">
        <f t="shared" si="24"/>
        <v>5</v>
      </c>
      <c r="J521" s="378"/>
      <c r="K521" s="378"/>
      <c r="L521" s="382"/>
    </row>
    <row r="522" spans="1:12" ht="30" x14ac:dyDescent="0.25">
      <c r="A522" s="245">
        <v>7</v>
      </c>
      <c r="B522" s="245">
        <v>31</v>
      </c>
      <c r="C522" s="243" t="s">
        <v>102</v>
      </c>
      <c r="D522" s="364"/>
      <c r="E522" s="82" t="s">
        <v>3052</v>
      </c>
      <c r="F522" s="255"/>
      <c r="G522" s="10"/>
      <c r="H522" s="45" t="str">
        <f t="shared" si="23"/>
        <v>NO</v>
      </c>
      <c r="I522" s="45">
        <f t="shared" si="24"/>
        <v>0</v>
      </c>
      <c r="J522" s="378"/>
      <c r="K522" s="378"/>
      <c r="L522" s="382"/>
    </row>
    <row r="523" spans="1:12" ht="45" x14ac:dyDescent="0.25">
      <c r="A523" s="245">
        <v>7</v>
      </c>
      <c r="B523" s="245">
        <v>31</v>
      </c>
      <c r="C523" s="243" t="s">
        <v>102</v>
      </c>
      <c r="D523" s="363"/>
      <c r="E523" s="82" t="s">
        <v>3053</v>
      </c>
      <c r="F523" s="255"/>
      <c r="G523" s="10"/>
      <c r="H523" s="45" t="str">
        <f t="shared" si="23"/>
        <v>NO</v>
      </c>
      <c r="I523" s="45">
        <f t="shared" si="24"/>
        <v>0</v>
      </c>
      <c r="J523" s="379"/>
      <c r="K523" s="378"/>
      <c r="L523" s="382"/>
    </row>
    <row r="524" spans="1:12" ht="31.5" customHeight="1" x14ac:dyDescent="0.25">
      <c r="A524" s="245">
        <v>7</v>
      </c>
      <c r="B524" s="245">
        <v>31</v>
      </c>
      <c r="C524" s="242" t="str">
        <f>Final!E202</f>
        <v>h</v>
      </c>
      <c r="D524" s="362" t="str">
        <f>Final!F202</f>
        <v>Estrategias que permitan a los estudiantes vincularse a redes de apoyo orientadas a contrarrestar las situaciones de vulnerabilidad.</v>
      </c>
      <c r="E524" s="21" t="s">
        <v>667</v>
      </c>
      <c r="F524" s="10"/>
      <c r="G524" s="10"/>
      <c r="H524" s="45" t="str">
        <f t="shared" si="23"/>
        <v>NO</v>
      </c>
      <c r="I524" s="45">
        <f t="shared" si="24"/>
        <v>0</v>
      </c>
      <c r="J524" s="377">
        <f>AVERAGE(I524:I525)</f>
        <v>0</v>
      </c>
      <c r="K524" s="378"/>
      <c r="L524" s="382"/>
    </row>
    <row r="525" spans="1:12" ht="30" customHeight="1" x14ac:dyDescent="0.25">
      <c r="A525" s="245">
        <v>7</v>
      </c>
      <c r="B525" s="245">
        <v>31</v>
      </c>
      <c r="C525" s="244" t="s">
        <v>104</v>
      </c>
      <c r="D525" s="363"/>
      <c r="E525" s="82" t="s">
        <v>668</v>
      </c>
      <c r="F525" s="10"/>
      <c r="G525" s="10"/>
      <c r="H525" s="45" t="str">
        <f t="shared" si="23"/>
        <v>NO</v>
      </c>
      <c r="I525" s="45">
        <f t="shared" si="24"/>
        <v>0</v>
      </c>
      <c r="J525" s="379"/>
      <c r="K525" s="378"/>
      <c r="L525" s="382"/>
    </row>
    <row r="526" spans="1:12" ht="60" x14ac:dyDescent="0.25">
      <c r="A526" s="245">
        <v>7</v>
      </c>
      <c r="B526" s="245">
        <v>31</v>
      </c>
      <c r="C526" s="52" t="str">
        <f>Final!E203</f>
        <v>i</v>
      </c>
      <c r="D526" s="21" t="str">
        <f>Final!F203</f>
        <v>En los programas de salud, donde sea pertinente, evidenciar estrategias de bienestar adecuadas para los estudiantes en prácticas (lockers, camarotes, dormitorios) entre otros-.</v>
      </c>
      <c r="E526" s="21"/>
      <c r="F526" s="45" t="s">
        <v>64</v>
      </c>
      <c r="G526" s="10"/>
      <c r="H526" s="45" t="str">
        <f t="shared" si="23"/>
        <v>NA</v>
      </c>
      <c r="I526" s="45" t="str">
        <f t="shared" si="24"/>
        <v>NA</v>
      </c>
      <c r="J526" s="100" t="str">
        <f>I526</f>
        <v>NA</v>
      </c>
      <c r="K526" s="379"/>
      <c r="L526" s="382"/>
    </row>
    <row r="527" spans="1:12" ht="75" x14ac:dyDescent="0.25">
      <c r="A527" s="245">
        <v>7</v>
      </c>
      <c r="B527" s="245">
        <v>32</v>
      </c>
      <c r="C527" s="52" t="str">
        <f>Final!E204</f>
        <v>a</v>
      </c>
      <c r="D527" s="21" t="str">
        <f>Final!F204</f>
        <v>Tasas de deserción estudiantil acumulada y por períodos académicos, acorde con los reportes efectuados al Sistema para la Prevención de la Deserción de la Educación Superior – SPADIES–.</v>
      </c>
      <c r="E527" s="21" t="s">
        <v>670</v>
      </c>
      <c r="F527" s="283" t="s">
        <v>3055</v>
      </c>
      <c r="G527" s="44" t="s">
        <v>3054</v>
      </c>
      <c r="H527" s="45" t="str">
        <f t="shared" si="23"/>
        <v>SI</v>
      </c>
      <c r="I527" s="45">
        <f t="shared" si="24"/>
        <v>5</v>
      </c>
      <c r="J527" s="100">
        <f>AVERAGE(I527)</f>
        <v>5</v>
      </c>
      <c r="K527" s="381">
        <f>AVERAGE(J527:J532)</f>
        <v>3.3333333333333335</v>
      </c>
      <c r="L527" s="382"/>
    </row>
    <row r="528" spans="1:12" ht="45" x14ac:dyDescent="0.25">
      <c r="A528" s="245">
        <v>7</v>
      </c>
      <c r="B528" s="245">
        <v>32</v>
      </c>
      <c r="C528" s="52" t="str">
        <f>Final!E205</f>
        <v>b</v>
      </c>
      <c r="D528" s="21" t="str">
        <f>Final!F205</f>
        <v>Registros periódicos de la caracterización de los estudiantes teniendo en cuenta variables de vulnerabilidad.</v>
      </c>
      <c r="E528" s="21" t="s">
        <v>671</v>
      </c>
      <c r="F528" s="10"/>
      <c r="G528" s="10"/>
      <c r="H528" s="45" t="str">
        <f t="shared" si="23"/>
        <v>NO</v>
      </c>
      <c r="I528" s="45">
        <f t="shared" si="24"/>
        <v>0</v>
      </c>
      <c r="J528" s="100">
        <f>AVERAGE(I528)</f>
        <v>0</v>
      </c>
      <c r="K528" s="382"/>
      <c r="L528" s="382"/>
    </row>
    <row r="529" spans="1:12" ht="90" customHeight="1" x14ac:dyDescent="0.25">
      <c r="A529" s="245">
        <v>7</v>
      </c>
      <c r="B529" s="245">
        <v>32</v>
      </c>
      <c r="C529" s="242" t="str">
        <f>Final!E206</f>
        <v>c</v>
      </c>
      <c r="D529" s="362" t="str">
        <f>Final!F206</f>
        <v>Existencia de proyectos que establezcan estrategias pedagógicas y actividades extracurriculares  orientadas a optimizar las tasas de retención y de graduación de estudiantes en los tiempos previstos, manteniendo la calidad académica del proyecto curricular.</v>
      </c>
      <c r="E529" s="21" t="s">
        <v>657</v>
      </c>
      <c r="F529" s="252" t="s">
        <v>2945</v>
      </c>
      <c r="G529" s="72" t="s">
        <v>2892</v>
      </c>
      <c r="H529" s="45" t="str">
        <f t="shared" si="23"/>
        <v>SI</v>
      </c>
      <c r="I529" s="45">
        <f t="shared" si="24"/>
        <v>5</v>
      </c>
      <c r="J529" s="377">
        <f>AVERAGE(I529:I532)</f>
        <v>5</v>
      </c>
      <c r="K529" s="382"/>
      <c r="L529" s="382"/>
    </row>
    <row r="530" spans="1:12" ht="30" x14ac:dyDescent="0.25">
      <c r="A530" s="245">
        <v>7</v>
      </c>
      <c r="B530" s="245">
        <v>32</v>
      </c>
      <c r="C530" s="242" t="str">
        <f>Final!E207</f>
        <v>a</v>
      </c>
      <c r="D530" s="364"/>
      <c r="E530" s="252" t="s">
        <v>543</v>
      </c>
      <c r="F530" s="252" t="s">
        <v>2917</v>
      </c>
      <c r="G530" s="72" t="s">
        <v>2882</v>
      </c>
      <c r="H530" s="105" t="str">
        <f>IF((LEN(F530)=$O$4)*OR(LEN(G530)=$O$4),$N$4,IF(EXACT(F530,$N$5),$N$5,$N$3))</f>
        <v>SI</v>
      </c>
      <c r="I530" s="105">
        <f t="shared" si="24"/>
        <v>5</v>
      </c>
      <c r="J530" s="378"/>
      <c r="K530" s="382"/>
      <c r="L530" s="382"/>
    </row>
    <row r="531" spans="1:12" ht="30" x14ac:dyDescent="0.25">
      <c r="A531" s="245">
        <v>7</v>
      </c>
      <c r="B531" s="245">
        <v>32</v>
      </c>
      <c r="C531" s="243" t="s">
        <v>80</v>
      </c>
      <c r="D531" s="364"/>
      <c r="E531" s="252" t="s">
        <v>543</v>
      </c>
      <c r="F531" s="252" t="s">
        <v>2918</v>
      </c>
      <c r="G531" s="72" t="s">
        <v>2881</v>
      </c>
      <c r="H531" s="45" t="str">
        <f t="shared" si="23"/>
        <v>SI</v>
      </c>
      <c r="I531" s="45">
        <f t="shared" si="24"/>
        <v>5</v>
      </c>
      <c r="J531" s="378"/>
      <c r="K531" s="382"/>
      <c r="L531" s="382"/>
    </row>
    <row r="532" spans="1:12" ht="30" x14ac:dyDescent="0.25">
      <c r="A532" s="245">
        <v>7</v>
      </c>
      <c r="B532" s="245">
        <v>32</v>
      </c>
      <c r="C532" s="244" t="s">
        <v>80</v>
      </c>
      <c r="D532" s="363"/>
      <c r="E532" s="82" t="s">
        <v>672</v>
      </c>
      <c r="F532" s="283" t="s">
        <v>2866</v>
      </c>
      <c r="G532" s="72" t="s">
        <v>2865</v>
      </c>
      <c r="H532" s="45" t="str">
        <f t="shared" si="23"/>
        <v>SI</v>
      </c>
      <c r="I532" s="45">
        <f t="shared" si="24"/>
        <v>5</v>
      </c>
      <c r="J532" s="379"/>
      <c r="K532" s="383"/>
      <c r="L532" s="383"/>
    </row>
    <row r="533" spans="1:12" ht="75" x14ac:dyDescent="0.25">
      <c r="A533" s="245">
        <v>8</v>
      </c>
      <c r="B533" s="245">
        <v>33</v>
      </c>
      <c r="C533" s="242" t="str">
        <f>Final!E207</f>
        <v>a</v>
      </c>
      <c r="D533" s="362" t="str">
        <f>Final!F207</f>
        <v>Correspondencia entre la organización, administración y gestión del proyecto curricular, y los fines de la docencia, la investigación, la innovación o creación artística y cultural, la extensión o proyección social y la cooperación nacional e internacional.</v>
      </c>
      <c r="E533" s="275" t="s">
        <v>2968</v>
      </c>
      <c r="F533" s="278" t="s">
        <v>2969</v>
      </c>
      <c r="G533" s="72" t="s">
        <v>2970</v>
      </c>
      <c r="H533" s="45" t="str">
        <f t="shared" si="23"/>
        <v>SI</v>
      </c>
      <c r="I533" s="45">
        <f t="shared" si="24"/>
        <v>5</v>
      </c>
      <c r="J533" s="377">
        <f>AVERAGE(I533:I535)</f>
        <v>5</v>
      </c>
      <c r="K533" s="381">
        <f>AVERAGE(J533:J553)</f>
        <v>5</v>
      </c>
      <c r="L533" s="381">
        <f>(K533*Ponderación!D34)+(K554*Ponderación!D35)+(K575*Ponderación!D36)</f>
        <v>4.551541666666667</v>
      </c>
    </row>
    <row r="534" spans="1:12" ht="60" x14ac:dyDescent="0.25">
      <c r="A534" s="245">
        <v>8</v>
      </c>
      <c r="B534" s="245">
        <v>33</v>
      </c>
      <c r="C534" s="243" t="s">
        <v>55</v>
      </c>
      <c r="D534" s="364"/>
      <c r="E534" s="275" t="s">
        <v>679</v>
      </c>
      <c r="F534" s="278" t="s">
        <v>2971</v>
      </c>
      <c r="G534" s="72" t="s">
        <v>2972</v>
      </c>
      <c r="H534" s="45" t="str">
        <f t="shared" si="23"/>
        <v>SI</v>
      </c>
      <c r="I534" s="45">
        <f t="shared" si="24"/>
        <v>5</v>
      </c>
      <c r="J534" s="378"/>
      <c r="K534" s="382"/>
      <c r="L534" s="382"/>
    </row>
    <row r="535" spans="1:12" ht="45" x14ac:dyDescent="0.25">
      <c r="A535" s="245">
        <v>8</v>
      </c>
      <c r="B535" s="245">
        <v>33</v>
      </c>
      <c r="C535" s="244" t="s">
        <v>55</v>
      </c>
      <c r="D535" s="363"/>
      <c r="E535" s="276" t="s">
        <v>674</v>
      </c>
      <c r="F535" s="278" t="s">
        <v>2973</v>
      </c>
      <c r="G535" s="44" t="s">
        <v>2974</v>
      </c>
      <c r="H535" s="45" t="str">
        <f t="shared" si="23"/>
        <v>SI</v>
      </c>
      <c r="I535" s="45">
        <f t="shared" si="24"/>
        <v>5</v>
      </c>
      <c r="J535" s="379"/>
      <c r="K535" s="382"/>
      <c r="L535" s="382"/>
    </row>
    <row r="536" spans="1:12" ht="120" x14ac:dyDescent="0.25">
      <c r="A536" s="245">
        <v>8</v>
      </c>
      <c r="B536" s="245">
        <v>33</v>
      </c>
      <c r="C536" s="242" t="str">
        <f>Final!E208</f>
        <v>b</v>
      </c>
      <c r="D536" s="362" t="str">
        <f>Final!F208</f>
        <v>Correspondencia entre la organización, administración y gestión del proyecto curricular y los objetivos definidos en sus planes de desarrollo y mejoramiento</v>
      </c>
      <c r="E536" s="277" t="s">
        <v>675</v>
      </c>
      <c r="F536" s="278" t="s">
        <v>2975</v>
      </c>
      <c r="G536" s="72" t="s">
        <v>2908</v>
      </c>
      <c r="H536" s="45" t="str">
        <f t="shared" si="23"/>
        <v>SI</v>
      </c>
      <c r="I536" s="45">
        <f t="shared" si="24"/>
        <v>5</v>
      </c>
      <c r="J536" s="377">
        <f>AVERAGE(I536:I539)</f>
        <v>5</v>
      </c>
      <c r="K536" s="382"/>
      <c r="L536" s="382"/>
    </row>
    <row r="537" spans="1:12" x14ac:dyDescent="0.25">
      <c r="A537" s="245">
        <v>8</v>
      </c>
      <c r="B537" s="245">
        <v>33</v>
      </c>
      <c r="C537" s="243" t="s">
        <v>56</v>
      </c>
      <c r="D537" s="364"/>
      <c r="E537" s="20" t="s">
        <v>676</v>
      </c>
      <c r="F537" s="9" t="s">
        <v>2976</v>
      </c>
      <c r="G537" s="44" t="s">
        <v>2977</v>
      </c>
      <c r="H537" s="105" t="str">
        <f>IF((LEN(F537)=$O$4)*OR(LEN(G537)=$O$4),$N$4,IF(EXACT(F537,$N$5),$N$5,$N$3))</f>
        <v>SI</v>
      </c>
      <c r="I537" s="105">
        <f>IF(EXACT(H537,$N$3),$O$3,IF(EXACT(H537,$N$5),$N$5,$O$4))</f>
        <v>5</v>
      </c>
      <c r="J537" s="378"/>
      <c r="K537" s="382"/>
      <c r="L537" s="382"/>
    </row>
    <row r="538" spans="1:12" ht="30" x14ac:dyDescent="0.25">
      <c r="A538" s="245">
        <v>8</v>
      </c>
      <c r="B538" s="245">
        <v>33</v>
      </c>
      <c r="C538" s="243" t="s">
        <v>56</v>
      </c>
      <c r="D538" s="364"/>
      <c r="E538" s="20" t="s">
        <v>677</v>
      </c>
      <c r="F538" s="278" t="s">
        <v>2866</v>
      </c>
      <c r="G538" s="72" t="s">
        <v>2865</v>
      </c>
      <c r="H538" s="45" t="str">
        <f t="shared" si="23"/>
        <v>SI</v>
      </c>
      <c r="I538" s="45">
        <f t="shared" si="24"/>
        <v>5</v>
      </c>
      <c r="J538" s="378"/>
      <c r="K538" s="382"/>
      <c r="L538" s="382"/>
    </row>
    <row r="539" spans="1:12" ht="30" x14ac:dyDescent="0.25">
      <c r="A539" s="245">
        <v>8</v>
      </c>
      <c r="B539" s="245">
        <v>33</v>
      </c>
      <c r="C539" s="243" t="s">
        <v>56</v>
      </c>
      <c r="D539" s="363"/>
      <c r="E539" s="20" t="s">
        <v>678</v>
      </c>
      <c r="F539" s="319" t="s">
        <v>3087</v>
      </c>
      <c r="G539" s="220" t="s">
        <v>2872</v>
      </c>
      <c r="H539" s="45" t="str">
        <f t="shared" si="23"/>
        <v>SI</v>
      </c>
      <c r="I539" s="45">
        <f t="shared" si="24"/>
        <v>5</v>
      </c>
      <c r="J539" s="379"/>
      <c r="K539" s="382"/>
      <c r="L539" s="382"/>
    </row>
    <row r="540" spans="1:12" ht="60" x14ac:dyDescent="0.25">
      <c r="A540" s="245">
        <v>8</v>
      </c>
      <c r="B540" s="245">
        <v>33</v>
      </c>
      <c r="C540" s="242" t="str">
        <f>Final!E209</f>
        <v>c1</v>
      </c>
      <c r="D540" s="362" t="str">
        <f>Final!F209</f>
        <v>Información verificable sobre mecanismos orientados al mejoramiento de la calidad de los procesos en el proyecto curricular.</v>
      </c>
      <c r="E540" s="21" t="s">
        <v>680</v>
      </c>
      <c r="F540" s="278" t="s">
        <v>2985</v>
      </c>
      <c r="G540" s="72" t="s">
        <v>2869</v>
      </c>
      <c r="H540" s="45" t="str">
        <f t="shared" si="23"/>
        <v>SI</v>
      </c>
      <c r="I540" s="45">
        <f t="shared" si="24"/>
        <v>5</v>
      </c>
      <c r="J540" s="377">
        <f>AVERAGE(I540:I544)</f>
        <v>5</v>
      </c>
      <c r="K540" s="382"/>
      <c r="L540" s="382"/>
    </row>
    <row r="541" spans="1:12" x14ac:dyDescent="0.25">
      <c r="A541" s="245"/>
      <c r="B541" s="245"/>
      <c r="C541" s="243"/>
      <c r="D541" s="364"/>
      <c r="E541" s="276" t="s">
        <v>2984</v>
      </c>
      <c r="F541" s="10"/>
      <c r="G541" s="10"/>
      <c r="H541" s="105"/>
      <c r="I541" s="105"/>
      <c r="J541" s="378"/>
      <c r="K541" s="378"/>
      <c r="L541" s="382"/>
    </row>
    <row r="542" spans="1:12" ht="50.25" customHeight="1" x14ac:dyDescent="0.25">
      <c r="A542" s="245">
        <v>8</v>
      </c>
      <c r="B542" s="245">
        <v>33</v>
      </c>
      <c r="C542" s="243" t="s">
        <v>305</v>
      </c>
      <c r="D542" s="364"/>
      <c r="E542" s="82" t="s">
        <v>681</v>
      </c>
      <c r="F542" s="278" t="s">
        <v>2985</v>
      </c>
      <c r="G542" s="72" t="s">
        <v>2869</v>
      </c>
      <c r="H542" s="45" t="str">
        <f t="shared" si="23"/>
        <v>SI</v>
      </c>
      <c r="I542" s="45">
        <f t="shared" si="24"/>
        <v>5</v>
      </c>
      <c r="J542" s="378"/>
      <c r="K542" s="382"/>
      <c r="L542" s="382"/>
    </row>
    <row r="543" spans="1:12" ht="60" x14ac:dyDescent="0.25">
      <c r="A543" s="245">
        <v>8</v>
      </c>
      <c r="B543" s="245">
        <v>33</v>
      </c>
      <c r="C543" s="243" t="s">
        <v>305</v>
      </c>
      <c r="D543" s="364"/>
      <c r="E543" s="82" t="s">
        <v>682</v>
      </c>
      <c r="F543" s="278" t="s">
        <v>2985</v>
      </c>
      <c r="G543" s="72" t="s">
        <v>2869</v>
      </c>
      <c r="H543" s="45" t="str">
        <f t="shared" si="23"/>
        <v>SI</v>
      </c>
      <c r="I543" s="45">
        <f t="shared" si="24"/>
        <v>5</v>
      </c>
      <c r="J543" s="378"/>
      <c r="K543" s="382"/>
      <c r="L543" s="382"/>
    </row>
    <row r="544" spans="1:12" ht="89.25" customHeight="1" x14ac:dyDescent="0.25">
      <c r="A544" s="245">
        <v>8</v>
      </c>
      <c r="B544" s="245">
        <v>33</v>
      </c>
      <c r="C544" s="243" t="s">
        <v>305</v>
      </c>
      <c r="D544" s="363"/>
      <c r="E544" s="82" t="s">
        <v>683</v>
      </c>
      <c r="F544" s="319" t="s">
        <v>3087</v>
      </c>
      <c r="G544" s="220" t="s">
        <v>2872</v>
      </c>
      <c r="H544" s="45" t="str">
        <f t="shared" si="23"/>
        <v>SI</v>
      </c>
      <c r="I544" s="45">
        <f t="shared" si="24"/>
        <v>5</v>
      </c>
      <c r="J544" s="379"/>
      <c r="K544" s="382"/>
      <c r="L544" s="382"/>
    </row>
    <row r="545" spans="1:12" ht="75" customHeight="1" x14ac:dyDescent="0.25">
      <c r="A545" s="245">
        <v>8</v>
      </c>
      <c r="B545" s="245">
        <v>33</v>
      </c>
      <c r="C545" s="242" t="str">
        <f>Final!E210</f>
        <v>c2</v>
      </c>
      <c r="D545" s="362" t="str">
        <f>Final!F210</f>
        <v>Criterios institucionales para la toma de decisiones sobre asignación de cargos, responsabilidades y procedimientos en los diferentes proyectos curriculares. Evidencia sobre la aplicación de estos criterios.</v>
      </c>
      <c r="E545" s="276" t="s">
        <v>684</v>
      </c>
      <c r="F545" s="278" t="s">
        <v>2978</v>
      </c>
      <c r="G545" s="44" t="s">
        <v>2979</v>
      </c>
      <c r="H545" s="45" t="str">
        <f t="shared" si="23"/>
        <v>SI</v>
      </c>
      <c r="I545" s="45">
        <f t="shared" si="24"/>
        <v>5</v>
      </c>
      <c r="J545" s="377">
        <f>AVERAGE(I545:I547)</f>
        <v>5</v>
      </c>
      <c r="K545" s="382"/>
      <c r="L545" s="382"/>
    </row>
    <row r="546" spans="1:12" ht="60" x14ac:dyDescent="0.25">
      <c r="A546" s="245">
        <v>8</v>
      </c>
      <c r="B546" s="245">
        <v>33</v>
      </c>
      <c r="C546" s="243" t="s">
        <v>306</v>
      </c>
      <c r="D546" s="364"/>
      <c r="E546" s="276" t="s">
        <v>685</v>
      </c>
      <c r="F546" s="278" t="s">
        <v>897</v>
      </c>
      <c r="G546" s="72" t="s">
        <v>2980</v>
      </c>
      <c r="H546" s="45" t="str">
        <f t="shared" si="23"/>
        <v>SI</v>
      </c>
      <c r="I546" s="45">
        <f t="shared" si="24"/>
        <v>5</v>
      </c>
      <c r="J546" s="378"/>
      <c r="K546" s="382"/>
      <c r="L546" s="382"/>
    </row>
    <row r="547" spans="1:12" ht="60" x14ac:dyDescent="0.25">
      <c r="A547" s="245">
        <v>8</v>
      </c>
      <c r="B547" s="245">
        <v>33</v>
      </c>
      <c r="C547" s="244" t="s">
        <v>306</v>
      </c>
      <c r="D547" s="363"/>
      <c r="E547" s="276" t="s">
        <v>686</v>
      </c>
      <c r="F547" s="278" t="s">
        <v>897</v>
      </c>
      <c r="G547" s="72" t="s">
        <v>2980</v>
      </c>
      <c r="H547" s="45" t="str">
        <f t="shared" si="23"/>
        <v>SI</v>
      </c>
      <c r="I547" s="45">
        <f t="shared" ref="I547:J577" si="25">IF(EXACT(H547,$N$3),$O$3,IF(EXACT(H547,$N$5),$N$5,$O$4))</f>
        <v>5</v>
      </c>
      <c r="J547" s="379"/>
      <c r="K547" s="382"/>
      <c r="L547" s="382"/>
    </row>
    <row r="548" spans="1:12" ht="45" x14ac:dyDescent="0.25">
      <c r="A548" s="245">
        <v>8</v>
      </c>
      <c r="B548" s="245">
        <v>33</v>
      </c>
      <c r="C548" s="242" t="str">
        <f>Final!E211</f>
        <v>d</v>
      </c>
      <c r="D548" s="362" t="str">
        <f>Final!F211</f>
        <v>Cantidad y dedicación del talento humano para cubrir las necesidades del proyecto curricular.</v>
      </c>
      <c r="E548" s="276" t="s">
        <v>2986</v>
      </c>
      <c r="F548" s="9" t="s">
        <v>3195</v>
      </c>
      <c r="G548" s="72" t="s">
        <v>2865</v>
      </c>
      <c r="H548" s="45" t="str">
        <f t="shared" si="23"/>
        <v>SI</v>
      </c>
      <c r="I548" s="45">
        <f t="shared" si="25"/>
        <v>5</v>
      </c>
      <c r="J548" s="381">
        <f>AVERAGE(I548:I550)</f>
        <v>5</v>
      </c>
      <c r="K548" s="382"/>
      <c r="L548" s="382"/>
    </row>
    <row r="549" spans="1:12" ht="60" x14ac:dyDescent="0.25">
      <c r="A549" s="245">
        <v>8</v>
      </c>
      <c r="B549" s="245">
        <v>33</v>
      </c>
      <c r="C549" s="243" t="s">
        <v>81</v>
      </c>
      <c r="D549" s="364"/>
      <c r="E549" s="276" t="s">
        <v>687</v>
      </c>
      <c r="F549" s="278" t="s">
        <v>2981</v>
      </c>
      <c r="G549" s="44" t="s">
        <v>2982</v>
      </c>
      <c r="H549" s="45" t="str">
        <f t="shared" si="23"/>
        <v>SI</v>
      </c>
      <c r="I549" s="45">
        <f t="shared" si="25"/>
        <v>5</v>
      </c>
      <c r="J549" s="382"/>
      <c r="K549" s="382"/>
      <c r="L549" s="382"/>
    </row>
    <row r="550" spans="1:12" ht="45" x14ac:dyDescent="0.25">
      <c r="A550" s="245">
        <v>8</v>
      </c>
      <c r="B550" s="245">
        <v>33</v>
      </c>
      <c r="C550" s="244" t="s">
        <v>81</v>
      </c>
      <c r="D550" s="363"/>
      <c r="E550" s="276" t="s">
        <v>688</v>
      </c>
      <c r="F550" s="278" t="s">
        <v>2981</v>
      </c>
      <c r="G550" s="44" t="s">
        <v>2982</v>
      </c>
      <c r="H550" s="45" t="str">
        <f t="shared" si="23"/>
        <v>SI</v>
      </c>
      <c r="I550" s="45">
        <f t="shared" si="25"/>
        <v>5</v>
      </c>
      <c r="J550" s="383"/>
      <c r="K550" s="382"/>
      <c r="L550" s="382"/>
    </row>
    <row r="551" spans="1:12" ht="45" x14ac:dyDescent="0.25">
      <c r="A551" s="245">
        <v>8</v>
      </c>
      <c r="B551" s="245">
        <v>33</v>
      </c>
      <c r="C551" s="52" t="str">
        <f>Final!E212</f>
        <v>e</v>
      </c>
      <c r="D551" s="21" t="str">
        <f>Final!F212</f>
        <v>Formación y experiencia de quienes orientan la administración del programa.</v>
      </c>
      <c r="E551" s="276" t="s">
        <v>689</v>
      </c>
      <c r="F551" s="278" t="s">
        <v>2987</v>
      </c>
      <c r="G551" s="44" t="s">
        <v>2983</v>
      </c>
      <c r="H551" s="45" t="str">
        <f t="shared" si="23"/>
        <v>SI</v>
      </c>
      <c r="I551" s="45">
        <f t="shared" si="25"/>
        <v>5</v>
      </c>
      <c r="J551" s="100">
        <f>AVERAGE(I551)</f>
        <v>5</v>
      </c>
      <c r="K551" s="382"/>
      <c r="L551" s="382"/>
    </row>
    <row r="552" spans="1:12" ht="75" customHeight="1" x14ac:dyDescent="0.25">
      <c r="A552" s="245">
        <v>8</v>
      </c>
      <c r="B552" s="245">
        <v>33</v>
      </c>
      <c r="C552" s="242" t="str">
        <f>Final!E213</f>
        <v>f</v>
      </c>
      <c r="D552" s="318" t="str">
        <f>Final!F213</f>
        <v>Apreciación del personal administrativo del proyecto curricular sobre la claridad de las funciones encomendadas, y sobre la articulación de sus tareas con las necesidades y objetivos del proyecto curricular.</v>
      </c>
      <c r="E552" s="276" t="s">
        <v>64</v>
      </c>
      <c r="F552" s="278" t="s">
        <v>64</v>
      </c>
      <c r="G552" s="72"/>
      <c r="H552" s="45" t="str">
        <f t="shared" si="23"/>
        <v>NA</v>
      </c>
      <c r="I552" s="45" t="str">
        <f t="shared" si="25"/>
        <v>NA</v>
      </c>
      <c r="J552" s="105" t="str">
        <f>IF(EXACT(I552,$N$3),$O$3,IF(EXACT(I552,$N$5),$N$5,$O$4))</f>
        <v>NA</v>
      </c>
      <c r="K552" s="382"/>
      <c r="L552" s="382"/>
    </row>
    <row r="553" spans="1:12" ht="60" x14ac:dyDescent="0.25">
      <c r="A553" s="245">
        <v>8</v>
      </c>
      <c r="B553" s="245">
        <v>33</v>
      </c>
      <c r="C553" s="52" t="str">
        <f>Final!E214</f>
        <v>g</v>
      </c>
      <c r="D553" s="21" t="str">
        <f>Final!F214</f>
        <v>Apreciación de profesores y estudiantes adscritos al proyecto curricular sobre la eficiencia, eficacia y orientación de los procesos administrativos hacia el desarrollo de las funciones misionales.</v>
      </c>
      <c r="E553" s="21" t="s">
        <v>690</v>
      </c>
      <c r="F553" s="285" t="s">
        <v>64</v>
      </c>
      <c r="G553" s="285" t="s">
        <v>64</v>
      </c>
      <c r="H553" s="105" t="str">
        <f>IF((LEN(F553)=$O$4)*OR(LEN(G553)=$O$4),$N$4,IF(EXACT(F553,$N$5),$N$5,$N$3))</f>
        <v>NA</v>
      </c>
      <c r="I553" s="105" t="str">
        <f>IF(EXACT(H553,$N$3),$O$3,IF(EXACT(H553,$N$5),$N$5,$O$4))</f>
        <v>NA</v>
      </c>
      <c r="J553" s="105" t="str">
        <f>IF(EXACT(I553,$N$3),$O$3,IF(EXACT(I553,$N$5),$N$5,$O$4))</f>
        <v>NA</v>
      </c>
      <c r="K553" s="383"/>
      <c r="L553" s="382"/>
    </row>
    <row r="554" spans="1:12" x14ac:dyDescent="0.25">
      <c r="A554" s="245">
        <v>8</v>
      </c>
      <c r="B554" s="245">
        <v>34</v>
      </c>
      <c r="C554" s="242" t="str">
        <f>Final!E215</f>
        <v>a</v>
      </c>
      <c r="D554" s="362" t="str">
        <f>Final!F215</f>
        <v>Existencia y utilización de sistemas de información integrados y mecanismos eficaces que faciliten la comunicación interna y externa el proyecto curricular.</v>
      </c>
      <c r="E554" s="21" t="s">
        <v>691</v>
      </c>
      <c r="F554" s="280"/>
      <c r="G554" s="10"/>
      <c r="H554" s="45" t="str">
        <f t="shared" si="23"/>
        <v>NO</v>
      </c>
      <c r="I554" s="45">
        <f t="shared" si="25"/>
        <v>0</v>
      </c>
      <c r="J554" s="377">
        <f>AVERAGE(I554:I558)</f>
        <v>3</v>
      </c>
      <c r="K554" s="381">
        <f>AVERAGE(J554:J574)</f>
        <v>4.0208333333333339</v>
      </c>
      <c r="L554" s="382"/>
    </row>
    <row r="555" spans="1:12" ht="45" x14ac:dyDescent="0.25">
      <c r="A555" s="245">
        <v>8</v>
      </c>
      <c r="B555" s="245">
        <v>34</v>
      </c>
      <c r="C555" s="243" t="s">
        <v>55</v>
      </c>
      <c r="D555" s="364"/>
      <c r="E555" s="82" t="s">
        <v>692</v>
      </c>
      <c r="F555" s="283" t="s">
        <v>898</v>
      </c>
      <c r="G555" s="72" t="s">
        <v>899</v>
      </c>
      <c r="H555" s="45" t="str">
        <f t="shared" si="23"/>
        <v>SI</v>
      </c>
      <c r="I555" s="45">
        <f t="shared" si="25"/>
        <v>5</v>
      </c>
      <c r="J555" s="378"/>
      <c r="K555" s="382"/>
      <c r="L555" s="382"/>
    </row>
    <row r="556" spans="1:12" ht="30" x14ac:dyDescent="0.25">
      <c r="A556" s="245">
        <v>8</v>
      </c>
      <c r="B556" s="245">
        <v>34</v>
      </c>
      <c r="C556" s="243" t="s">
        <v>55</v>
      </c>
      <c r="D556" s="364"/>
      <c r="E556" s="82" t="s">
        <v>693</v>
      </c>
      <c r="F556" s="9" t="s">
        <v>2999</v>
      </c>
      <c r="G556" s="72" t="s">
        <v>2993</v>
      </c>
      <c r="H556" s="45" t="str">
        <f t="shared" si="23"/>
        <v>SI</v>
      </c>
      <c r="I556" s="45">
        <f t="shared" si="25"/>
        <v>5</v>
      </c>
      <c r="J556" s="378"/>
      <c r="K556" s="382"/>
      <c r="L556" s="382"/>
    </row>
    <row r="557" spans="1:12" ht="30" x14ac:dyDescent="0.25">
      <c r="A557" s="245">
        <v>8</v>
      </c>
      <c r="B557" s="245">
        <v>34</v>
      </c>
      <c r="C557" s="243" t="s">
        <v>55</v>
      </c>
      <c r="D557" s="364"/>
      <c r="E557" s="82" t="s">
        <v>694</v>
      </c>
      <c r="F557" s="9" t="s">
        <v>2999</v>
      </c>
      <c r="G557" s="72" t="s">
        <v>2993</v>
      </c>
      <c r="H557" s="45" t="str">
        <f t="shared" si="23"/>
        <v>SI</v>
      </c>
      <c r="I557" s="45">
        <f t="shared" si="25"/>
        <v>5</v>
      </c>
      <c r="J557" s="378"/>
      <c r="K557" s="382"/>
      <c r="L557" s="382"/>
    </row>
    <row r="558" spans="1:12" ht="30" x14ac:dyDescent="0.25">
      <c r="A558" s="245">
        <v>8</v>
      </c>
      <c r="B558" s="245">
        <v>34</v>
      </c>
      <c r="C558" s="243" t="s">
        <v>55</v>
      </c>
      <c r="D558" s="363"/>
      <c r="E558" s="82" t="s">
        <v>695</v>
      </c>
      <c r="F558" s="280"/>
      <c r="G558" s="72"/>
      <c r="H558" s="45" t="str">
        <f t="shared" si="23"/>
        <v>NO</v>
      </c>
      <c r="I558" s="45">
        <f t="shared" si="25"/>
        <v>0</v>
      </c>
      <c r="J558" s="379"/>
      <c r="K558" s="382"/>
      <c r="L558" s="382"/>
    </row>
    <row r="559" spans="1:12" ht="30" x14ac:dyDescent="0.25">
      <c r="A559" s="245">
        <v>8</v>
      </c>
      <c r="B559" s="245">
        <v>34</v>
      </c>
      <c r="C559" s="242" t="str">
        <f>Final!E216</f>
        <v>b</v>
      </c>
      <c r="D559" s="362" t="str">
        <f>Final!F216</f>
        <v>Existencia y efectividad de la página web institucional debidamente actualizada para mantener informados a los usuarios sobre los temas de interés institucional y facilitar la comunicación académica y administrativa.</v>
      </c>
      <c r="E559" s="21" t="s">
        <v>2988</v>
      </c>
      <c r="F559" s="280"/>
      <c r="G559" s="72"/>
      <c r="H559" s="45" t="str">
        <f t="shared" si="23"/>
        <v>NO</v>
      </c>
      <c r="I559" s="45">
        <f t="shared" si="25"/>
        <v>0</v>
      </c>
      <c r="J559" s="381">
        <f>AVERAGE(I559:I564)</f>
        <v>1.6666666666666667</v>
      </c>
      <c r="K559" s="382"/>
      <c r="L559" s="382"/>
    </row>
    <row r="560" spans="1:12" ht="30" x14ac:dyDescent="0.25">
      <c r="A560" s="245">
        <v>8</v>
      </c>
      <c r="B560" s="245">
        <v>34</v>
      </c>
      <c r="C560" s="243" t="s">
        <v>56</v>
      </c>
      <c r="D560" s="364"/>
      <c r="E560" s="82" t="s">
        <v>2989</v>
      </c>
      <c r="F560" s="280"/>
      <c r="G560" s="72"/>
      <c r="H560" s="45" t="str">
        <f t="shared" si="23"/>
        <v>NO</v>
      </c>
      <c r="I560" s="45">
        <f t="shared" si="25"/>
        <v>0</v>
      </c>
      <c r="J560" s="382"/>
      <c r="K560" s="382"/>
      <c r="L560" s="382"/>
    </row>
    <row r="561" spans="1:12" ht="30" x14ac:dyDescent="0.25">
      <c r="A561" s="245">
        <v>8</v>
      </c>
      <c r="B561" s="245">
        <v>34</v>
      </c>
      <c r="C561" s="243" t="s">
        <v>56</v>
      </c>
      <c r="D561" s="364"/>
      <c r="E561" s="82" t="s">
        <v>696</v>
      </c>
      <c r="F561" s="278" t="s">
        <v>3000</v>
      </c>
      <c r="G561" s="72" t="s">
        <v>2994</v>
      </c>
      <c r="H561" s="45" t="str">
        <f t="shared" si="23"/>
        <v>SI</v>
      </c>
      <c r="I561" s="45">
        <f t="shared" si="25"/>
        <v>5</v>
      </c>
      <c r="J561" s="382"/>
      <c r="K561" s="382"/>
      <c r="L561" s="382"/>
    </row>
    <row r="562" spans="1:12" ht="30" x14ac:dyDescent="0.25">
      <c r="A562" s="245">
        <v>8</v>
      </c>
      <c r="B562" s="245">
        <v>34</v>
      </c>
      <c r="C562" s="243" t="s">
        <v>56</v>
      </c>
      <c r="D562" s="364"/>
      <c r="E562" s="82" t="s">
        <v>697</v>
      </c>
      <c r="F562" s="278" t="s">
        <v>3000</v>
      </c>
      <c r="G562" s="72" t="s">
        <v>2994</v>
      </c>
      <c r="H562" s="45" t="str">
        <f t="shared" si="23"/>
        <v>SI</v>
      </c>
      <c r="I562" s="45">
        <f t="shared" si="25"/>
        <v>5</v>
      </c>
      <c r="J562" s="382"/>
      <c r="K562" s="382"/>
      <c r="L562" s="382"/>
    </row>
    <row r="563" spans="1:12" ht="45" x14ac:dyDescent="0.25">
      <c r="A563" s="245">
        <v>8</v>
      </c>
      <c r="B563" s="245">
        <v>34</v>
      </c>
      <c r="C563" s="243" t="s">
        <v>56</v>
      </c>
      <c r="D563" s="364"/>
      <c r="E563" s="82" t="s">
        <v>698</v>
      </c>
      <c r="F563" s="280"/>
      <c r="G563" s="72"/>
      <c r="H563" s="45" t="str">
        <f t="shared" si="23"/>
        <v>NO</v>
      </c>
      <c r="I563" s="45">
        <f t="shared" si="25"/>
        <v>0</v>
      </c>
      <c r="J563" s="382"/>
      <c r="K563" s="382"/>
      <c r="L563" s="382"/>
    </row>
    <row r="564" spans="1:12" ht="45" x14ac:dyDescent="0.25">
      <c r="A564" s="245">
        <v>8</v>
      </c>
      <c r="B564" s="245">
        <v>34</v>
      </c>
      <c r="C564" s="243" t="s">
        <v>56</v>
      </c>
      <c r="D564" s="363"/>
      <c r="E564" s="82" t="s">
        <v>699</v>
      </c>
      <c r="F564" s="280"/>
      <c r="G564" s="72"/>
      <c r="H564" s="45" t="str">
        <f t="shared" si="23"/>
        <v>NO</v>
      </c>
      <c r="I564" s="45">
        <f t="shared" si="25"/>
        <v>0</v>
      </c>
      <c r="J564" s="383"/>
      <c r="K564" s="382"/>
      <c r="L564" s="382"/>
    </row>
    <row r="565" spans="1:12" ht="45" x14ac:dyDescent="0.25">
      <c r="A565" s="245">
        <v>8</v>
      </c>
      <c r="B565" s="245">
        <v>34</v>
      </c>
      <c r="C565" s="242" t="str">
        <f>Final!E217</f>
        <v>c</v>
      </c>
      <c r="D565" s="362" t="str">
        <f>Final!F217</f>
        <v>La página web institucional incluye información detallada y actualizada sobre el currículo y los profesores adscritos al proyecto curricular, incluyendo su formación y trayectoria.</v>
      </c>
      <c r="E565" s="21" t="s">
        <v>700</v>
      </c>
      <c r="F565" s="278" t="s">
        <v>3001</v>
      </c>
      <c r="G565" s="72" t="s">
        <v>2995</v>
      </c>
      <c r="H565" s="45" t="str">
        <f t="shared" si="23"/>
        <v>SI</v>
      </c>
      <c r="I565" s="45">
        <f t="shared" si="25"/>
        <v>5</v>
      </c>
      <c r="J565" s="377">
        <f>AVERAGE(I565:I566)</f>
        <v>5</v>
      </c>
      <c r="K565" s="382"/>
      <c r="L565" s="382"/>
    </row>
    <row r="566" spans="1:12" ht="60" x14ac:dyDescent="0.25">
      <c r="A566" s="245">
        <v>8</v>
      </c>
      <c r="B566" s="245">
        <v>34</v>
      </c>
      <c r="C566" s="244" t="s">
        <v>80</v>
      </c>
      <c r="D566" s="363"/>
      <c r="E566" s="82" t="s">
        <v>701</v>
      </c>
      <c r="F566" s="278" t="s">
        <v>3001</v>
      </c>
      <c r="G566" s="72" t="s">
        <v>2996</v>
      </c>
      <c r="H566" s="45" t="str">
        <f t="shared" si="23"/>
        <v>SI</v>
      </c>
      <c r="I566" s="45">
        <f t="shared" si="25"/>
        <v>5</v>
      </c>
      <c r="J566" s="379"/>
      <c r="K566" s="382"/>
      <c r="L566" s="382"/>
    </row>
    <row r="567" spans="1:12" ht="60" x14ac:dyDescent="0.25">
      <c r="A567" s="245">
        <v>8</v>
      </c>
      <c r="B567" s="245">
        <v>34</v>
      </c>
      <c r="C567" s="52" t="str">
        <f>Final!E218</f>
        <v>d</v>
      </c>
      <c r="D567" s="21" t="str">
        <f>Final!F218</f>
        <v>Sistemas de consulta, registro y archivo de la información académica de los estudiantes y los profesores adscritos al proyecto curricular.</v>
      </c>
      <c r="E567" s="21" t="s">
        <v>702</v>
      </c>
      <c r="F567" s="278" t="s">
        <v>3004</v>
      </c>
      <c r="G567" s="72" t="s">
        <v>3003</v>
      </c>
      <c r="H567" s="45" t="str">
        <f t="shared" si="23"/>
        <v>SI</v>
      </c>
      <c r="I567" s="45">
        <f t="shared" si="25"/>
        <v>5</v>
      </c>
      <c r="J567" s="100">
        <f>AVERAGE(I567)</f>
        <v>5</v>
      </c>
      <c r="K567" s="382"/>
      <c r="L567" s="382"/>
    </row>
    <row r="568" spans="1:12" ht="80.25" customHeight="1" x14ac:dyDescent="0.25">
      <c r="A568" s="245">
        <v>8</v>
      </c>
      <c r="B568" s="245">
        <v>34</v>
      </c>
      <c r="C568" s="242" t="str">
        <f>Final!E219</f>
        <v>e</v>
      </c>
      <c r="D568" s="362" t="str">
        <f>Final!F219</f>
        <v>Mecanismos de gestión documental, organización, actualización y seguridad de los registros y archivos académicos de estudiantes, profesores, personal directivo y administrativo.</v>
      </c>
      <c r="E568" s="21" t="s">
        <v>2990</v>
      </c>
      <c r="F568" s="278" t="s">
        <v>2992</v>
      </c>
      <c r="G568" s="72" t="s">
        <v>2991</v>
      </c>
      <c r="H568" s="45" t="str">
        <f t="shared" si="23"/>
        <v>SI</v>
      </c>
      <c r="I568" s="45">
        <f t="shared" si="25"/>
        <v>5</v>
      </c>
      <c r="J568" s="377">
        <f>AVERAGE(I568:I569)</f>
        <v>2.5</v>
      </c>
      <c r="K568" s="382"/>
      <c r="L568" s="382"/>
    </row>
    <row r="569" spans="1:12" ht="30" x14ac:dyDescent="0.25">
      <c r="A569" s="245">
        <v>8</v>
      </c>
      <c r="B569" s="245">
        <v>34</v>
      </c>
      <c r="C569" s="244" t="s">
        <v>87</v>
      </c>
      <c r="D569" s="363"/>
      <c r="E569" s="82" t="s">
        <v>703</v>
      </c>
      <c r="F569" s="278"/>
      <c r="G569" s="10"/>
      <c r="H569" s="45" t="str">
        <f t="shared" si="23"/>
        <v>NO</v>
      </c>
      <c r="I569" s="45">
        <f t="shared" si="25"/>
        <v>0</v>
      </c>
      <c r="J569" s="379"/>
      <c r="K569" s="382"/>
      <c r="L569" s="382"/>
    </row>
    <row r="570" spans="1:12" ht="75" x14ac:dyDescent="0.25">
      <c r="A570" s="245">
        <v>8</v>
      </c>
      <c r="B570" s="245">
        <v>34</v>
      </c>
      <c r="C570" s="52" t="str">
        <f>Final!E220</f>
        <v>f</v>
      </c>
      <c r="D570" s="21" t="str">
        <f>Final!F220</f>
        <v>Apreciación de directivos, profesores, estudiantes y personal administrativo sobre la eficacia de los sistemas de información académica y de los mecanismos de comunicación del proyecto curricular.</v>
      </c>
      <c r="E570" s="21" t="s">
        <v>704</v>
      </c>
      <c r="F570" s="285" t="s">
        <v>64</v>
      </c>
      <c r="G570" s="285" t="s">
        <v>64</v>
      </c>
      <c r="H570" s="45" t="str">
        <f t="shared" si="23"/>
        <v>NA</v>
      </c>
      <c r="I570" s="45" t="str">
        <f t="shared" si="25"/>
        <v>NA</v>
      </c>
      <c r="J570" s="105" t="str">
        <f t="shared" si="25"/>
        <v>NA</v>
      </c>
      <c r="K570" s="382"/>
      <c r="L570" s="382"/>
    </row>
    <row r="571" spans="1:12" ht="60" x14ac:dyDescent="0.25">
      <c r="A571" s="245">
        <v>8</v>
      </c>
      <c r="B571" s="245">
        <v>34</v>
      </c>
      <c r="C571" s="52" t="str">
        <f>Final!E221</f>
        <v>g</v>
      </c>
      <c r="D571" s="21" t="str">
        <f>Final!F221</f>
        <v>Profesores, administrativos y estudiantes que confirman el acceso con calidad a los sistemas de comunicación e información mediados por las TIC.</v>
      </c>
      <c r="E571" s="21" t="s">
        <v>705</v>
      </c>
      <c r="F571" s="278" t="s">
        <v>3002</v>
      </c>
      <c r="G571" s="72" t="s">
        <v>2997</v>
      </c>
      <c r="H571" s="45" t="str">
        <f t="shared" si="23"/>
        <v>SI</v>
      </c>
      <c r="I571" s="45">
        <f t="shared" si="25"/>
        <v>5</v>
      </c>
      <c r="J571" s="100">
        <f>AVERAGE(I571)</f>
        <v>5</v>
      </c>
      <c r="K571" s="382"/>
      <c r="L571" s="382"/>
    </row>
    <row r="572" spans="1:12" ht="60" x14ac:dyDescent="0.25">
      <c r="A572" s="245">
        <v>8</v>
      </c>
      <c r="B572" s="245">
        <v>34</v>
      </c>
      <c r="C572" s="52" t="str">
        <f>Final!E222</f>
        <v>h</v>
      </c>
      <c r="D572" s="21" t="str">
        <f>Final!F222</f>
        <v>Existencia de estrategias que garanticen la conectividad a los miembros de la comunidad académica del proyecto curricular, de acuerdo con la modalidad en que éste es ofrecido.</v>
      </c>
      <c r="E572" s="21" t="s">
        <v>706</v>
      </c>
      <c r="F572" s="278" t="s">
        <v>3002</v>
      </c>
      <c r="G572" s="72" t="s">
        <v>2997</v>
      </c>
      <c r="H572" s="45" t="str">
        <f t="shared" si="23"/>
        <v>SI</v>
      </c>
      <c r="I572" s="45">
        <f t="shared" si="25"/>
        <v>5</v>
      </c>
      <c r="J572" s="100">
        <f>AVERAGE(I572)</f>
        <v>5</v>
      </c>
      <c r="K572" s="382"/>
      <c r="L572" s="382"/>
    </row>
    <row r="573" spans="1:12" ht="45" x14ac:dyDescent="0.25">
      <c r="A573" s="245">
        <v>8</v>
      </c>
      <c r="B573" s="245">
        <v>34</v>
      </c>
      <c r="C573" s="239" t="str">
        <f>Final!E223</f>
        <v>i</v>
      </c>
      <c r="D573" s="362" t="str">
        <f>Final!F223</f>
        <v>Mecanismos de comunicación para facilitar que la población estudiantil en toda su diversidad tenga acceso a la información.</v>
      </c>
      <c r="E573" s="21" t="s">
        <v>707</v>
      </c>
      <c r="F573" s="278" t="s">
        <v>3002</v>
      </c>
      <c r="G573" s="44" t="s">
        <v>2998</v>
      </c>
      <c r="H573" s="45" t="str">
        <f t="shared" si="23"/>
        <v>SI</v>
      </c>
      <c r="I573" s="45">
        <f t="shared" si="25"/>
        <v>5</v>
      </c>
      <c r="J573" s="377">
        <f>AVERAGE(I573:I574)</f>
        <v>5</v>
      </c>
      <c r="K573" s="382"/>
      <c r="L573" s="382"/>
    </row>
    <row r="574" spans="1:12" ht="120" x14ac:dyDescent="0.25">
      <c r="A574" s="245">
        <v>8</v>
      </c>
      <c r="B574" s="245">
        <v>34</v>
      </c>
      <c r="C574" s="240" t="s">
        <v>106</v>
      </c>
      <c r="D574" s="363"/>
      <c r="E574" s="82" t="s">
        <v>708</v>
      </c>
      <c r="F574" s="278" t="s">
        <v>3002</v>
      </c>
      <c r="G574" s="44" t="s">
        <v>2998</v>
      </c>
      <c r="H574" s="45" t="str">
        <f t="shared" si="23"/>
        <v>SI</v>
      </c>
      <c r="I574" s="45">
        <f t="shared" si="25"/>
        <v>5</v>
      </c>
      <c r="J574" s="379"/>
      <c r="K574" s="383"/>
      <c r="L574" s="382"/>
    </row>
    <row r="575" spans="1:12" ht="60" x14ac:dyDescent="0.25">
      <c r="A575" s="245">
        <v>8</v>
      </c>
      <c r="B575" s="245">
        <v>35</v>
      </c>
      <c r="C575" s="52" t="str">
        <f>Final!E224</f>
        <v>a</v>
      </c>
      <c r="D575" s="21" t="str">
        <f>Final!F224</f>
        <v>Apreciación de profesores y estudiantes adscritos al proyecto curricular sobre la orientación académica que imparten los directivos del mismo y sobre el liderazgo que ejercen.</v>
      </c>
      <c r="E575" s="21" t="s">
        <v>704</v>
      </c>
      <c r="F575" s="291" t="s">
        <v>64</v>
      </c>
      <c r="G575" s="291" t="s">
        <v>64</v>
      </c>
      <c r="H575" s="45" t="str">
        <f t="shared" si="23"/>
        <v>NA</v>
      </c>
      <c r="I575" s="45" t="str">
        <f t="shared" si="25"/>
        <v>NA</v>
      </c>
      <c r="J575" s="105" t="str">
        <f t="shared" si="25"/>
        <v>NA</v>
      </c>
      <c r="K575" s="381">
        <f>AVERAGE(J575:J580)</f>
        <v>5</v>
      </c>
      <c r="L575" s="382"/>
    </row>
    <row r="576" spans="1:12" ht="27.75" customHeight="1" x14ac:dyDescent="0.25">
      <c r="A576" s="245">
        <v>8</v>
      </c>
      <c r="B576" s="245">
        <v>35</v>
      </c>
      <c r="C576" s="242" t="str">
        <f>Final!E225</f>
        <v>b</v>
      </c>
      <c r="D576" s="362" t="str">
        <f>Final!F225</f>
        <v>Lineamientos y políticas que orientan la gestión del proyecto curricular, debidamente divulgados y apropiados por los directivos, profesores y personal administrativo del mismo.</v>
      </c>
      <c r="E576" s="276" t="s">
        <v>709</v>
      </c>
      <c r="F576" s="283" t="s">
        <v>2889</v>
      </c>
      <c r="G576" s="72" t="s">
        <v>2863</v>
      </c>
      <c r="H576" s="45" t="str">
        <f t="shared" si="23"/>
        <v>SI</v>
      </c>
      <c r="I576" s="45">
        <f t="shared" si="25"/>
        <v>5</v>
      </c>
      <c r="J576" s="377">
        <f>AVERAGE(I576:I577)</f>
        <v>5</v>
      </c>
      <c r="K576" s="382"/>
      <c r="L576" s="382"/>
    </row>
    <row r="577" spans="1:12" ht="33" customHeight="1" x14ac:dyDescent="0.25">
      <c r="A577" s="245">
        <v>8</v>
      </c>
      <c r="B577" s="245">
        <v>35</v>
      </c>
      <c r="C577" s="244" t="s">
        <v>56</v>
      </c>
      <c r="D577" s="363"/>
      <c r="E577" s="276" t="s">
        <v>74</v>
      </c>
      <c r="F577" s="278" t="s">
        <v>2866</v>
      </c>
      <c r="G577" s="72" t="s">
        <v>2865</v>
      </c>
      <c r="H577" s="45" t="str">
        <f t="shared" si="23"/>
        <v>SI</v>
      </c>
      <c r="I577" s="45">
        <f t="shared" si="25"/>
        <v>5</v>
      </c>
      <c r="J577" s="379"/>
      <c r="K577" s="382"/>
      <c r="L577" s="382"/>
    </row>
    <row r="578" spans="1:12" ht="39" customHeight="1" x14ac:dyDescent="0.25">
      <c r="A578" s="245">
        <v>8</v>
      </c>
      <c r="B578" s="245">
        <v>35</v>
      </c>
      <c r="C578" s="242" t="str">
        <f>Final!E226</f>
        <v>c</v>
      </c>
      <c r="D578" s="362" t="str">
        <f>Final!F226</f>
        <v>Documentos institucionales que establecen la forma de operación (procesos y procedimientos) de las distintas instancias relacionadas con la gestión del proyecto curricular.</v>
      </c>
      <c r="E578" s="21" t="s">
        <v>710</v>
      </c>
      <c r="F578" s="319" t="s">
        <v>3199</v>
      </c>
      <c r="G578" s="220" t="s">
        <v>3198</v>
      </c>
      <c r="H578" s="45" t="str">
        <f t="shared" si="23"/>
        <v>SI</v>
      </c>
      <c r="I578" s="45">
        <f>IF(EXACT(H578,$N$3),$O$3,IF(EXACT(H578,$N$5),$N$5,$O$4))</f>
        <v>5</v>
      </c>
      <c r="J578" s="377">
        <f>AVERAGE(I578:I579)</f>
        <v>5</v>
      </c>
      <c r="K578" s="382"/>
      <c r="L578" s="382"/>
    </row>
    <row r="579" spans="1:12" ht="30" x14ac:dyDescent="0.25">
      <c r="A579" s="245">
        <v>8</v>
      </c>
      <c r="B579" s="245">
        <v>35</v>
      </c>
      <c r="C579" s="244" t="s">
        <v>80</v>
      </c>
      <c r="D579" s="363"/>
      <c r="E579" s="82" t="s">
        <v>711</v>
      </c>
      <c r="F579" s="319" t="s">
        <v>3199</v>
      </c>
      <c r="G579" s="220" t="s">
        <v>3198</v>
      </c>
      <c r="H579" s="45" t="str">
        <f t="shared" si="23"/>
        <v>SI</v>
      </c>
      <c r="I579" s="45">
        <f>IF(EXACT(H579,$N$3),$O$3,IF(EXACT(H579,$N$5),$N$5,$O$4))</f>
        <v>5</v>
      </c>
      <c r="J579" s="379"/>
      <c r="K579" s="382"/>
      <c r="L579" s="382"/>
    </row>
    <row r="580" spans="1:12" ht="75" x14ac:dyDescent="0.25">
      <c r="A580" s="245">
        <v>8</v>
      </c>
      <c r="B580" s="245">
        <v>35</v>
      </c>
      <c r="C580" s="52" t="str">
        <f>Final!E227</f>
        <v>d</v>
      </c>
      <c r="D580" s="21" t="str">
        <f>Final!F227</f>
        <v>Mecanismos eficientes de participación de la comunidad académica en la gestión del proyecto curricular.</v>
      </c>
      <c r="E580" s="21" t="s">
        <v>712</v>
      </c>
      <c r="F580" s="319" t="s">
        <v>3196</v>
      </c>
      <c r="G580" s="220" t="s">
        <v>3197</v>
      </c>
      <c r="H580" s="45" t="str">
        <f t="shared" ref="H580:H645" si="26">IF((LEN(F580)=$O$4)*OR(LEN(G580)=$O$4),$N$4,IF(EXACT(F580,$N$5),$N$5,$N$3))</f>
        <v>SI</v>
      </c>
      <c r="I580" s="45">
        <f t="shared" ref="I580:I645" si="27">IF(EXACT(H580,$N$3),$O$3,IF(EXACT(H580,$N$5),$N$5,$O$4))</f>
        <v>5</v>
      </c>
      <c r="J580" s="100">
        <f>AVERAGE(I580)</f>
        <v>5</v>
      </c>
      <c r="K580" s="383"/>
      <c r="L580" s="383"/>
    </row>
    <row r="581" spans="1:12" ht="45" x14ac:dyDescent="0.25">
      <c r="A581" s="245">
        <v>9</v>
      </c>
      <c r="B581" s="245">
        <v>36</v>
      </c>
      <c r="C581" s="52" t="str">
        <f>Final!E228</f>
        <v>a</v>
      </c>
      <c r="D581" s="21" t="str">
        <f>Final!F228</f>
        <v>Existencia de registros actualizados sobre ocupación y ubicación profesional de los egresados del proyecto curricular.</v>
      </c>
      <c r="E581" s="21" t="s">
        <v>2953</v>
      </c>
      <c r="F581" s="283"/>
      <c r="G581" s="72"/>
      <c r="H581" s="45" t="str">
        <f t="shared" si="26"/>
        <v>NO</v>
      </c>
      <c r="I581" s="45">
        <f t="shared" si="27"/>
        <v>0</v>
      </c>
      <c r="J581" s="100">
        <f>I581</f>
        <v>0</v>
      </c>
      <c r="K581" s="377">
        <f>AVERAGE(J581:J600)</f>
        <v>4.0625</v>
      </c>
      <c r="L581" s="377">
        <f>(K581*Ponderación!D37)+(K601*Ponderación!D38)</f>
        <v>3.8531250000000004</v>
      </c>
    </row>
    <row r="582" spans="1:12" ht="30" x14ac:dyDescent="0.25">
      <c r="A582" s="245">
        <v>9</v>
      </c>
      <c r="B582" s="245">
        <v>36</v>
      </c>
      <c r="C582" s="9" t="str">
        <f>Final!E229</f>
        <v>b</v>
      </c>
      <c r="D582" s="362" t="str">
        <f>Final!F229</f>
        <v>Correspondencia entre la ocupación y ubicación profesional de los egresados y el perfil de formación del proyecto curricular.</v>
      </c>
      <c r="E582" s="21" t="s">
        <v>714</v>
      </c>
      <c r="F582" s="266" t="s">
        <v>2954</v>
      </c>
      <c r="G582" s="72" t="s">
        <v>2865</v>
      </c>
      <c r="H582" s="45" t="str">
        <f t="shared" si="26"/>
        <v>SI</v>
      </c>
      <c r="I582" s="45">
        <f t="shared" si="27"/>
        <v>5</v>
      </c>
      <c r="J582" s="377">
        <f>AVERAGE(I582:I583)</f>
        <v>5</v>
      </c>
      <c r="K582" s="378"/>
      <c r="L582" s="378"/>
    </row>
    <row r="583" spans="1:12" ht="30" x14ac:dyDescent="0.25">
      <c r="A583" s="245">
        <v>9</v>
      </c>
      <c r="B583" s="245">
        <v>36</v>
      </c>
      <c r="C583" s="9" t="s">
        <v>56</v>
      </c>
      <c r="D583" s="363"/>
      <c r="E583" s="82" t="s">
        <v>715</v>
      </c>
      <c r="F583" s="266" t="s">
        <v>2955</v>
      </c>
      <c r="G583" s="72" t="s">
        <v>2865</v>
      </c>
      <c r="H583" s="45" t="str">
        <f t="shared" si="26"/>
        <v>SI</v>
      </c>
      <c r="I583" s="45">
        <f t="shared" si="27"/>
        <v>5</v>
      </c>
      <c r="J583" s="379"/>
      <c r="K583" s="378"/>
      <c r="L583" s="378"/>
    </row>
    <row r="584" spans="1:12" x14ac:dyDescent="0.25">
      <c r="A584" s="245">
        <v>9</v>
      </c>
      <c r="B584" s="245">
        <v>36</v>
      </c>
      <c r="C584" s="9" t="str">
        <f>Final!E230</f>
        <v>c</v>
      </c>
      <c r="D584" s="362" t="str">
        <f>Final!F230</f>
        <v>Apreciación de los egresados, empleadores y usuarios externos sobre la calidad de la formación dada por el proyecto curricular.</v>
      </c>
      <c r="E584" s="21" t="s">
        <v>2957</v>
      </c>
      <c r="F584" s="267" t="s">
        <v>2959</v>
      </c>
      <c r="G584" s="268" t="s">
        <v>2956</v>
      </c>
      <c r="H584" s="45" t="str">
        <f t="shared" si="26"/>
        <v>SI</v>
      </c>
      <c r="I584" s="45">
        <f t="shared" si="27"/>
        <v>5</v>
      </c>
      <c r="J584" s="377">
        <f>AVERAGE(I584:I586)</f>
        <v>5</v>
      </c>
      <c r="K584" s="378"/>
      <c r="L584" s="378"/>
    </row>
    <row r="585" spans="1:12" x14ac:dyDescent="0.25">
      <c r="A585" s="245"/>
      <c r="B585" s="245"/>
      <c r="C585" s="9"/>
      <c r="D585" s="364"/>
      <c r="E585" s="267" t="s">
        <v>2958</v>
      </c>
      <c r="F585" s="105" t="s">
        <v>64</v>
      </c>
      <c r="G585" s="268"/>
      <c r="H585" s="105"/>
      <c r="I585" s="105"/>
      <c r="J585" s="378"/>
      <c r="K585" s="378"/>
      <c r="L585" s="378"/>
    </row>
    <row r="586" spans="1:12" ht="45" x14ac:dyDescent="0.25">
      <c r="A586" s="245">
        <v>9</v>
      </c>
      <c r="B586" s="245">
        <v>36</v>
      </c>
      <c r="C586" s="9" t="s">
        <v>80</v>
      </c>
      <c r="D586" s="363"/>
      <c r="E586" s="82" t="s">
        <v>716</v>
      </c>
      <c r="F586" s="283" t="s">
        <v>3057</v>
      </c>
      <c r="G586" s="72" t="s">
        <v>3058</v>
      </c>
      <c r="H586" s="45" t="str">
        <f t="shared" si="26"/>
        <v>SI</v>
      </c>
      <c r="I586" s="45">
        <f t="shared" si="27"/>
        <v>5</v>
      </c>
      <c r="J586" s="379"/>
      <c r="K586" s="378"/>
      <c r="L586" s="378"/>
    </row>
    <row r="587" spans="1:12" x14ac:dyDescent="0.25">
      <c r="A587" s="245">
        <v>9</v>
      </c>
      <c r="B587" s="245">
        <v>36</v>
      </c>
      <c r="C587" s="9" t="str">
        <f>Final!E231</f>
        <v>d</v>
      </c>
      <c r="D587" s="362" t="str">
        <f>Final!F231</f>
        <v>Apreciación de los egresados acerca de la forma como el proyecto curricular favorece el desarrollo del proyecto de vida.</v>
      </c>
      <c r="E587" s="21" t="s">
        <v>704</v>
      </c>
      <c r="F587" s="283"/>
      <c r="G587" s="72"/>
      <c r="H587" s="45" t="str">
        <f t="shared" si="26"/>
        <v>NO</v>
      </c>
      <c r="I587" s="45">
        <f t="shared" si="27"/>
        <v>0</v>
      </c>
      <c r="J587" s="377">
        <f>AVERAGE(I587:I589)</f>
        <v>2.5</v>
      </c>
      <c r="K587" s="378"/>
      <c r="L587" s="378"/>
    </row>
    <row r="588" spans="1:12" ht="30" x14ac:dyDescent="0.25">
      <c r="A588" s="245">
        <v>9</v>
      </c>
      <c r="B588" s="245">
        <v>36</v>
      </c>
      <c r="C588" s="9" t="s">
        <v>81</v>
      </c>
      <c r="D588" s="364"/>
      <c r="E588" s="82" t="s">
        <v>717</v>
      </c>
      <c r="F588" s="283" t="s">
        <v>3059</v>
      </c>
      <c r="G588" s="72" t="s">
        <v>3056</v>
      </c>
      <c r="H588" s="45" t="str">
        <f t="shared" si="26"/>
        <v>SI</v>
      </c>
      <c r="I588" s="45">
        <f t="shared" si="27"/>
        <v>5</v>
      </c>
      <c r="J588" s="378"/>
      <c r="K588" s="378"/>
      <c r="L588" s="378"/>
    </row>
    <row r="589" spans="1:12" ht="30" x14ac:dyDescent="0.25">
      <c r="A589" s="245">
        <v>9</v>
      </c>
      <c r="B589" s="245">
        <v>36</v>
      </c>
      <c r="C589" s="9" t="s">
        <v>81</v>
      </c>
      <c r="D589" s="363"/>
      <c r="E589" s="82" t="s">
        <v>718</v>
      </c>
      <c r="F589" s="10" t="s">
        <v>64</v>
      </c>
      <c r="G589" s="10"/>
      <c r="H589" s="45" t="str">
        <f t="shared" si="26"/>
        <v>NA</v>
      </c>
      <c r="I589" s="45" t="str">
        <f t="shared" si="27"/>
        <v>NA</v>
      </c>
      <c r="J589" s="379"/>
      <c r="K589" s="378"/>
      <c r="L589" s="378"/>
    </row>
    <row r="590" spans="1:12" ht="45" x14ac:dyDescent="0.25">
      <c r="A590" s="245">
        <v>9</v>
      </c>
      <c r="B590" s="245">
        <v>36</v>
      </c>
      <c r="C590" s="9" t="str">
        <f>Final!E232</f>
        <v>e</v>
      </c>
      <c r="D590" s="362" t="str">
        <f>Final!F232</f>
        <v>Utilización de la información contenida en el Observatorio Laboral para la Educación, como insumo para estudiar la pertinencia del proyecto curricular.</v>
      </c>
      <c r="E590" s="21" t="s">
        <v>719</v>
      </c>
      <c r="F590" s="283" t="s">
        <v>2870</v>
      </c>
      <c r="G590" s="72" t="s">
        <v>2892</v>
      </c>
      <c r="H590" s="45" t="str">
        <f t="shared" si="26"/>
        <v>SI</v>
      </c>
      <c r="I590" s="45">
        <f t="shared" si="27"/>
        <v>5</v>
      </c>
      <c r="J590" s="377">
        <f>AVERAGE(I590:I592)</f>
        <v>5</v>
      </c>
      <c r="K590" s="378"/>
      <c r="L590" s="378"/>
    </row>
    <row r="591" spans="1:12" ht="60" x14ac:dyDescent="0.25">
      <c r="A591" s="245">
        <v>9</v>
      </c>
      <c r="B591" s="245">
        <v>36</v>
      </c>
      <c r="C591" s="9" t="s">
        <v>87</v>
      </c>
      <c r="D591" s="364"/>
      <c r="E591" s="82" t="s">
        <v>720</v>
      </c>
      <c r="F591" s="283" t="s">
        <v>3060</v>
      </c>
      <c r="G591" s="293" t="s">
        <v>3061</v>
      </c>
      <c r="H591" s="45" t="str">
        <f t="shared" si="26"/>
        <v>SI</v>
      </c>
      <c r="I591" s="45">
        <f t="shared" si="27"/>
        <v>5</v>
      </c>
      <c r="J591" s="378"/>
      <c r="K591" s="378"/>
      <c r="L591" s="378"/>
    </row>
    <row r="592" spans="1:12" ht="30" x14ac:dyDescent="0.25">
      <c r="A592" s="245">
        <v>9</v>
      </c>
      <c r="B592" s="245">
        <v>36</v>
      </c>
      <c r="C592" s="9" t="s">
        <v>87</v>
      </c>
      <c r="D592" s="363"/>
      <c r="E592" s="82" t="s">
        <v>721</v>
      </c>
      <c r="F592" s="292" t="s">
        <v>3057</v>
      </c>
      <c r="G592" s="74" t="s">
        <v>3058</v>
      </c>
      <c r="H592" s="45" t="str">
        <f t="shared" si="26"/>
        <v>SI</v>
      </c>
      <c r="I592" s="45">
        <f t="shared" si="27"/>
        <v>5</v>
      </c>
      <c r="J592" s="379"/>
      <c r="K592" s="378"/>
      <c r="L592" s="378"/>
    </row>
    <row r="593" spans="1:12" x14ac:dyDescent="0.25">
      <c r="A593" s="245">
        <v>9</v>
      </c>
      <c r="B593" s="245">
        <v>36</v>
      </c>
      <c r="C593" s="242" t="str">
        <f>Final!E233</f>
        <v>f</v>
      </c>
      <c r="D593" s="362" t="str">
        <f>Final!F233</f>
        <v>Evidencia de los procesos de análisis de la situación de los egresados.</v>
      </c>
      <c r="E593" s="362" t="s">
        <v>722</v>
      </c>
      <c r="F593" s="283" t="s">
        <v>901</v>
      </c>
      <c r="G593" s="74" t="s">
        <v>900</v>
      </c>
      <c r="H593" s="45" t="str">
        <f t="shared" si="26"/>
        <v>SI</v>
      </c>
      <c r="I593" s="45">
        <f t="shared" si="27"/>
        <v>5</v>
      </c>
      <c r="J593" s="377">
        <f>AVERAGE(I593:I596)</f>
        <v>5</v>
      </c>
      <c r="K593" s="378"/>
      <c r="L593" s="378"/>
    </row>
    <row r="594" spans="1:12" x14ac:dyDescent="0.25">
      <c r="A594" s="245">
        <v>9</v>
      </c>
      <c r="B594" s="245">
        <v>36</v>
      </c>
      <c r="C594" s="243" t="s">
        <v>88</v>
      </c>
      <c r="D594" s="364"/>
      <c r="E594" s="363"/>
      <c r="F594" s="283" t="s">
        <v>24</v>
      </c>
      <c r="G594" s="74" t="s">
        <v>902</v>
      </c>
      <c r="H594" s="45" t="str">
        <f>IF((LEN(F594)=$O$4)*OR(LEN(G594)=$O$4),$N$4,IF(EXACT(F594,$N$5),$N$5,$N$3))</f>
        <v>SI</v>
      </c>
      <c r="I594" s="45">
        <f>IF(EXACT(H594,$N$3),$O$3,IF(EXACT(H594,$N$5),$N$5,$O$4))</f>
        <v>5</v>
      </c>
      <c r="J594" s="378"/>
      <c r="K594" s="378"/>
      <c r="L594" s="378"/>
    </row>
    <row r="595" spans="1:12" ht="45" x14ac:dyDescent="0.25">
      <c r="A595" s="245">
        <v>9</v>
      </c>
      <c r="B595" s="245">
        <v>36</v>
      </c>
      <c r="C595" s="243" t="s">
        <v>88</v>
      </c>
      <c r="D595" s="364"/>
      <c r="E595" s="82" t="s">
        <v>723</v>
      </c>
      <c r="F595" s="292" t="s">
        <v>3062</v>
      </c>
      <c r="G595" s="74" t="s">
        <v>3063</v>
      </c>
      <c r="H595" s="45" t="str">
        <f t="shared" si="26"/>
        <v>SI</v>
      </c>
      <c r="I595" s="45">
        <f t="shared" si="27"/>
        <v>5</v>
      </c>
      <c r="J595" s="378"/>
      <c r="K595" s="378"/>
      <c r="L595" s="378"/>
    </row>
    <row r="596" spans="1:12" ht="60" x14ac:dyDescent="0.25">
      <c r="A596" s="245">
        <v>9</v>
      </c>
      <c r="B596" s="245">
        <v>36</v>
      </c>
      <c r="C596" s="244" t="s">
        <v>88</v>
      </c>
      <c r="D596" s="363"/>
      <c r="E596" s="82" t="s">
        <v>724</v>
      </c>
      <c r="F596" s="283" t="s">
        <v>3064</v>
      </c>
      <c r="G596" s="74" t="s">
        <v>3065</v>
      </c>
      <c r="H596" s="45" t="str">
        <f t="shared" si="26"/>
        <v>SI</v>
      </c>
      <c r="I596" s="45">
        <f t="shared" si="27"/>
        <v>5</v>
      </c>
      <c r="J596" s="379"/>
      <c r="K596" s="378"/>
      <c r="L596" s="378"/>
    </row>
    <row r="597" spans="1:12" ht="60" x14ac:dyDescent="0.25">
      <c r="A597" s="245">
        <v>9</v>
      </c>
      <c r="B597" s="245">
        <v>36</v>
      </c>
      <c r="C597" s="242" t="str">
        <f>Final!E234</f>
        <v>g</v>
      </c>
      <c r="D597" s="362" t="str">
        <f>Final!F234</f>
        <v>Mecanismos y estrategias para efectuar ajustes al proyecto curricular en atención a las necesidades del entorno, evidenciados a través del seguimiento de los egresados.</v>
      </c>
      <c r="E597" s="21" t="s">
        <v>725</v>
      </c>
      <c r="F597" s="283" t="s">
        <v>3066</v>
      </c>
      <c r="G597" s="293" t="s">
        <v>3067</v>
      </c>
      <c r="H597" s="45" t="str">
        <f t="shared" si="26"/>
        <v>SI</v>
      </c>
      <c r="I597" s="45">
        <f t="shared" si="27"/>
        <v>5</v>
      </c>
      <c r="J597" s="377">
        <f>AVERAGE(I597:I599)</f>
        <v>5</v>
      </c>
      <c r="K597" s="378"/>
      <c r="L597" s="378"/>
    </row>
    <row r="598" spans="1:12" ht="45" x14ac:dyDescent="0.25">
      <c r="A598" s="245">
        <v>9</v>
      </c>
      <c r="B598" s="245">
        <v>36</v>
      </c>
      <c r="C598" s="243" t="s">
        <v>102</v>
      </c>
      <c r="D598" s="364"/>
      <c r="E598" s="82" t="s">
        <v>726</v>
      </c>
      <c r="F598" s="292" t="s">
        <v>3056</v>
      </c>
      <c r="G598" s="74" t="s">
        <v>3056</v>
      </c>
      <c r="H598" s="105" t="str">
        <f t="shared" si="26"/>
        <v>SI</v>
      </c>
      <c r="I598" s="45">
        <f t="shared" si="27"/>
        <v>5</v>
      </c>
      <c r="J598" s="378"/>
      <c r="K598" s="378"/>
      <c r="L598" s="378"/>
    </row>
    <row r="599" spans="1:12" ht="45" x14ac:dyDescent="0.25">
      <c r="A599" s="245">
        <v>9</v>
      </c>
      <c r="B599" s="245">
        <v>36</v>
      </c>
      <c r="C599" s="244" t="s">
        <v>102</v>
      </c>
      <c r="D599" s="363"/>
      <c r="E599" s="82" t="s">
        <v>727</v>
      </c>
      <c r="F599" s="292" t="s">
        <v>3068</v>
      </c>
      <c r="G599" s="74" t="s">
        <v>2865</v>
      </c>
      <c r="H599" s="45" t="str">
        <f t="shared" si="26"/>
        <v>SI</v>
      </c>
      <c r="I599" s="45">
        <f t="shared" si="27"/>
        <v>5</v>
      </c>
      <c r="J599" s="379"/>
      <c r="K599" s="378"/>
      <c r="L599" s="378"/>
    </row>
    <row r="600" spans="1:12" ht="60" x14ac:dyDescent="0.25">
      <c r="A600" s="245">
        <v>9</v>
      </c>
      <c r="B600" s="245">
        <v>36</v>
      </c>
      <c r="C600" s="52" t="str">
        <f>Final!E235</f>
        <v>h</v>
      </c>
      <c r="D600" s="21" t="str">
        <f>Final!F235</f>
        <v>Estrategias que faciliten el paso del estudiante al mundo laboral.</v>
      </c>
      <c r="E600" s="21" t="s">
        <v>728</v>
      </c>
      <c r="F600" s="292" t="s">
        <v>3069</v>
      </c>
      <c r="G600" s="74" t="s">
        <v>2865</v>
      </c>
      <c r="H600" s="45" t="str">
        <f t="shared" si="26"/>
        <v>SI</v>
      </c>
      <c r="I600" s="45">
        <f t="shared" si="27"/>
        <v>5</v>
      </c>
      <c r="J600" s="100">
        <f>AVERAGE(I600)</f>
        <v>5</v>
      </c>
      <c r="K600" s="379"/>
      <c r="L600" s="378"/>
    </row>
    <row r="601" spans="1:12" ht="30" x14ac:dyDescent="0.25">
      <c r="A601" s="245">
        <v>9</v>
      </c>
      <c r="B601" s="245">
        <v>37</v>
      </c>
      <c r="C601" s="52" t="str">
        <f>Final!E236</f>
        <v>a</v>
      </c>
      <c r="D601" s="21" t="str">
        <f>Final!F236</f>
        <v>Índice de empleo entre los egresados del proyecto curricular.</v>
      </c>
      <c r="E601" s="21"/>
      <c r="F601" s="292" t="s">
        <v>3200</v>
      </c>
      <c r="G601" s="74" t="s">
        <v>3201</v>
      </c>
      <c r="H601" s="45" t="str">
        <f t="shared" si="26"/>
        <v>SI</v>
      </c>
      <c r="I601" s="45">
        <f t="shared" si="27"/>
        <v>5</v>
      </c>
      <c r="J601" s="100">
        <f>I601</f>
        <v>5</v>
      </c>
      <c r="K601" s="377">
        <f>AVERAGE(J601:J605)</f>
        <v>3.75</v>
      </c>
      <c r="L601" s="378"/>
    </row>
    <row r="602" spans="1:12" ht="90" x14ac:dyDescent="0.25">
      <c r="A602" s="245">
        <v>9</v>
      </c>
      <c r="B602" s="245">
        <v>37</v>
      </c>
      <c r="C602" s="52" t="str">
        <f>Final!E237</f>
        <v>b</v>
      </c>
      <c r="D602" s="21" t="str">
        <f>Final!F237</f>
        <v>Egresados del proyecto curricular que forman parte de comunidades académicas reconocidas, de asociaciones científicas, profesionales, tecnológicas, técnicas o artísticas, y del sector productivo y financiero, en el ámbito nacional o internacional.</v>
      </c>
      <c r="E602" s="21"/>
      <c r="F602" s="292"/>
      <c r="H602" s="105" t="str">
        <f t="shared" si="26"/>
        <v>NO</v>
      </c>
      <c r="I602" s="45">
        <f t="shared" si="27"/>
        <v>0</v>
      </c>
      <c r="J602" s="100">
        <f>I602</f>
        <v>0</v>
      </c>
      <c r="K602" s="378"/>
      <c r="L602" s="378"/>
    </row>
    <row r="603" spans="1:12" ht="60" x14ac:dyDescent="0.25">
      <c r="A603" s="245">
        <v>9</v>
      </c>
      <c r="B603" s="245">
        <v>37</v>
      </c>
      <c r="C603" s="52" t="str">
        <f>Final!E238</f>
        <v>c</v>
      </c>
      <c r="D603" s="21" t="str">
        <f>Final!F238</f>
        <v>Egresados del proyecto curricular que han recibido distinciones y reconocimientos significativos por su desempeño en la disciplina, profesión, ocupación u oficio correspondiente.</v>
      </c>
      <c r="E603" s="21" t="s">
        <v>733</v>
      </c>
      <c r="F603" s="292" t="s">
        <v>3070</v>
      </c>
      <c r="G603" s="293" t="s">
        <v>3071</v>
      </c>
      <c r="H603" s="45" t="str">
        <f t="shared" si="26"/>
        <v>SI</v>
      </c>
      <c r="I603" s="45">
        <f t="shared" si="27"/>
        <v>5</v>
      </c>
      <c r="J603" s="100">
        <f>AVERAGE(I603)</f>
        <v>5</v>
      </c>
      <c r="K603" s="378"/>
      <c r="L603" s="378"/>
    </row>
    <row r="604" spans="1:12" ht="30" x14ac:dyDescent="0.25">
      <c r="A604" s="245">
        <v>9</v>
      </c>
      <c r="B604" s="245">
        <v>37</v>
      </c>
      <c r="C604" s="242" t="str">
        <f>Final!E239</f>
        <v>d</v>
      </c>
      <c r="D604" s="362" t="str">
        <f>Final!F239</f>
        <v>Apreciación de empleadores sobre la calidad de la formación y el desempeño de los egresados del proyecto curricular.</v>
      </c>
      <c r="E604" s="21" t="s">
        <v>704</v>
      </c>
      <c r="F604" s="292" t="s">
        <v>3072</v>
      </c>
      <c r="G604" s="74" t="s">
        <v>3058</v>
      </c>
      <c r="H604" s="45" t="str">
        <f t="shared" si="26"/>
        <v>SI</v>
      </c>
      <c r="I604" s="45">
        <f t="shared" si="27"/>
        <v>5</v>
      </c>
      <c r="J604" s="377">
        <f>AVERAGE(I604:I605)</f>
        <v>5</v>
      </c>
      <c r="K604" s="378"/>
      <c r="L604" s="378"/>
    </row>
    <row r="605" spans="1:12" ht="45" x14ac:dyDescent="0.25">
      <c r="A605" s="245">
        <v>9</v>
      </c>
      <c r="B605" s="245">
        <v>37</v>
      </c>
      <c r="C605" s="244" t="s">
        <v>81</v>
      </c>
      <c r="D605" s="363"/>
      <c r="E605" s="82" t="s">
        <v>735</v>
      </c>
      <c r="F605" s="292" t="s">
        <v>3056</v>
      </c>
      <c r="G605" s="74" t="s">
        <v>3058</v>
      </c>
      <c r="H605" s="45" t="str">
        <f t="shared" si="26"/>
        <v>SI</v>
      </c>
      <c r="I605" s="45">
        <f t="shared" si="27"/>
        <v>5</v>
      </c>
      <c r="J605" s="379"/>
      <c r="K605" s="379"/>
      <c r="L605" s="379"/>
    </row>
    <row r="606" spans="1:12" ht="64.5" customHeight="1" x14ac:dyDescent="0.25">
      <c r="A606" s="245">
        <v>10</v>
      </c>
      <c r="B606" s="245">
        <v>38</v>
      </c>
      <c r="C606" s="242" t="str">
        <f>Final!E240</f>
        <v>a</v>
      </c>
      <c r="D606" s="362" t="str">
        <f>Final!F240</f>
        <v>Espacios que se destinan al desarrollo de cada una de las funciones de docencia, investigación y extensión a las que se dedica el proyecto curricular y de las áreas destinadas al bienestar institucional.</v>
      </c>
      <c r="E606" s="21" t="s">
        <v>736</v>
      </c>
      <c r="F606" s="238" t="s">
        <v>2870</v>
      </c>
      <c r="G606" s="72" t="s">
        <v>2892</v>
      </c>
      <c r="H606" s="45" t="str">
        <f t="shared" si="26"/>
        <v>SI</v>
      </c>
      <c r="I606" s="45">
        <f t="shared" si="27"/>
        <v>5</v>
      </c>
      <c r="J606" s="377">
        <f>AVERAGE(I606:I607)</f>
        <v>5</v>
      </c>
      <c r="K606" s="377">
        <f>AVERAGE(J606:J613)</f>
        <v>5</v>
      </c>
      <c r="L606" s="381">
        <f>(K606*Ponderación!D39)+(K614*Ponderación!D40)+(K632*Ponderación!D41)</f>
        <v>4.8821428571428571</v>
      </c>
    </row>
    <row r="607" spans="1:12" ht="30" x14ac:dyDescent="0.25">
      <c r="A607" s="245">
        <v>10</v>
      </c>
      <c r="B607" s="245">
        <v>38</v>
      </c>
      <c r="C607" s="244" t="s">
        <v>55</v>
      </c>
      <c r="D607" s="363"/>
      <c r="E607" s="82" t="s">
        <v>737</v>
      </c>
      <c r="F607" s="238" t="s">
        <v>903</v>
      </c>
      <c r="G607" s="72" t="s">
        <v>2905</v>
      </c>
      <c r="H607" s="45" t="str">
        <f t="shared" si="26"/>
        <v>SI</v>
      </c>
      <c r="I607" s="45">
        <f t="shared" si="27"/>
        <v>5</v>
      </c>
      <c r="J607" s="379"/>
      <c r="K607" s="378"/>
      <c r="L607" s="382"/>
    </row>
    <row r="608" spans="1:12" ht="120" x14ac:dyDescent="0.25">
      <c r="A608" s="245">
        <v>10</v>
      </c>
      <c r="B608" s="245">
        <v>38</v>
      </c>
      <c r="C608" s="52" t="str">
        <f>Final!E241</f>
        <v>b</v>
      </c>
      <c r="D608" s="21" t="str">
        <f>Final!F241</f>
        <v>Existencia y uso adecuado de aulas, laboratorios, talleres, sitios de estudio para los alumnos, salas de cómputo, oficinas de profesores, sitios para la creación artística y cultural, auditorios y salas de conferencias, oficinas administrativas, cafeterías, baños, servicios, campos de juego, espacios libres, zonas verdes y demás espacios destinados al bienestar en general.</v>
      </c>
      <c r="E608" s="21"/>
      <c r="F608" s="45" t="s">
        <v>64</v>
      </c>
      <c r="G608" s="10"/>
      <c r="H608" s="45" t="str">
        <f t="shared" si="26"/>
        <v>NA</v>
      </c>
      <c r="I608" s="45" t="str">
        <f t="shared" si="27"/>
        <v>NA</v>
      </c>
      <c r="J608" s="100" t="str">
        <f>I608</f>
        <v>NA</v>
      </c>
      <c r="K608" s="378"/>
      <c r="L608" s="382"/>
    </row>
    <row r="609" spans="1:12" ht="60" customHeight="1" x14ac:dyDescent="0.25">
      <c r="A609" s="245">
        <v>10</v>
      </c>
      <c r="B609" s="245">
        <v>38</v>
      </c>
      <c r="C609" s="242" t="str">
        <f>Final!E242</f>
        <v>c</v>
      </c>
      <c r="D609" s="362" t="str">
        <f>Final!F242</f>
        <v xml:space="preserve">Existencia de planes y proyectos en ejecución para la conservación, expansión, mejoras y mantenimiento de la planta física para el proyecto curricular, de acuerdo con las normas técnicas respectivas. </v>
      </c>
      <c r="E609" s="21" t="s">
        <v>737</v>
      </c>
      <c r="F609" s="238" t="s">
        <v>2904</v>
      </c>
      <c r="G609" s="72" t="s">
        <v>2903</v>
      </c>
      <c r="H609" s="45" t="str">
        <f t="shared" si="26"/>
        <v>SI</v>
      </c>
      <c r="I609" s="45">
        <f t="shared" si="27"/>
        <v>5</v>
      </c>
      <c r="J609" s="377">
        <f>AVERAGE(I609:I610)</f>
        <v>5</v>
      </c>
      <c r="K609" s="378"/>
      <c r="L609" s="382"/>
    </row>
    <row r="610" spans="1:12" ht="30" x14ac:dyDescent="0.25">
      <c r="A610" s="245">
        <v>10</v>
      </c>
      <c r="B610" s="245">
        <v>38</v>
      </c>
      <c r="C610" s="244" t="s">
        <v>80</v>
      </c>
      <c r="D610" s="363"/>
      <c r="E610" s="82" t="s">
        <v>740</v>
      </c>
      <c r="F610" s="238" t="s">
        <v>903</v>
      </c>
      <c r="G610" s="72" t="s">
        <v>2905</v>
      </c>
      <c r="H610" s="45" t="str">
        <f t="shared" si="26"/>
        <v>SI</v>
      </c>
      <c r="I610" s="45">
        <f t="shared" si="27"/>
        <v>5</v>
      </c>
      <c r="J610" s="379"/>
      <c r="K610" s="378"/>
      <c r="L610" s="382"/>
    </row>
    <row r="611" spans="1:12" ht="59.25" customHeight="1" x14ac:dyDescent="0.25">
      <c r="A611" s="245">
        <v>10</v>
      </c>
      <c r="B611" s="245">
        <v>38</v>
      </c>
      <c r="C611" s="242" t="str">
        <f>Final!E243</f>
        <v>d</v>
      </c>
      <c r="D611" s="362" t="str">
        <f>Final!F243</f>
        <v>Apreciación de directivos, profesores, estudiantes y personal administrativo del proyecto curricular sobre las características de la planta física, desde el punto de vista de su accesibilidad, diseño, capacidad, iluminación, ventilación y condiciones de seguridad e higiene.</v>
      </c>
      <c r="E611" s="21" t="s">
        <v>741</v>
      </c>
      <c r="F611" s="238" t="s">
        <v>2906</v>
      </c>
      <c r="G611" s="72" t="s">
        <v>2906</v>
      </c>
      <c r="H611" s="45" t="str">
        <f t="shared" si="26"/>
        <v>SI</v>
      </c>
      <c r="I611" s="45">
        <f t="shared" si="27"/>
        <v>5</v>
      </c>
      <c r="J611" s="377">
        <f>AVERAGE(I611:I612)</f>
        <v>5</v>
      </c>
      <c r="K611" s="378"/>
      <c r="L611" s="382"/>
    </row>
    <row r="612" spans="1:12" ht="45.75" customHeight="1" x14ac:dyDescent="0.25">
      <c r="A612" s="245">
        <v>10</v>
      </c>
      <c r="B612" s="245">
        <v>38</v>
      </c>
      <c r="C612" s="244" t="s">
        <v>81</v>
      </c>
      <c r="D612" s="363"/>
      <c r="E612" s="82" t="s">
        <v>704</v>
      </c>
      <c r="F612" s="105" t="s">
        <v>64</v>
      </c>
      <c r="G612" s="10"/>
      <c r="H612" s="45" t="str">
        <f t="shared" si="26"/>
        <v>NA</v>
      </c>
      <c r="I612" s="45" t="str">
        <f t="shared" si="27"/>
        <v>NA</v>
      </c>
      <c r="J612" s="379"/>
      <c r="K612" s="378"/>
      <c r="L612" s="382"/>
    </row>
    <row r="613" spans="1:12" ht="75" x14ac:dyDescent="0.25">
      <c r="A613" s="245">
        <v>10</v>
      </c>
      <c r="B613" s="245">
        <v>38</v>
      </c>
      <c r="C613" s="52" t="str">
        <f>Final!E244</f>
        <v>e</v>
      </c>
      <c r="D613" s="21" t="str">
        <f>Final!F244</f>
        <v xml:space="preserve">Disponibilidad de infraestructura física para atender las necesidades académicas, administrativas y de bienestar, que sea coherente con la modalidad en que se ofrece el proyecto curricular </v>
      </c>
      <c r="E613" s="21" t="s">
        <v>74</v>
      </c>
      <c r="F613" s="238" t="s">
        <v>2866</v>
      </c>
      <c r="G613" s="72" t="s">
        <v>2865</v>
      </c>
      <c r="H613" s="45" t="str">
        <f t="shared" si="26"/>
        <v>SI</v>
      </c>
      <c r="I613" s="45">
        <f t="shared" si="27"/>
        <v>5</v>
      </c>
      <c r="J613" s="100">
        <f>AVERAGE(I613)</f>
        <v>5</v>
      </c>
      <c r="K613" s="379"/>
      <c r="L613" s="382"/>
    </row>
    <row r="614" spans="1:12" ht="45" x14ac:dyDescent="0.25">
      <c r="A614" s="245">
        <v>10</v>
      </c>
      <c r="B614" s="245">
        <v>39</v>
      </c>
      <c r="C614" s="242" t="str">
        <f>Final!E245</f>
        <v>a</v>
      </c>
      <c r="D614" s="362" t="str">
        <f>Final!F245</f>
        <v>Origen, monto y distribución de los recursos presupuestales destinados al proyecto curricular.</v>
      </c>
      <c r="E614" s="21" t="s">
        <v>743</v>
      </c>
      <c r="F614" s="238" t="s">
        <v>905</v>
      </c>
      <c r="G614" s="72" t="s">
        <v>2908</v>
      </c>
      <c r="H614" s="45" t="str">
        <f t="shared" si="26"/>
        <v>SI</v>
      </c>
      <c r="I614" s="45">
        <f t="shared" si="27"/>
        <v>5</v>
      </c>
      <c r="J614" s="377">
        <f>AVERAGE(I614:I616)</f>
        <v>5</v>
      </c>
      <c r="K614" s="381">
        <f>AVERAGE(J614:J631)</f>
        <v>4.6428571428571432</v>
      </c>
      <c r="L614" s="382"/>
    </row>
    <row r="615" spans="1:12" ht="30" x14ac:dyDescent="0.25">
      <c r="A615" s="245">
        <v>10</v>
      </c>
      <c r="B615" s="245">
        <v>39</v>
      </c>
      <c r="C615" s="243" t="s">
        <v>55</v>
      </c>
      <c r="D615" s="364"/>
      <c r="E615" s="238" t="s">
        <v>905</v>
      </c>
      <c r="F615" s="238" t="s">
        <v>905</v>
      </c>
      <c r="G615" s="72" t="s">
        <v>2907</v>
      </c>
      <c r="H615" s="45" t="str">
        <f>IF((LEN(F615)=$O$4)*OR(LEN(G615)=$O$4),$N$4,IF(EXACT(F615,$N$5),$N$5,$N$3))</f>
        <v>SI</v>
      </c>
      <c r="I615" s="45">
        <f>IF(EXACT(H615,$N$3),$O$3,IF(EXACT(H615,$N$5),$N$5,$O$4))</f>
        <v>5</v>
      </c>
      <c r="J615" s="378"/>
      <c r="K615" s="382"/>
      <c r="L615" s="382"/>
    </row>
    <row r="616" spans="1:12" ht="30" x14ac:dyDescent="0.25">
      <c r="A616" s="245">
        <v>10</v>
      </c>
      <c r="B616" s="245">
        <v>39</v>
      </c>
      <c r="C616" s="244" t="s">
        <v>55</v>
      </c>
      <c r="D616" s="363"/>
      <c r="E616" s="82" t="s">
        <v>744</v>
      </c>
      <c r="F616" s="238" t="s">
        <v>2909</v>
      </c>
      <c r="G616" s="72" t="s">
        <v>2909</v>
      </c>
      <c r="H616" s="45" t="str">
        <f t="shared" si="26"/>
        <v>SI</v>
      </c>
      <c r="I616" s="45">
        <f t="shared" si="27"/>
        <v>5</v>
      </c>
      <c r="J616" s="379"/>
      <c r="K616" s="382"/>
      <c r="L616" s="382"/>
    </row>
    <row r="617" spans="1:12" ht="30" customHeight="1" x14ac:dyDescent="0.25">
      <c r="A617" s="245">
        <v>10</v>
      </c>
      <c r="B617" s="245">
        <v>39</v>
      </c>
      <c r="C617" s="367" t="str">
        <f>Final!E246</f>
        <v>b</v>
      </c>
      <c r="D617" s="362" t="str">
        <f>Final!F246</f>
        <v>Mecanismos de seguimiento y verificación a la ejecución presupuestal del proyecto curricular con base en planes de mejoramiento y mantenimiento.</v>
      </c>
      <c r="E617" s="21" t="s">
        <v>745</v>
      </c>
      <c r="F617" s="283" t="s">
        <v>2870</v>
      </c>
      <c r="G617" s="72" t="s">
        <v>2892</v>
      </c>
      <c r="H617" s="45" t="str">
        <f t="shared" si="26"/>
        <v>SI</v>
      </c>
      <c r="I617" s="45">
        <f t="shared" si="27"/>
        <v>5</v>
      </c>
      <c r="J617" s="377">
        <f>AVERAGE(I617:I618)</f>
        <v>5</v>
      </c>
      <c r="K617" s="382"/>
      <c r="L617" s="382"/>
    </row>
    <row r="618" spans="1:12" ht="60" x14ac:dyDescent="0.25">
      <c r="A618" s="245">
        <v>10</v>
      </c>
      <c r="B618" s="245">
        <v>39</v>
      </c>
      <c r="C618" s="368"/>
      <c r="D618" s="363"/>
      <c r="E618" s="82" t="s">
        <v>746</v>
      </c>
      <c r="F618" s="254" t="s">
        <v>3073</v>
      </c>
      <c r="G618" s="295" t="s">
        <v>3074</v>
      </c>
      <c r="H618" s="45" t="str">
        <f t="shared" si="26"/>
        <v>SI</v>
      </c>
      <c r="I618" s="45">
        <f t="shared" si="27"/>
        <v>5</v>
      </c>
      <c r="J618" s="379"/>
      <c r="K618" s="382"/>
      <c r="L618" s="382"/>
    </row>
    <row r="619" spans="1:12" ht="45" customHeight="1" x14ac:dyDescent="0.25">
      <c r="A619" s="245">
        <v>10</v>
      </c>
      <c r="B619" s="245">
        <v>39</v>
      </c>
      <c r="C619" s="242" t="str">
        <f>Final!E247</f>
        <v>c</v>
      </c>
      <c r="D619" s="362" t="str">
        <f>Final!F247</f>
        <v>Distribución de la asignación presupuestal para actividades de docencia, investigación, creación artística y cultural, proyección social, bienestar institucional e internacionalización que en forma directa o indirecta se reflejen en el proyecto curricular.</v>
      </c>
      <c r="E619" s="21" t="s">
        <v>747</v>
      </c>
      <c r="F619" s="254" t="s">
        <v>2909</v>
      </c>
      <c r="G619" s="295" t="s">
        <v>2909</v>
      </c>
      <c r="H619" s="45" t="str">
        <f t="shared" si="26"/>
        <v>SI</v>
      </c>
      <c r="I619" s="45">
        <f t="shared" si="27"/>
        <v>5</v>
      </c>
      <c r="J619" s="377">
        <f>AVERAGE(I619:I620)</f>
        <v>5</v>
      </c>
      <c r="K619" s="382"/>
      <c r="L619" s="382"/>
    </row>
    <row r="620" spans="1:12" ht="45" x14ac:dyDescent="0.25">
      <c r="A620" s="245">
        <v>10</v>
      </c>
      <c r="B620" s="245">
        <v>39</v>
      </c>
      <c r="C620" s="244" t="s">
        <v>80</v>
      </c>
      <c r="D620" s="363"/>
      <c r="E620" s="82" t="s">
        <v>3077</v>
      </c>
      <c r="F620" s="254" t="s">
        <v>2909</v>
      </c>
      <c r="G620" s="295" t="s">
        <v>2909</v>
      </c>
      <c r="H620" s="45" t="str">
        <f t="shared" si="26"/>
        <v>SI</v>
      </c>
      <c r="I620" s="45">
        <f t="shared" si="27"/>
        <v>5</v>
      </c>
      <c r="J620" s="379"/>
      <c r="K620" s="382"/>
      <c r="L620" s="382"/>
    </row>
    <row r="621" spans="1:12" ht="30" x14ac:dyDescent="0.25">
      <c r="A621" s="245">
        <v>10</v>
      </c>
      <c r="B621" s="245">
        <v>39</v>
      </c>
      <c r="C621" s="242" t="str">
        <f>Final!E248</f>
        <v>d</v>
      </c>
      <c r="D621" s="362" t="str">
        <f>Final!F248</f>
        <v>Porcentaje de los ingresos que la Institución dedica a la inversión en el proyecto curricular.</v>
      </c>
      <c r="E621" s="21" t="s">
        <v>3076</v>
      </c>
      <c r="F621" s="294" t="s">
        <v>3078</v>
      </c>
      <c r="G621" s="289" t="s">
        <v>3081</v>
      </c>
      <c r="H621" s="45" t="str">
        <f t="shared" si="26"/>
        <v>SI</v>
      </c>
      <c r="I621" s="45">
        <f t="shared" si="27"/>
        <v>5</v>
      </c>
      <c r="J621" s="377">
        <f>AVERAGE(I621:I622)</f>
        <v>5</v>
      </c>
      <c r="K621" s="382"/>
      <c r="L621" s="382"/>
    </row>
    <row r="622" spans="1:12" ht="30" x14ac:dyDescent="0.25">
      <c r="A622" s="245">
        <v>10</v>
      </c>
      <c r="B622" s="245">
        <v>39</v>
      </c>
      <c r="C622" s="244" t="s">
        <v>81</v>
      </c>
      <c r="D622" s="363"/>
      <c r="E622" s="82" t="s">
        <v>3075</v>
      </c>
      <c r="F622" s="273" t="s">
        <v>3079</v>
      </c>
      <c r="G622" s="44" t="s">
        <v>3080</v>
      </c>
      <c r="H622" s="45" t="str">
        <f t="shared" si="26"/>
        <v>SI</v>
      </c>
      <c r="I622" s="45">
        <f t="shared" si="27"/>
        <v>5</v>
      </c>
      <c r="J622" s="379"/>
      <c r="K622" s="382"/>
      <c r="L622" s="382"/>
    </row>
    <row r="623" spans="1:12" ht="45" x14ac:dyDescent="0.25">
      <c r="A623" s="245">
        <v>10</v>
      </c>
      <c r="B623" s="245">
        <v>39</v>
      </c>
      <c r="C623" s="242" t="str">
        <f>Final!E249</f>
        <v>e</v>
      </c>
      <c r="D623" s="362" t="str">
        <f>Final!F249</f>
        <v>Capacidad del proyecto curricular para generar recursos externos para el apoyo a sus funciones misionales.</v>
      </c>
      <c r="E623" s="21" t="s">
        <v>3084</v>
      </c>
      <c r="F623" s="283" t="s">
        <v>2870</v>
      </c>
      <c r="G623" s="72" t="s">
        <v>2892</v>
      </c>
      <c r="H623" s="45" t="str">
        <f t="shared" si="26"/>
        <v>SI</v>
      </c>
      <c r="I623" s="45">
        <f t="shared" si="27"/>
        <v>5</v>
      </c>
      <c r="J623" s="377">
        <f>AVERAGE(I623:I624)</f>
        <v>5</v>
      </c>
      <c r="K623" s="382"/>
      <c r="L623" s="382"/>
    </row>
    <row r="624" spans="1:12" ht="60" x14ac:dyDescent="0.25">
      <c r="A624" s="245">
        <v>10</v>
      </c>
      <c r="B624" s="245">
        <v>39</v>
      </c>
      <c r="C624" s="244" t="s">
        <v>87</v>
      </c>
      <c r="D624" s="363"/>
      <c r="E624" s="82" t="s">
        <v>3085</v>
      </c>
      <c r="F624" s="283" t="s">
        <v>3082</v>
      </c>
      <c r="G624" s="296" t="s">
        <v>3083</v>
      </c>
      <c r="H624" s="45" t="str">
        <f t="shared" si="26"/>
        <v>SI</v>
      </c>
      <c r="I624" s="45">
        <f t="shared" si="27"/>
        <v>5</v>
      </c>
      <c r="J624" s="379"/>
      <c r="K624" s="382"/>
      <c r="L624" s="382"/>
    </row>
    <row r="625" spans="1:12" ht="60" x14ac:dyDescent="0.25">
      <c r="A625" s="245">
        <v>10</v>
      </c>
      <c r="B625" s="245">
        <v>39</v>
      </c>
      <c r="C625" s="52" t="str">
        <f>Final!E250</f>
        <v>f</v>
      </c>
      <c r="D625" s="21" t="str">
        <f>Final!F250</f>
        <v>Apreciación de directivos y profesores adscritos al proyecto curricular sobre la suficiencia de los recursos presupuestales de que se dispone en el mismo y sobre la ejecución presupuestal.</v>
      </c>
      <c r="E625" s="21" t="s">
        <v>748</v>
      </c>
      <c r="F625" s="285" t="s">
        <v>64</v>
      </c>
      <c r="G625" s="10"/>
      <c r="H625" s="45" t="str">
        <f t="shared" si="26"/>
        <v>NA</v>
      </c>
      <c r="I625" s="45" t="str">
        <f t="shared" si="27"/>
        <v>NA</v>
      </c>
      <c r="J625" s="100" t="str">
        <f>I625</f>
        <v>NA</v>
      </c>
      <c r="K625" s="382"/>
      <c r="L625" s="382"/>
    </row>
    <row r="626" spans="1:12" ht="45" x14ac:dyDescent="0.25">
      <c r="A626" s="245">
        <v>10</v>
      </c>
      <c r="B626" s="245">
        <v>39</v>
      </c>
      <c r="C626" s="242" t="str">
        <f>Final!E251</f>
        <v>g</v>
      </c>
      <c r="D626" s="362" t="str">
        <f>Final!F251</f>
        <v>Existencia de estudio de viabilidad financiera del proyecto curricular, que incluya un plan básico de inversión orientado a la consolidación del Proyecto Educativo.</v>
      </c>
      <c r="E626" s="21" t="s">
        <v>749</v>
      </c>
      <c r="F626" s="283" t="s">
        <v>2870</v>
      </c>
      <c r="G626" s="72" t="s">
        <v>2892</v>
      </c>
      <c r="H626" s="45" t="str">
        <f t="shared" si="26"/>
        <v>SI</v>
      </c>
      <c r="I626" s="45">
        <f t="shared" si="27"/>
        <v>5</v>
      </c>
      <c r="J626" s="377">
        <f>AVERAGE(I626:I627)</f>
        <v>5</v>
      </c>
      <c r="K626" s="382"/>
      <c r="L626" s="382"/>
    </row>
    <row r="627" spans="1:12" ht="30" x14ac:dyDescent="0.25">
      <c r="A627" s="245">
        <v>10</v>
      </c>
      <c r="B627" s="245">
        <v>39</v>
      </c>
      <c r="C627" s="244" t="s">
        <v>102</v>
      </c>
      <c r="D627" s="363"/>
      <c r="E627" s="82" t="s">
        <v>750</v>
      </c>
      <c r="F627" s="283" t="s">
        <v>3086</v>
      </c>
      <c r="G627" s="289" t="s">
        <v>3081</v>
      </c>
      <c r="H627" s="45" t="str">
        <f t="shared" si="26"/>
        <v>SI</v>
      </c>
      <c r="I627" s="45">
        <f t="shared" si="27"/>
        <v>5</v>
      </c>
      <c r="J627" s="379"/>
      <c r="K627" s="382"/>
      <c r="L627" s="382"/>
    </row>
    <row r="628" spans="1:12" ht="30" x14ac:dyDescent="0.25">
      <c r="A628" s="245">
        <v>10</v>
      </c>
      <c r="B628" s="245">
        <v>39</v>
      </c>
      <c r="C628" s="242" t="str">
        <f>Final!E252</f>
        <v>h</v>
      </c>
      <c r="D628" s="362" t="str">
        <f>Final!F252</f>
        <v>Los planes de mejoramiento del proyecto curricular se soportan en un presupuesto de apropiación programada.</v>
      </c>
      <c r="E628" s="21" t="s">
        <v>751</v>
      </c>
      <c r="F628" s="10"/>
      <c r="G628" s="10"/>
      <c r="H628" s="45" t="str">
        <f t="shared" si="26"/>
        <v>NO</v>
      </c>
      <c r="I628" s="45">
        <f t="shared" si="27"/>
        <v>0</v>
      </c>
      <c r="J628" s="377">
        <f>AVERAGE(I628:I631)</f>
        <v>2.5</v>
      </c>
      <c r="K628" s="382"/>
      <c r="L628" s="382"/>
    </row>
    <row r="629" spans="1:12" x14ac:dyDescent="0.25">
      <c r="A629" s="245">
        <v>10</v>
      </c>
      <c r="B629" s="245">
        <v>39</v>
      </c>
      <c r="C629" s="243" t="s">
        <v>104</v>
      </c>
      <c r="D629" s="364"/>
      <c r="E629" s="82" t="s">
        <v>752</v>
      </c>
      <c r="F629" s="238" t="s">
        <v>2914</v>
      </c>
      <c r="G629" s="72" t="s">
        <v>2914</v>
      </c>
      <c r="H629" s="45" t="str">
        <f t="shared" si="26"/>
        <v>SI</v>
      </c>
      <c r="I629" s="45">
        <f t="shared" si="27"/>
        <v>5</v>
      </c>
      <c r="J629" s="378"/>
      <c r="K629" s="382"/>
      <c r="L629" s="382"/>
    </row>
    <row r="630" spans="1:12" x14ac:dyDescent="0.25">
      <c r="A630" s="245">
        <v>10</v>
      </c>
      <c r="B630" s="245">
        <v>39</v>
      </c>
      <c r="C630" s="243" t="s">
        <v>104</v>
      </c>
      <c r="D630" s="364"/>
      <c r="E630" s="82" t="s">
        <v>597</v>
      </c>
      <c r="F630" s="10"/>
      <c r="G630" s="10"/>
      <c r="H630" s="45" t="str">
        <f t="shared" si="26"/>
        <v>NO</v>
      </c>
      <c r="I630" s="45">
        <f t="shared" si="27"/>
        <v>0</v>
      </c>
      <c r="J630" s="378"/>
      <c r="K630" s="382"/>
      <c r="L630" s="382"/>
    </row>
    <row r="631" spans="1:12" ht="45" x14ac:dyDescent="0.25">
      <c r="A631" s="245">
        <v>10</v>
      </c>
      <c r="B631" s="245">
        <v>39</v>
      </c>
      <c r="C631" s="244" t="s">
        <v>104</v>
      </c>
      <c r="D631" s="363"/>
      <c r="E631" s="82" t="s">
        <v>753</v>
      </c>
      <c r="F631" s="238" t="s">
        <v>2910</v>
      </c>
      <c r="G631" s="72" t="s">
        <v>2911</v>
      </c>
      <c r="H631" s="45" t="str">
        <f t="shared" si="26"/>
        <v>SI</v>
      </c>
      <c r="I631" s="45">
        <f t="shared" si="27"/>
        <v>5</v>
      </c>
      <c r="J631" s="379"/>
      <c r="K631" s="383"/>
      <c r="L631" s="382"/>
    </row>
    <row r="632" spans="1:12" ht="30" x14ac:dyDescent="0.25">
      <c r="A632" s="245">
        <v>10</v>
      </c>
      <c r="B632" s="245">
        <v>40</v>
      </c>
      <c r="C632" s="242" t="str">
        <f>Final!E253</f>
        <v>a</v>
      </c>
      <c r="D632" s="362" t="str">
        <f>Final!F253</f>
        <v>Manejo de los recursos físicos y financieros, en concordancia con los planes de desarrollo, los planes de mejoramiento y el tamaño y la complejidad de la institución y del proyecto curricular.</v>
      </c>
      <c r="E632" s="21" t="s">
        <v>754</v>
      </c>
      <c r="F632" s="238" t="s">
        <v>476</v>
      </c>
      <c r="G632" s="72" t="s">
        <v>8</v>
      </c>
      <c r="H632" s="45" t="str">
        <f t="shared" si="26"/>
        <v>SI</v>
      </c>
      <c r="I632" s="45">
        <f t="shared" si="27"/>
        <v>5</v>
      </c>
      <c r="J632" s="377">
        <f>AVERAGE(I632:I635)</f>
        <v>5</v>
      </c>
      <c r="K632" s="377">
        <f>AVERAGE(J632:J645)</f>
        <v>5</v>
      </c>
      <c r="L632" s="382"/>
    </row>
    <row r="633" spans="1:12" ht="30" x14ac:dyDescent="0.25">
      <c r="A633" s="245">
        <v>10</v>
      </c>
      <c r="B633" s="245">
        <v>40</v>
      </c>
      <c r="C633" s="243" t="s">
        <v>55</v>
      </c>
      <c r="D633" s="364"/>
      <c r="E633" s="82" t="s">
        <v>752</v>
      </c>
      <c r="F633" s="238" t="s">
        <v>906</v>
      </c>
      <c r="G633" s="72" t="s">
        <v>907</v>
      </c>
      <c r="H633" s="45" t="str">
        <f t="shared" si="26"/>
        <v>SI</v>
      </c>
      <c r="I633" s="45">
        <f t="shared" si="27"/>
        <v>5</v>
      </c>
      <c r="J633" s="378"/>
      <c r="K633" s="378"/>
      <c r="L633" s="382"/>
    </row>
    <row r="634" spans="1:12" ht="30" x14ac:dyDescent="0.25">
      <c r="A634" s="245">
        <v>10</v>
      </c>
      <c r="B634" s="245">
        <v>40</v>
      </c>
      <c r="C634" s="243" t="s">
        <v>55</v>
      </c>
      <c r="D634" s="364"/>
      <c r="E634" s="82" t="s">
        <v>755</v>
      </c>
      <c r="F634" s="238" t="s">
        <v>903</v>
      </c>
      <c r="G634" s="72" t="s">
        <v>904</v>
      </c>
      <c r="H634" s="45" t="str">
        <f t="shared" si="26"/>
        <v>SI</v>
      </c>
      <c r="I634" s="45">
        <f t="shared" si="27"/>
        <v>5</v>
      </c>
      <c r="J634" s="378"/>
      <c r="K634" s="378"/>
      <c r="L634" s="382"/>
    </row>
    <row r="635" spans="1:12" ht="45" x14ac:dyDescent="0.25">
      <c r="A635" s="245">
        <v>10</v>
      </c>
      <c r="B635" s="245">
        <v>40</v>
      </c>
      <c r="C635" s="244" t="s">
        <v>55</v>
      </c>
      <c r="D635" s="363"/>
      <c r="E635" s="82" t="s">
        <v>756</v>
      </c>
      <c r="F635" s="285" t="s">
        <v>64</v>
      </c>
      <c r="G635" s="10"/>
      <c r="H635" s="45" t="str">
        <f t="shared" si="26"/>
        <v>NA</v>
      </c>
      <c r="I635" s="45" t="str">
        <f t="shared" si="27"/>
        <v>NA</v>
      </c>
      <c r="J635" s="379"/>
      <c r="K635" s="378"/>
      <c r="L635" s="382"/>
    </row>
    <row r="636" spans="1:12" ht="45" x14ac:dyDescent="0.25">
      <c r="A636" s="245">
        <v>10</v>
      </c>
      <c r="B636" s="245">
        <v>40</v>
      </c>
      <c r="C636" s="242" t="str">
        <f>Final!E254</f>
        <v>b</v>
      </c>
      <c r="D636" s="362" t="str">
        <f>Final!F254</f>
        <v>Criterios y mecanismos para la elaboración, ejecución y seguimiento del presupuesto y para la asignación de recursos físicos y financieros para el proyecto curricular.</v>
      </c>
      <c r="E636" s="362" t="s">
        <v>757</v>
      </c>
      <c r="F636" s="238" t="s">
        <v>2910</v>
      </c>
      <c r="G636" s="72" t="s">
        <v>2911</v>
      </c>
      <c r="H636" s="45" t="str">
        <f t="shared" si="26"/>
        <v>SI</v>
      </c>
      <c r="I636" s="45">
        <f t="shared" si="27"/>
        <v>5</v>
      </c>
      <c r="J636" s="377">
        <f>AVERAGE(I636:I640)</f>
        <v>5</v>
      </c>
      <c r="K636" s="378"/>
      <c r="L636" s="382"/>
    </row>
    <row r="637" spans="1:12" ht="31.5" customHeight="1" x14ac:dyDescent="0.25">
      <c r="A637" s="245">
        <v>10</v>
      </c>
      <c r="B637" s="245">
        <v>40</v>
      </c>
      <c r="C637" s="242" t="s">
        <v>56</v>
      </c>
      <c r="D637" s="364"/>
      <c r="E637" s="363"/>
      <c r="F637" s="238" t="s">
        <v>2891</v>
      </c>
      <c r="G637" s="72" t="s">
        <v>2892</v>
      </c>
      <c r="H637" s="105"/>
      <c r="I637" s="105"/>
      <c r="J637" s="378"/>
      <c r="K637" s="378"/>
      <c r="L637" s="382"/>
    </row>
    <row r="638" spans="1:12" x14ac:dyDescent="0.25">
      <c r="A638" s="245">
        <v>10</v>
      </c>
      <c r="B638" s="245">
        <v>40</v>
      </c>
      <c r="C638" s="243" t="s">
        <v>56</v>
      </c>
      <c r="D638" s="364"/>
      <c r="E638" s="362" t="s">
        <v>758</v>
      </c>
      <c r="F638" s="362" t="s">
        <v>2880</v>
      </c>
      <c r="G638" s="72" t="s">
        <v>2882</v>
      </c>
      <c r="H638" s="45" t="str">
        <f t="shared" si="26"/>
        <v>SI</v>
      </c>
      <c r="I638" s="45">
        <f t="shared" si="27"/>
        <v>5</v>
      </c>
      <c r="J638" s="378"/>
      <c r="K638" s="378"/>
      <c r="L638" s="382"/>
    </row>
    <row r="639" spans="1:12" x14ac:dyDescent="0.25">
      <c r="A639" s="245">
        <v>10</v>
      </c>
      <c r="B639" s="245">
        <v>40</v>
      </c>
      <c r="C639" s="243" t="s">
        <v>56</v>
      </c>
      <c r="D639" s="364"/>
      <c r="E639" s="363"/>
      <c r="F639" s="363"/>
      <c r="G639" s="72" t="s">
        <v>2881</v>
      </c>
      <c r="H639" s="105"/>
      <c r="I639" s="105"/>
      <c r="J639" s="378"/>
      <c r="K639" s="378"/>
      <c r="L639" s="382"/>
    </row>
    <row r="640" spans="1:12" ht="30" x14ac:dyDescent="0.25">
      <c r="A640" s="245">
        <v>10</v>
      </c>
      <c r="B640" s="245">
        <v>40</v>
      </c>
      <c r="C640" s="244" t="s">
        <v>56</v>
      </c>
      <c r="D640" s="363"/>
      <c r="E640" s="82" t="s">
        <v>759</v>
      </c>
      <c r="F640" s="238" t="s">
        <v>2889</v>
      </c>
      <c r="G640" s="72" t="s">
        <v>2863</v>
      </c>
      <c r="H640" s="45" t="str">
        <f t="shared" si="26"/>
        <v>SI</v>
      </c>
      <c r="I640" s="45">
        <f t="shared" si="27"/>
        <v>5</v>
      </c>
      <c r="J640" s="379"/>
      <c r="K640" s="378"/>
      <c r="L640" s="382"/>
    </row>
    <row r="641" spans="1:12" ht="45" x14ac:dyDescent="0.25">
      <c r="A641" s="245">
        <v>10</v>
      </c>
      <c r="B641" s="245">
        <v>40</v>
      </c>
      <c r="C641" s="52" t="str">
        <f>Final!E255</f>
        <v>c</v>
      </c>
      <c r="D641" s="21" t="str">
        <f>Final!F255</f>
        <v>Evidencias de los controles legales y administrativos para asegurar el manejo transparente de los recursos.</v>
      </c>
      <c r="E641" s="21" t="s">
        <v>760</v>
      </c>
      <c r="F641" s="238" t="s">
        <v>2913</v>
      </c>
      <c r="G641" s="44" t="s">
        <v>2912</v>
      </c>
      <c r="H641" s="45" t="str">
        <f t="shared" si="26"/>
        <v>SI</v>
      </c>
      <c r="I641" s="45">
        <f t="shared" si="27"/>
        <v>5</v>
      </c>
      <c r="J641" s="100">
        <f>AVERAGE(I641)</f>
        <v>5</v>
      </c>
      <c r="K641" s="378"/>
      <c r="L641" s="382"/>
    </row>
    <row r="642" spans="1:12" x14ac:dyDescent="0.25">
      <c r="A642" s="245">
        <v>10</v>
      </c>
      <c r="B642" s="245">
        <v>40</v>
      </c>
      <c r="C642" s="242" t="str">
        <f>Final!E256</f>
        <v>d</v>
      </c>
      <c r="D642" s="362" t="str">
        <f>Final!F256</f>
        <v>Apreciación de directivos y profesores adscritos al proyecto curricular sobre la equidad en la asignación de recursos físicos y financieros para el proyecto curricular.</v>
      </c>
      <c r="E642" s="21" t="s">
        <v>748</v>
      </c>
      <c r="F642" s="10" t="s">
        <v>64</v>
      </c>
      <c r="G642" s="10"/>
      <c r="H642" s="45" t="str">
        <f t="shared" si="26"/>
        <v>NA</v>
      </c>
      <c r="I642" s="45" t="str">
        <f t="shared" si="27"/>
        <v>NA</v>
      </c>
      <c r="J642" s="377">
        <f>AVERAGE(I642:I644)</f>
        <v>5</v>
      </c>
      <c r="K642" s="378"/>
      <c r="L642" s="382"/>
    </row>
    <row r="643" spans="1:12" ht="45" x14ac:dyDescent="0.25">
      <c r="A643" s="245">
        <v>10</v>
      </c>
      <c r="B643" s="245">
        <v>40</v>
      </c>
      <c r="C643" s="243" t="s">
        <v>81</v>
      </c>
      <c r="D643" s="364"/>
      <c r="E643" s="82" t="s">
        <v>761</v>
      </c>
      <c r="F643" s="238" t="s">
        <v>2910</v>
      </c>
      <c r="G643" s="72" t="s">
        <v>2911</v>
      </c>
      <c r="H643" s="45" t="str">
        <f t="shared" si="26"/>
        <v>SI</v>
      </c>
      <c r="I643" s="45">
        <f t="shared" si="27"/>
        <v>5</v>
      </c>
      <c r="J643" s="378"/>
      <c r="K643" s="378"/>
      <c r="L643" s="382"/>
    </row>
    <row r="644" spans="1:12" x14ac:dyDescent="0.25">
      <c r="A644" s="245">
        <v>10</v>
      </c>
      <c r="B644" s="245">
        <v>40</v>
      </c>
      <c r="C644" s="244" t="s">
        <v>81</v>
      </c>
      <c r="D644" s="363"/>
      <c r="E644" s="82" t="s">
        <v>488</v>
      </c>
      <c r="F644" s="238" t="s">
        <v>3087</v>
      </c>
      <c r="G644" s="44" t="s">
        <v>2927</v>
      </c>
      <c r="H644" s="45" t="str">
        <f t="shared" si="26"/>
        <v>SI</v>
      </c>
      <c r="I644" s="45">
        <f t="shared" si="27"/>
        <v>5</v>
      </c>
      <c r="J644" s="379"/>
      <c r="K644" s="378"/>
      <c r="L644" s="382"/>
    </row>
    <row r="645" spans="1:12" ht="90" x14ac:dyDescent="0.25">
      <c r="A645" s="245">
        <v>10</v>
      </c>
      <c r="B645" s="245">
        <v>40</v>
      </c>
      <c r="C645" s="52" t="str">
        <f>Final!E257</f>
        <v>e</v>
      </c>
      <c r="D645" s="21" t="str">
        <f>Final!F257</f>
        <v>En los programas de salud, donde sea pertinente, evidencia las dinámicas de administración compartida entre las Institución de Educación Superior y el Hospital Universitario o la IPS, en cuanto a convenios docentes-asistenciales y escenarios de prácticas, entre otros.</v>
      </c>
      <c r="E645" s="21"/>
      <c r="F645" s="45" t="s">
        <v>64</v>
      </c>
      <c r="G645" s="10"/>
      <c r="H645" s="45" t="str">
        <f t="shared" si="26"/>
        <v>NA</v>
      </c>
      <c r="I645" s="45" t="str">
        <f t="shared" si="27"/>
        <v>NA</v>
      </c>
      <c r="J645" s="100" t="str">
        <f>I645</f>
        <v>NA</v>
      </c>
      <c r="K645" s="379"/>
      <c r="L645" s="383"/>
    </row>
  </sheetData>
  <autoFilter ref="A2:O645"/>
  <mergeCells count="391">
    <mergeCell ref="F141:F142"/>
    <mergeCell ref="E143:E144"/>
    <mergeCell ref="E636:E637"/>
    <mergeCell ref="E141:E142"/>
    <mergeCell ref="F638:F639"/>
    <mergeCell ref="E638:E639"/>
    <mergeCell ref="E355:E357"/>
    <mergeCell ref="E375:E377"/>
    <mergeCell ref="D453:D454"/>
    <mergeCell ref="D617:D618"/>
    <mergeCell ref="D606:D607"/>
    <mergeCell ref="D609:D610"/>
    <mergeCell ref="D611:D612"/>
    <mergeCell ref="D614:D616"/>
    <mergeCell ref="D587:D589"/>
    <mergeCell ref="D590:D592"/>
    <mergeCell ref="D593:D596"/>
    <mergeCell ref="D597:D599"/>
    <mergeCell ref="D604:D605"/>
    <mergeCell ref="D576:D577"/>
    <mergeCell ref="D578:D579"/>
    <mergeCell ref="D582:D583"/>
    <mergeCell ref="D584:D586"/>
    <mergeCell ref="E593:E594"/>
    <mergeCell ref="J520:J523"/>
    <mergeCell ref="J524:J525"/>
    <mergeCell ref="J529:J532"/>
    <mergeCell ref="J448:J449"/>
    <mergeCell ref="J451:J452"/>
    <mergeCell ref="J456:J457"/>
    <mergeCell ref="J458:J459"/>
    <mergeCell ref="J461:J462"/>
    <mergeCell ref="J463:J464"/>
    <mergeCell ref="J465:J467"/>
    <mergeCell ref="J468:J473"/>
    <mergeCell ref="J474:J476"/>
    <mergeCell ref="J509:J512"/>
    <mergeCell ref="J516:J519"/>
    <mergeCell ref="J430:J431"/>
    <mergeCell ref="J432:J435"/>
    <mergeCell ref="J436:J438"/>
    <mergeCell ref="J439:J442"/>
    <mergeCell ref="J446:J447"/>
    <mergeCell ref="J487:J490"/>
    <mergeCell ref="J494:J497"/>
    <mergeCell ref="J499:J503"/>
    <mergeCell ref="J505:J508"/>
    <mergeCell ref="E104:E106"/>
    <mergeCell ref="F104:F106"/>
    <mergeCell ref="H104:H106"/>
    <mergeCell ref="I104:I106"/>
    <mergeCell ref="E181:E182"/>
    <mergeCell ref="E330:E331"/>
    <mergeCell ref="J590:J592"/>
    <mergeCell ref="J593:J596"/>
    <mergeCell ref="J533:J535"/>
    <mergeCell ref="J536:J539"/>
    <mergeCell ref="J540:J544"/>
    <mergeCell ref="J545:J547"/>
    <mergeCell ref="J548:J550"/>
    <mergeCell ref="J554:J558"/>
    <mergeCell ref="J559:J564"/>
    <mergeCell ref="J565:J566"/>
    <mergeCell ref="J453:J454"/>
    <mergeCell ref="E516:E517"/>
    <mergeCell ref="J415:J416"/>
    <mergeCell ref="J417:J418"/>
    <mergeCell ref="J419:J423"/>
    <mergeCell ref="J424:J427"/>
    <mergeCell ref="J405:J406"/>
    <mergeCell ref="J407:J408"/>
    <mergeCell ref="K601:K605"/>
    <mergeCell ref="K606:K613"/>
    <mergeCell ref="K614:K631"/>
    <mergeCell ref="K632:K645"/>
    <mergeCell ref="L3:L102"/>
    <mergeCell ref="L103:L139"/>
    <mergeCell ref="L140:L223"/>
    <mergeCell ref="L224:L428"/>
    <mergeCell ref="L429:L467"/>
    <mergeCell ref="L468:L504"/>
    <mergeCell ref="L505:L532"/>
    <mergeCell ref="L533:L580"/>
    <mergeCell ref="L581:L605"/>
    <mergeCell ref="L606:L645"/>
    <mergeCell ref="K453:K467"/>
    <mergeCell ref="K468:K486"/>
    <mergeCell ref="K487:K504"/>
    <mergeCell ref="K505:K526"/>
    <mergeCell ref="K527:K532"/>
    <mergeCell ref="K533:K553"/>
    <mergeCell ref="K554:K574"/>
    <mergeCell ref="K575:K580"/>
    <mergeCell ref="K581:K600"/>
    <mergeCell ref="K268:K295"/>
    <mergeCell ref="K296:K312"/>
    <mergeCell ref="K313:K328"/>
    <mergeCell ref="K329:K351"/>
    <mergeCell ref="K352:K368"/>
    <mergeCell ref="K369:K392"/>
    <mergeCell ref="K393:K409"/>
    <mergeCell ref="K410:K428"/>
    <mergeCell ref="K429:K452"/>
    <mergeCell ref="J623:J624"/>
    <mergeCell ref="J604:J605"/>
    <mergeCell ref="J606:J607"/>
    <mergeCell ref="J609:J610"/>
    <mergeCell ref="J611:J612"/>
    <mergeCell ref="J614:J616"/>
    <mergeCell ref="J617:J618"/>
    <mergeCell ref="J619:J620"/>
    <mergeCell ref="J621:J622"/>
    <mergeCell ref="J568:J569"/>
    <mergeCell ref="J573:J574"/>
    <mergeCell ref="J576:J577"/>
    <mergeCell ref="J578:J579"/>
    <mergeCell ref="J582:J583"/>
    <mergeCell ref="J584:J586"/>
    <mergeCell ref="J587:J589"/>
    <mergeCell ref="J626:J627"/>
    <mergeCell ref="J628:J631"/>
    <mergeCell ref="J632:J635"/>
    <mergeCell ref="J636:J640"/>
    <mergeCell ref="J642:J644"/>
    <mergeCell ref="K3:K46"/>
    <mergeCell ref="K47:K64"/>
    <mergeCell ref="K65:K102"/>
    <mergeCell ref="K103:K114"/>
    <mergeCell ref="K115:K123"/>
    <mergeCell ref="K124:K131"/>
    <mergeCell ref="K132:K139"/>
    <mergeCell ref="K140:K150"/>
    <mergeCell ref="K151:K170"/>
    <mergeCell ref="K171:K180"/>
    <mergeCell ref="K181:K190"/>
    <mergeCell ref="K191:K198"/>
    <mergeCell ref="K199:K206"/>
    <mergeCell ref="K207:K212"/>
    <mergeCell ref="K213:K223"/>
    <mergeCell ref="K224:K248"/>
    <mergeCell ref="K249:K264"/>
    <mergeCell ref="K265:K267"/>
    <mergeCell ref="J597:J599"/>
    <mergeCell ref="J410:J414"/>
    <mergeCell ref="J329:J336"/>
    <mergeCell ref="J337:J341"/>
    <mergeCell ref="J342:J344"/>
    <mergeCell ref="J345:J351"/>
    <mergeCell ref="J352:J358"/>
    <mergeCell ref="J361:J362"/>
    <mergeCell ref="J365:J366"/>
    <mergeCell ref="J367:J368"/>
    <mergeCell ref="J369:J373"/>
    <mergeCell ref="J374:J378"/>
    <mergeCell ref="J379:J383"/>
    <mergeCell ref="J384:J388"/>
    <mergeCell ref="J389:J391"/>
    <mergeCell ref="J393:J398"/>
    <mergeCell ref="J400:J404"/>
    <mergeCell ref="J289:J292"/>
    <mergeCell ref="J293:J295"/>
    <mergeCell ref="J296:J299"/>
    <mergeCell ref="J300:J302"/>
    <mergeCell ref="J305:J308"/>
    <mergeCell ref="J309:J312"/>
    <mergeCell ref="J313:J317"/>
    <mergeCell ref="J318:J321"/>
    <mergeCell ref="J323:J327"/>
    <mergeCell ref="J245:J246"/>
    <mergeCell ref="J247:J248"/>
    <mergeCell ref="J250:J253"/>
    <mergeCell ref="J254:J256"/>
    <mergeCell ref="J257:J258"/>
    <mergeCell ref="J276:J277"/>
    <mergeCell ref="J278:J279"/>
    <mergeCell ref="J280:J283"/>
    <mergeCell ref="J284:J287"/>
    <mergeCell ref="J218:J220"/>
    <mergeCell ref="J221:J222"/>
    <mergeCell ref="J226:J227"/>
    <mergeCell ref="J228:J230"/>
    <mergeCell ref="J231:J232"/>
    <mergeCell ref="J233:J234"/>
    <mergeCell ref="J237:J239"/>
    <mergeCell ref="J240:J241"/>
    <mergeCell ref="J243:J244"/>
    <mergeCell ref="J184:J185"/>
    <mergeCell ref="J188:J189"/>
    <mergeCell ref="J191:J194"/>
    <mergeCell ref="J195:J197"/>
    <mergeCell ref="J199:J202"/>
    <mergeCell ref="J203:J204"/>
    <mergeCell ref="J207:J210"/>
    <mergeCell ref="J213:J214"/>
    <mergeCell ref="J215:J217"/>
    <mergeCell ref="J140:J145"/>
    <mergeCell ref="J146:J149"/>
    <mergeCell ref="J151:J153"/>
    <mergeCell ref="J154:J156"/>
    <mergeCell ref="J158:J161"/>
    <mergeCell ref="J162:J167"/>
    <mergeCell ref="J168:J170"/>
    <mergeCell ref="J175:J177"/>
    <mergeCell ref="J181:J183"/>
    <mergeCell ref="J103:J108"/>
    <mergeCell ref="J110:J111"/>
    <mergeCell ref="J112:J114"/>
    <mergeCell ref="J115:J120"/>
    <mergeCell ref="J121:J122"/>
    <mergeCell ref="J124:J125"/>
    <mergeCell ref="J126:J129"/>
    <mergeCell ref="J132:J133"/>
    <mergeCell ref="J137:J139"/>
    <mergeCell ref="J65:J68"/>
    <mergeCell ref="J69:J73"/>
    <mergeCell ref="J74:J78"/>
    <mergeCell ref="J79:J83"/>
    <mergeCell ref="J84:J87"/>
    <mergeCell ref="J88:J90"/>
    <mergeCell ref="J91:J95"/>
    <mergeCell ref="J96:J98"/>
    <mergeCell ref="J99:J102"/>
    <mergeCell ref="C617:C618"/>
    <mergeCell ref="D632:D635"/>
    <mergeCell ref="D642:D644"/>
    <mergeCell ref="D636:D640"/>
    <mergeCell ref="D619:D620"/>
    <mergeCell ref="D621:D622"/>
    <mergeCell ref="D623:D624"/>
    <mergeCell ref="D626:D627"/>
    <mergeCell ref="D628:D631"/>
    <mergeCell ref="D559:D564"/>
    <mergeCell ref="D565:D566"/>
    <mergeCell ref="D568:D569"/>
    <mergeCell ref="D573:D574"/>
    <mergeCell ref="D533:D535"/>
    <mergeCell ref="D536:D539"/>
    <mergeCell ref="D505:D508"/>
    <mergeCell ref="D509:D512"/>
    <mergeCell ref="D516:D519"/>
    <mergeCell ref="D520:D523"/>
    <mergeCell ref="D524:D525"/>
    <mergeCell ref="D540:D544"/>
    <mergeCell ref="D545:D547"/>
    <mergeCell ref="D548:D550"/>
    <mergeCell ref="D554:D558"/>
    <mergeCell ref="D487:D490"/>
    <mergeCell ref="D494:D497"/>
    <mergeCell ref="D499:D503"/>
    <mergeCell ref="D529:D532"/>
    <mergeCell ref="D103:D108"/>
    <mergeCell ref="D99:D102"/>
    <mergeCell ref="D79:D83"/>
    <mergeCell ref="D84:D87"/>
    <mergeCell ref="D69:D73"/>
    <mergeCell ref="D140:D145"/>
    <mergeCell ref="D439:D442"/>
    <mergeCell ref="D446:D447"/>
    <mergeCell ref="D448:D449"/>
    <mergeCell ref="D456:D457"/>
    <mergeCell ref="D458:D459"/>
    <mergeCell ref="D461:D462"/>
    <mergeCell ref="D463:D464"/>
    <mergeCell ref="D465:D467"/>
    <mergeCell ref="D468:D473"/>
    <mergeCell ref="D474:D476"/>
    <mergeCell ref="D146:D149"/>
    <mergeCell ref="D175:D177"/>
    <mergeCell ref="D181:D183"/>
    <mergeCell ref="D481:D483"/>
    <mergeCell ref="D65:D68"/>
    <mergeCell ref="D55:D57"/>
    <mergeCell ref="D58:D61"/>
    <mergeCell ref="D74:D78"/>
    <mergeCell ref="D126:D129"/>
    <mergeCell ref="D132:D133"/>
    <mergeCell ref="D137:D139"/>
    <mergeCell ref="D88:D90"/>
    <mergeCell ref="D91:D95"/>
    <mergeCell ref="D96:D98"/>
    <mergeCell ref="D62:D64"/>
    <mergeCell ref="D124:D125"/>
    <mergeCell ref="D115:D120"/>
    <mergeCell ref="D110:D111"/>
    <mergeCell ref="D112:D114"/>
    <mergeCell ref="D121:D122"/>
    <mergeCell ref="J3:J8"/>
    <mergeCell ref="D43:D46"/>
    <mergeCell ref="J25:J34"/>
    <mergeCell ref="E27:E30"/>
    <mergeCell ref="J43:J46"/>
    <mergeCell ref="D3:D8"/>
    <mergeCell ref="J47:J54"/>
    <mergeCell ref="D47:D54"/>
    <mergeCell ref="J55:J57"/>
    <mergeCell ref="J58:J61"/>
    <mergeCell ref="J62:J64"/>
    <mergeCell ref="E12:E13"/>
    <mergeCell ref="D9:D17"/>
    <mergeCell ref="J35:J42"/>
    <mergeCell ref="J18:J24"/>
    <mergeCell ref="J9:J17"/>
    <mergeCell ref="D18:D24"/>
    <mergeCell ref="D25:D34"/>
    <mergeCell ref="E53:E54"/>
    <mergeCell ref="F53:F54"/>
    <mergeCell ref="E56:E57"/>
    <mergeCell ref="F56:F57"/>
    <mergeCell ref="D1:H1"/>
    <mergeCell ref="F5:F6"/>
    <mergeCell ref="E31:E34"/>
    <mergeCell ref="E3:E7"/>
    <mergeCell ref="E25:E26"/>
    <mergeCell ref="F29:F30"/>
    <mergeCell ref="E21:E22"/>
    <mergeCell ref="F21:F22"/>
    <mergeCell ref="D35:D42"/>
    <mergeCell ref="E40:E42"/>
    <mergeCell ref="D218:D220"/>
    <mergeCell ref="D221:D222"/>
    <mergeCell ref="D240:D241"/>
    <mergeCell ref="D243:D244"/>
    <mergeCell ref="D184:D185"/>
    <mergeCell ref="D188:D189"/>
    <mergeCell ref="D151:D153"/>
    <mergeCell ref="D154:D156"/>
    <mergeCell ref="D158:D161"/>
    <mergeCell ref="D162:D167"/>
    <mergeCell ref="D168:D170"/>
    <mergeCell ref="D191:D194"/>
    <mergeCell ref="D195:D197"/>
    <mergeCell ref="D215:D217"/>
    <mergeCell ref="C276:C277"/>
    <mergeCell ref="D278:D279"/>
    <mergeCell ref="D280:D283"/>
    <mergeCell ref="D284:D287"/>
    <mergeCell ref="D289:D292"/>
    <mergeCell ref="D293:D295"/>
    <mergeCell ref="D296:D299"/>
    <mergeCell ref="D245:D246"/>
    <mergeCell ref="D247:D248"/>
    <mergeCell ref="D250:D253"/>
    <mergeCell ref="D254:D256"/>
    <mergeCell ref="D436:D438"/>
    <mergeCell ref="D405:D406"/>
    <mergeCell ref="D407:D408"/>
    <mergeCell ref="D410:D414"/>
    <mergeCell ref="D415:D416"/>
    <mergeCell ref="D417:D418"/>
    <mergeCell ref="D419:D423"/>
    <mergeCell ref="D424:D427"/>
    <mergeCell ref="D430:D431"/>
    <mergeCell ref="D432:D435"/>
    <mergeCell ref="D379:D383"/>
    <mergeCell ref="D384:D388"/>
    <mergeCell ref="D389:D391"/>
    <mergeCell ref="D393:D398"/>
    <mergeCell ref="D400:D404"/>
    <mergeCell ref="D300:D302"/>
    <mergeCell ref="D305:D308"/>
    <mergeCell ref="D309:D312"/>
    <mergeCell ref="D318:D321"/>
    <mergeCell ref="D323:D327"/>
    <mergeCell ref="D329:D336"/>
    <mergeCell ref="D337:D341"/>
    <mergeCell ref="D313:D317"/>
    <mergeCell ref="D369:D373"/>
    <mergeCell ref="D450:D452"/>
    <mergeCell ref="E72:E73"/>
    <mergeCell ref="E77:E78"/>
    <mergeCell ref="E82:E83"/>
    <mergeCell ref="E94:E95"/>
    <mergeCell ref="E101:E102"/>
    <mergeCell ref="D374:D378"/>
    <mergeCell ref="D342:D344"/>
    <mergeCell ref="D345:D351"/>
    <mergeCell ref="D352:D358"/>
    <mergeCell ref="D361:D362"/>
    <mergeCell ref="D365:D366"/>
    <mergeCell ref="D367:D368"/>
    <mergeCell ref="D257:D258"/>
    <mergeCell ref="D276:D277"/>
    <mergeCell ref="D226:D227"/>
    <mergeCell ref="D228:D230"/>
    <mergeCell ref="D231:D232"/>
    <mergeCell ref="D233:D234"/>
    <mergeCell ref="D237:D239"/>
    <mergeCell ref="D203:D204"/>
    <mergeCell ref="D199:D202"/>
    <mergeCell ref="D207:D210"/>
    <mergeCell ref="D213:D214"/>
  </mergeCells>
  <hyperlinks>
    <hyperlink ref="G3" r:id="rId1"/>
    <hyperlink ref="G10" r:id="rId2"/>
    <hyperlink ref="G5" r:id="rId3"/>
    <hyperlink ref="G6" r:id="rId4"/>
    <hyperlink ref="G4" r:id="rId5"/>
    <hyperlink ref="G7" r:id="rId6"/>
    <hyperlink ref="G20" r:id="rId7"/>
    <hyperlink ref="G32" r:id="rId8"/>
    <hyperlink ref="G33" r:id="rId9"/>
    <hyperlink ref="G34" r:id="rId10"/>
    <hyperlink ref="G27" r:id="rId11"/>
    <hyperlink ref="G30" r:id="rId12"/>
    <hyperlink ref="G43" r:id="rId13"/>
    <hyperlink ref="G37" r:id="rId14"/>
    <hyperlink ref="G35" r:id="rId15"/>
    <hyperlink ref="G48" r:id="rId16"/>
    <hyperlink ref="G49" r:id="rId17"/>
    <hyperlink ref="E240" r:id="rId18"/>
    <hyperlink ref="G112" r:id="rId19"/>
    <hyperlink ref="G116" r:id="rId20"/>
    <hyperlink ref="G117" r:id="rId21"/>
    <hyperlink ref="G138" r:id="rId22"/>
    <hyperlink ref="G151" r:id="rId23"/>
    <hyperlink ref="G154" r:id="rId24"/>
    <hyperlink ref="G158" r:id="rId25"/>
    <hyperlink ref="G162" r:id="rId26"/>
    <hyperlink ref="G163" r:id="rId27"/>
    <hyperlink ref="G164" r:id="rId28"/>
    <hyperlink ref="G165" r:id="rId29"/>
    <hyperlink ref="G168" r:id="rId30"/>
    <hyperlink ref="G182" r:id="rId31"/>
    <hyperlink ref="G188" r:id="rId32"/>
    <hyperlink ref="G191" r:id="rId33"/>
    <hyperlink ref="G209" r:id="rId34"/>
    <hyperlink ref="G213" r:id="rId35"/>
    <hyperlink ref="G215" r:id="rId36"/>
    <hyperlink ref="G214" r:id="rId37"/>
    <hyperlink ref="G216" r:id="rId38"/>
    <hyperlink ref="G218" r:id="rId39"/>
    <hyperlink ref="G219" r:id="rId40"/>
    <hyperlink ref="G221" r:id="rId41"/>
    <hyperlink ref="G222" r:id="rId42"/>
    <hyperlink ref="G240" r:id="rId43"/>
    <hyperlink ref="G330" r:id="rId44"/>
    <hyperlink ref="G331" r:id="rId45"/>
    <hyperlink ref="G355" r:id="rId46"/>
    <hyperlink ref="G357" r:id="rId47"/>
    <hyperlink ref="G376" r:id="rId48"/>
    <hyperlink ref="G375" r:id="rId49" location="/biblioteca.php"/>
    <hyperlink ref="G377" r:id="rId50" display="http://biblioteca.udistrital.edu.co/F/KXM99GJYUFJM37KLUDC6IBN8NX5Q9CMTB1LS9JEQVBV2KP5KRY-50172?func=find-b&amp;request=Alta%20redacci%C3%B3n.%20Informes%20t%C3%A9cnicos%20y%20administrativos&amp;find_code=WTI&amp;adjacent=N&amp;x=-559&amp;y=-403&amp;filter_code_1=WLN&amp;filter_request_1=&amp;filter_code_2=WYR&amp;filter_request_2=&amp;filter_code_3=WYR&amp;filter_request_3=&amp;filter_code_4=WFM&amp;filter_request_4=&amp;filter_code_5=WSL&amp;filter_request_5="/>
    <hyperlink ref="G424" r:id="rId51"/>
    <hyperlink ref="G440" r:id="rId52"/>
    <hyperlink ref="G470" r:id="rId53"/>
    <hyperlink ref="G469" r:id="rId54"/>
    <hyperlink ref="G489" r:id="rId55"/>
    <hyperlink ref="G507" r:id="rId56"/>
    <hyperlink ref="G518" r:id="rId57"/>
    <hyperlink ref="G555" r:id="rId58"/>
    <hyperlink ref="G615" r:id="rId59"/>
    <hyperlink ref="G632" r:id="rId60"/>
    <hyperlink ref="G9" r:id="rId61"/>
    <hyperlink ref="G13" r:id="rId62"/>
    <hyperlink ref="G15" r:id="rId63"/>
    <hyperlink ref="G16" r:id="rId64"/>
    <hyperlink ref="G17" r:id="rId65"/>
    <hyperlink ref="G19" r:id="rId66"/>
    <hyperlink ref="G24" r:id="rId67"/>
    <hyperlink ref="G23" r:id="rId68"/>
    <hyperlink ref="G25" r:id="rId69"/>
    <hyperlink ref="G26" r:id="rId70"/>
    <hyperlink ref="G29" r:id="rId71"/>
    <hyperlink ref="G21" r:id="rId72"/>
    <hyperlink ref="G22" r:id="rId73"/>
    <hyperlink ref="G14" r:id="rId74"/>
    <hyperlink ref="G39" r:id="rId75"/>
    <hyperlink ref="G42" r:id="rId76"/>
    <hyperlink ref="G40" r:id="rId77"/>
    <hyperlink ref="G41" r:id="rId78"/>
    <hyperlink ref="G44" r:id="rId79"/>
    <hyperlink ref="G140" r:id="rId80"/>
    <hyperlink ref="G141" r:id="rId81"/>
    <hyperlink ref="G142" r:id="rId82"/>
    <hyperlink ref="G143" r:id="rId83" location="81_anchor"/>
    <hyperlink ref="G144" r:id="rId84" location="81_anchor"/>
    <hyperlink ref="G146" r:id="rId85"/>
    <hyperlink ref="G149" r:id="rId86"/>
    <hyperlink ref="G153" r:id="rId87"/>
    <hyperlink ref="G155" r:id="rId88"/>
    <hyperlink ref="G157" r:id="rId89"/>
    <hyperlink ref="G159" r:id="rId90"/>
    <hyperlink ref="G160" r:id="rId91"/>
    <hyperlink ref="G606" r:id="rId92"/>
    <hyperlink ref="G609" r:id="rId93"/>
    <hyperlink ref="G607" r:id="rId94"/>
    <hyperlink ref="G610" r:id="rId95"/>
    <hyperlink ref="G611" r:id="rId96"/>
    <hyperlink ref="G613" r:id="rId97"/>
    <hyperlink ref="G614" r:id="rId98"/>
    <hyperlink ref="G631" r:id="rId99"/>
    <hyperlink ref="G636" r:id="rId100"/>
    <hyperlink ref="G637" r:id="rId101"/>
    <hyperlink ref="G638" r:id="rId102"/>
    <hyperlink ref="G639" r:id="rId103"/>
    <hyperlink ref="G640" r:id="rId104"/>
    <hyperlink ref="G641" r:id="rId105" location="http://www1.udistrital.edu.co:8080/documents/27581/0/informe+estados+contables"/>
    <hyperlink ref="G643" r:id="rId106"/>
    <hyperlink ref="G616" r:id="rId107"/>
    <hyperlink ref="G629" r:id="rId108"/>
    <hyperlink ref="G224" r:id="rId109"/>
    <hyperlink ref="G225" r:id="rId110"/>
    <hyperlink ref="G226" r:id="rId111"/>
    <hyperlink ref="G227" r:id="rId112"/>
    <hyperlink ref="G228" r:id="rId113"/>
    <hyperlink ref="G229" r:id="rId114"/>
    <hyperlink ref="G231" r:id="rId115"/>
    <hyperlink ref="G232" r:id="rId116"/>
    <hyperlink ref="G233" r:id="rId117"/>
    <hyperlink ref="G234" r:id="rId118"/>
    <hyperlink ref="G237" r:id="rId119"/>
    <hyperlink ref="G238" r:id="rId120"/>
    <hyperlink ref="G243" r:id="rId121"/>
    <hyperlink ref="G244" r:id="rId122"/>
    <hyperlink ref="G245" r:id="rId123"/>
    <hyperlink ref="G247" r:id="rId124"/>
    <hyperlink ref="G249" r:id="rId125"/>
    <hyperlink ref="G250" r:id="rId126"/>
    <hyperlink ref="G252" r:id="rId127"/>
    <hyperlink ref="G253" r:id="rId128"/>
    <hyperlink ref="G262" r:id="rId129"/>
    <hyperlink ref="G644" r:id="rId130"/>
    <hyperlink ref="G254" r:id="rId131"/>
    <hyperlink ref="G255" r:id="rId132"/>
    <hyperlink ref="G256" r:id="rId133"/>
    <hyperlink ref="G257" r:id="rId134"/>
    <hyperlink ref="G260" r:id="rId135"/>
    <hyperlink ref="G251" r:id="rId136"/>
    <hyperlink ref="G264" r:id="rId137"/>
    <hyperlink ref="G265" r:id="rId138"/>
    <hyperlink ref="G266" r:id="rId139"/>
    <hyperlink ref="G397" r:id="rId140"/>
    <hyperlink ref="G398" r:id="rId141"/>
    <hyperlink ref="G278" r:id="rId142"/>
    <hyperlink ref="G280" r:id="rId143"/>
    <hyperlink ref="G282" r:id="rId144"/>
    <hyperlink ref="G284" r:id="rId145"/>
    <hyperlink ref="G286" r:id="rId146"/>
    <hyperlink ref="G289" r:id="rId147"/>
    <hyperlink ref="G291" r:id="rId148"/>
    <hyperlink ref="G293" r:id="rId149"/>
    <hyperlink ref="G294" r:id="rId150"/>
    <hyperlink ref="G297" r:id="rId151"/>
    <hyperlink ref="G298" r:id="rId152"/>
    <hyperlink ref="G299" r:id="rId153"/>
    <hyperlink ref="G301" r:id="rId154"/>
    <hyperlink ref="G302" r:id="rId155"/>
    <hyperlink ref="G300" r:id="rId156"/>
    <hyperlink ref="G306" r:id="rId157"/>
    <hyperlink ref="G307" r:id="rId158"/>
    <hyperlink ref="G308" r:id="rId159"/>
    <hyperlink ref="G305" r:id="rId160"/>
    <hyperlink ref="G310" r:id="rId161"/>
    <hyperlink ref="G311" r:id="rId162"/>
    <hyperlink ref="G312" r:id="rId163"/>
    <hyperlink ref="G309" r:id="rId164"/>
    <hyperlink ref="G314" r:id="rId165"/>
    <hyperlink ref="G315" r:id="rId166"/>
    <hyperlink ref="G316" r:id="rId167"/>
    <hyperlink ref="G313" r:id="rId168"/>
    <hyperlink ref="G319" r:id="rId169"/>
    <hyperlink ref="G320" r:id="rId170"/>
    <hyperlink ref="G321" r:id="rId171"/>
    <hyperlink ref="G318" r:id="rId172"/>
    <hyperlink ref="G324" r:id="rId173"/>
    <hyperlink ref="G325" r:id="rId174"/>
    <hyperlink ref="G326" r:id="rId175"/>
    <hyperlink ref="G323" r:id="rId176"/>
    <hyperlink ref="G329" r:id="rId177"/>
    <hyperlink ref="G334" r:id="rId178"/>
    <hyperlink ref="G332" r:id="rId179"/>
    <hyperlink ref="G333" r:id="rId180"/>
    <hyperlink ref="G335" r:id="rId181"/>
    <hyperlink ref="G336" r:id="rId182"/>
    <hyperlink ref="G338" r:id="rId183"/>
    <hyperlink ref="G339" r:id="rId184"/>
    <hyperlink ref="G337" r:id="rId185"/>
    <hyperlink ref="G341" r:id="rId186"/>
    <hyperlink ref="G343" r:id="rId187"/>
    <hyperlink ref="G346" r:id="rId188"/>
    <hyperlink ref="G347" r:id="rId189"/>
    <hyperlink ref="G345" r:id="rId190"/>
    <hyperlink ref="G350" r:id="rId191"/>
    <hyperlink ref="G353" r:id="rId192"/>
    <hyperlink ref="G352" r:id="rId193"/>
    <hyperlink ref="G369" r:id="rId194"/>
    <hyperlink ref="G370" r:id="rId195"/>
    <hyperlink ref="G371" r:id="rId196"/>
    <hyperlink ref="G372" r:id="rId197"/>
    <hyperlink ref="G374" r:id="rId198"/>
    <hyperlink ref="G380" r:id="rId199"/>
    <hyperlink ref="G381" r:id="rId200"/>
    <hyperlink ref="G379" r:id="rId201"/>
    <hyperlink ref="G384" r:id="rId202"/>
    <hyperlink ref="G385" r:id="rId203"/>
    <hyperlink ref="G390" r:id="rId204"/>
    <hyperlink ref="G391" r:id="rId205"/>
    <hyperlink ref="G394" r:id="rId206"/>
    <hyperlink ref="G395" r:id="rId207"/>
    <hyperlink ref="G393" r:id="rId208"/>
    <hyperlink ref="G402" r:id="rId209"/>
    <hyperlink ref="G403" r:id="rId210"/>
    <hyperlink ref="G411" r:id="rId211"/>
    <hyperlink ref="G412" r:id="rId212"/>
    <hyperlink ref="G410" r:id="rId213"/>
    <hyperlink ref="G419" r:id="rId214"/>
    <hyperlink ref="G426" r:id="rId215"/>
    <hyperlink ref="G505" r:id="rId216"/>
    <hyperlink ref="G509" r:id="rId217"/>
    <hyperlink ref="G511" r:id="rId218"/>
    <hyperlink ref="G516" r:id="rId219"/>
    <hyperlink ref="G517" r:id="rId220"/>
    <hyperlink ref="G521" r:id="rId221"/>
    <hyperlink ref="G529" r:id="rId222"/>
    <hyperlink ref="G530" r:id="rId223"/>
    <hyperlink ref="G531" r:id="rId224"/>
    <hyperlink ref="G468" r:id="rId225"/>
    <hyperlink ref="G471" r:id="rId226"/>
    <hyperlink ref="G473" r:id="rId227"/>
    <hyperlink ref="G474" r:id="rId228"/>
    <hyperlink ref="G481" r:id="rId229"/>
    <hyperlink ref="G482" r:id="rId230"/>
    <hyperlink ref="G483" r:id="rId231"/>
    <hyperlink ref="G487" r:id="rId232"/>
    <hyperlink ref="G490" r:id="rId233"/>
    <hyperlink ref="G491" r:id="rId234"/>
    <hyperlink ref="G494" r:id="rId235"/>
    <hyperlink ref="G495" r:id="rId236"/>
    <hyperlink ref="G496" r:id="rId237"/>
    <hyperlink ref="G498" r:id="rId238"/>
    <hyperlink ref="G499" r:id="rId239"/>
    <hyperlink ref="G504" r:id="rId240"/>
    <hyperlink ref="G65" r:id="rId241"/>
    <hyperlink ref="G69" r:id="rId242"/>
    <hyperlink ref="G74" r:id="rId243"/>
    <hyperlink ref="G79" r:id="rId244"/>
    <hyperlink ref="G84" r:id="rId245"/>
    <hyperlink ref="G88" r:id="rId246"/>
    <hyperlink ref="G96" r:id="rId247"/>
    <hyperlink ref="G195" r:id="rId248"/>
    <hyperlink ref="G192" r:id="rId249"/>
    <hyperlink ref="G181" r:id="rId250"/>
    <hyperlink ref="G429" r:id="rId251"/>
    <hyperlink ref="G439" r:id="rId252"/>
    <hyperlink ref="G436" r:id="rId253"/>
    <hyperlink ref="G431" r:id="rId254"/>
    <hyperlink ref="G433" r:id="rId255"/>
    <hyperlink ref="G445" r:id="rId256"/>
    <hyperlink ref="G432" r:id="rId257"/>
    <hyperlink ref="G443" r:id="rId258"/>
    <hyperlink ref="G99" r:id="rId259"/>
    <hyperlink ref="G437" r:id="rId260" display="http://ceri.udistrital.edu.co/directorios/convenios"/>
    <hyperlink ref="G451" r:id="rId261"/>
    <hyperlink ref="G454" r:id="rId262"/>
    <hyperlink ref="G465" r:id="rId263"/>
    <hyperlink ref="G582" r:id="rId264"/>
    <hyperlink ref="G583" r:id="rId265"/>
    <hyperlink ref="G584" r:id="rId266"/>
    <hyperlink ref="G590" r:id="rId267"/>
    <hyperlink ref="G8" r:id="rId268"/>
    <hyperlink ref="G36" r:id="rId269"/>
    <hyperlink ref="G47" r:id="rId270"/>
    <hyperlink ref="G50" r:id="rId271"/>
    <hyperlink ref="G51" r:id="rId272"/>
    <hyperlink ref="G52" r:id="rId273"/>
    <hyperlink ref="G53" r:id="rId274"/>
    <hyperlink ref="G54" r:id="rId275"/>
    <hyperlink ref="G55" r:id="rId276"/>
    <hyperlink ref="G56" r:id="rId277"/>
    <hyperlink ref="G57" r:id="rId278"/>
    <hyperlink ref="G60" r:id="rId279"/>
    <hyperlink ref="G59" r:id="rId280"/>
    <hyperlink ref="G58" r:id="rId281"/>
    <hyperlink ref="G62" r:id="rId282"/>
    <hyperlink ref="G63" r:id="rId283"/>
    <hyperlink ref="G64" r:id="rId284"/>
    <hyperlink ref="G11" r:id="rId285"/>
    <hyperlink ref="G66" r:id="rId286"/>
    <hyperlink ref="G70" r:id="rId287"/>
    <hyperlink ref="G75" r:id="rId288"/>
    <hyperlink ref="G80" r:id="rId289"/>
    <hyperlink ref="G85" r:id="rId290"/>
    <hyperlink ref="G89" r:id="rId291"/>
    <hyperlink ref="G97" r:id="rId292"/>
    <hyperlink ref="G533" r:id="rId293"/>
    <hyperlink ref="G534" r:id="rId294"/>
    <hyperlink ref="G535" r:id="rId295"/>
    <hyperlink ref="G536" r:id="rId296"/>
    <hyperlink ref="G537" r:id="rId297"/>
    <hyperlink ref="G538" r:id="rId298"/>
    <hyperlink ref="G546" r:id="rId299"/>
    <hyperlink ref="G545" r:id="rId300"/>
    <hyperlink ref="G547" r:id="rId301"/>
    <hyperlink ref="G551" r:id="rId302"/>
    <hyperlink ref="G549" r:id="rId303"/>
    <hyperlink ref="G576" r:id="rId304"/>
    <hyperlink ref="G577" r:id="rId305"/>
    <hyperlink ref="G12" r:id="rId306"/>
    <hyperlink ref="G542" r:id="rId307"/>
    <hyperlink ref="G540" r:id="rId308"/>
    <hyperlink ref="G543" r:id="rId309"/>
    <hyperlink ref="G550" r:id="rId310"/>
    <hyperlink ref="G568" r:id="rId311"/>
    <hyperlink ref="G566" r:id="rId312"/>
    <hyperlink ref="G573" r:id="rId313"/>
    <hyperlink ref="G574" r:id="rId314"/>
    <hyperlink ref="G72" r:id="rId315"/>
    <hyperlink ref="G73" r:id="rId316"/>
    <hyperlink ref="G77" r:id="rId317"/>
    <hyperlink ref="G78" r:id="rId318"/>
    <hyperlink ref="G82" r:id="rId319"/>
    <hyperlink ref="G83" r:id="rId320"/>
    <hyperlink ref="G94" r:id="rId321"/>
    <hyperlink ref="G95" r:id="rId322"/>
    <hyperlink ref="G101" r:id="rId323"/>
    <hyperlink ref="G102" r:id="rId324"/>
    <hyperlink ref="G108" r:id="rId325"/>
    <hyperlink ref="G103" r:id="rId326"/>
    <hyperlink ref="G113" r:id="rId327"/>
    <hyperlink ref="G115" r:id="rId328"/>
    <hyperlink ref="G444" r:id="rId329"/>
    <hyperlink ref="G449" r:id="rId330"/>
    <hyperlink ref="G450" r:id="rId331"/>
    <hyperlink ref="G456" r:id="rId332"/>
    <hyperlink ref="G460" r:id="rId333"/>
    <hyperlink ref="G463" r:id="rId334"/>
    <hyperlink ref="G506" r:id="rId335"/>
    <hyperlink ref="G508" r:id="rId336"/>
    <hyperlink ref="G510" r:id="rId337"/>
    <hyperlink ref="G512" r:id="rId338"/>
    <hyperlink ref="G513" r:id="rId339"/>
    <hyperlink ref="G519" r:id="rId340"/>
    <hyperlink ref="G527" r:id="rId341"/>
    <hyperlink ref="G532" r:id="rId342"/>
    <hyperlink ref="G586" r:id="rId343"/>
    <hyperlink ref="G588" location="'Respuestas EGRESADOS'!A1" display="'Respuestas EGRESADOS'!A1"/>
    <hyperlink ref="G593" r:id="rId344"/>
    <hyperlink ref="G594" r:id="rId345"/>
    <hyperlink ref="G592" r:id="rId346"/>
    <hyperlink ref="G595" r:id="rId347"/>
    <hyperlink ref="G596" r:id="rId348" display="http://www1.udistrital.edu.co:8080/web/comite-de-autoevaluacion-y-acreditacion-facultad-tecnologica/planes-de-accion,     "/>
    <hyperlink ref="G599" r:id="rId349"/>
    <hyperlink ref="G600" r:id="rId350"/>
    <hyperlink ref="G604" r:id="rId351"/>
    <hyperlink ref="G605" r:id="rId352"/>
    <hyperlink ref="G617" r:id="rId353"/>
    <hyperlink ref="G619" r:id="rId354"/>
    <hyperlink ref="G620" r:id="rId355"/>
    <hyperlink ref="G618" r:id="rId356"/>
    <hyperlink ref="G621" r:id="rId357"/>
    <hyperlink ref="G622" r:id="rId358"/>
    <hyperlink ref="G624" r:id="rId359"/>
    <hyperlink ref="G623" r:id="rId360"/>
    <hyperlink ref="G626" r:id="rId361"/>
    <hyperlink ref="G627" r:id="rId362"/>
    <hyperlink ref="G118" r:id="rId363"/>
    <hyperlink ref="G119" r:id="rId364"/>
    <hyperlink ref="G120" r:id="rId365"/>
    <hyperlink ref="G123" r:id="rId366"/>
    <hyperlink ref="G124" r:id="rId367"/>
    <hyperlink ref="G125" r:id="rId368"/>
    <hyperlink ref="G126" r:id="rId369"/>
    <hyperlink ref="G129" r:id="rId370"/>
    <hyperlink ref="G131" r:id="rId371" location="http://bienestar.udistrital.edu.co:8080/documents/76275/8173191/BOLETIN++INFOBIENESTAR+07 "/>
    <hyperlink ref="G132" r:id="rId372"/>
    <hyperlink ref="G133" r:id="rId373"/>
    <hyperlink ref="G135" r:id="rId374"/>
    <hyperlink ref="G137" r:id="rId375" location="http://bienestar.udistrital.edu.co:8080/documents/76275/8173191/BOLETIN++INFOBIENESTAR+07 "/>
    <hyperlink ref="G139" r:id="rId376"/>
    <hyperlink ref="G145" r:id="rId377"/>
    <hyperlink ref="G148" r:id="rId378"/>
    <hyperlink ref="G166" r:id="rId379"/>
    <hyperlink ref="G167" r:id="rId380"/>
    <hyperlink ref="G169" r:id="rId381"/>
    <hyperlink ref="G170" r:id="rId382"/>
    <hyperlink ref="G172" r:id="rId383"/>
    <hyperlink ref="G171" r:id="rId384"/>
    <hyperlink ref="G175" r:id="rId385"/>
    <hyperlink ref="G177" r:id="rId386"/>
    <hyperlink ref="G176" r:id="rId387"/>
    <hyperlink ref="G180" r:id="rId388" display="file:///C:/Users/cacreditaciontec1/AppData/Roaming/Microsoft/Excel/Factor 1/Anexo 45. Autoevaluacion 2013.pdf"/>
    <hyperlink ref="G183" r:id="rId389"/>
    <hyperlink ref="G187" r:id="rId390"/>
    <hyperlink ref="G193" r:id="rId391"/>
    <hyperlink ref="G199" r:id="rId392"/>
    <hyperlink ref="G201" r:id="rId393"/>
    <hyperlink ref="G202" r:id="rId394"/>
    <hyperlink ref="G203" r:id="rId395"/>
    <hyperlink ref="G211" r:id="rId396"/>
    <hyperlink ref="G208" r:id="rId397"/>
    <hyperlink ref="G248" r:id="rId398"/>
    <hyperlink ref="G417" r:id="rId399"/>
    <hyperlink ref="G423" r:id="rId400"/>
    <hyperlink ref="G360" r:id="rId401" display="http://idexud.udistrital.edu.co/idexud/boletines/boletin-11-2018.html"/>
    <hyperlink ref="G361" r:id="rId402"/>
    <hyperlink ref="G365" r:id="rId403"/>
    <hyperlink ref="G364" r:id="rId404"/>
    <hyperlink ref="G362" r:id="rId405"/>
    <hyperlink ref="G366" r:id="rId406"/>
    <hyperlink ref="G367" r:id="rId407"/>
    <hyperlink ref="G342" r:id="rId408"/>
    <hyperlink ref="G348" r:id="rId409"/>
    <hyperlink ref="G28" r:id="rId410" display="http://bienestar.udistrital.edu.co:8080/inicio/-/asset_publisher/YSp3/content/procesos-de-renovacion-icetex-2016?redirect=http%3A%2F%2Fbienestar.udistrital.edu.co%3A8080%2Finicio%3Fp_p_id%3D101_INSTANCE_YSp3%26p_p_lifecycle%3D0%26p_p_state%3Dnormal%26p_p_mode%3Dview%26p_p_col_id%3Dcolumn-1%26p_p_col_pos%3D1%26p_p_col_count%3D2"/>
    <hyperlink ref="G46" r:id="rId411"/>
    <hyperlink ref="G105" r:id="rId412"/>
    <hyperlink ref="G106" r:id="rId413"/>
    <hyperlink ref="G104" r:id="rId414"/>
    <hyperlink ref="G184" r:id="rId415"/>
    <hyperlink ref="G185" r:id="rId416"/>
    <hyperlink ref="G190" r:id="rId417"/>
    <hyperlink ref="G194" r:id="rId418"/>
    <hyperlink ref="G196" r:id="rId419"/>
    <hyperlink ref="G197" r:id="rId420"/>
    <hyperlink ref="G200" r:id="rId421" location="sthash.VcPG5HoX.dpbs "/>
    <hyperlink ref="G206" r:id="rId422"/>
    <hyperlink ref="G210" r:id="rId423"/>
    <hyperlink ref="G220" r:id="rId424"/>
    <hyperlink ref="G230" r:id="rId425"/>
    <hyperlink ref="G239" r:id="rId426"/>
    <hyperlink ref="G354" r:id="rId427"/>
    <hyperlink ref="G373" r:id="rId428"/>
    <hyperlink ref="G386" r:id="rId429"/>
    <hyperlink ref="G421" r:id="rId430"/>
    <hyperlink ref="G427" r:id="rId431"/>
    <hyperlink ref="G258" r:id="rId432"/>
    <hyperlink ref="G261" r:id="rId433"/>
    <hyperlink ref="G268" r:id="rId434"/>
    <hyperlink ref="G269" r:id="rId435"/>
    <hyperlink ref="G271" r:id="rId436"/>
    <hyperlink ref="G273" r:id="rId437"/>
    <hyperlink ref="G272" r:id="rId438"/>
    <hyperlink ref="G274" r:id="rId439"/>
    <hyperlink ref="G275" r:id="rId440"/>
    <hyperlink ref="G277" r:id="rId441"/>
    <hyperlink ref="G276" r:id="rId442"/>
    <hyperlink ref="G279" r:id="rId443"/>
    <hyperlink ref="G281" r:id="rId444"/>
    <hyperlink ref="G285" r:id="rId445"/>
    <hyperlink ref="G287" r:id="rId446"/>
    <hyperlink ref="G290" r:id="rId447"/>
    <hyperlink ref="G359" r:id="rId448"/>
    <hyperlink ref="G358" r:id="rId449" display="http://idexud.udistrital.edu.co/idexud/actascomite/upload/as03_cce_25062015.pdf"/>
    <hyperlink ref="G399" r:id="rId450"/>
    <hyperlink ref="G400" r:id="rId451"/>
    <hyperlink ref="G401" r:id="rId452"/>
    <hyperlink ref="G405" r:id="rId453"/>
    <hyperlink ref="G406" r:id="rId454"/>
    <hyperlink ref="G407" r:id="rId455"/>
    <hyperlink ref="G408" r:id="rId456"/>
    <hyperlink ref="G415" r:id="rId457"/>
    <hyperlink ref="G414" r:id="rId458"/>
    <hyperlink ref="G418" r:id="rId459"/>
    <hyperlink ref="G416" r:id="rId460"/>
    <hyperlink ref="G422" r:id="rId461"/>
    <hyperlink ref="G420" r:id="rId462"/>
    <hyperlink ref="G442" r:id="rId463"/>
    <hyperlink ref="G441" r:id="rId464"/>
    <hyperlink ref="G458" r:id="rId465"/>
    <hyperlink ref="G459" r:id="rId466"/>
    <hyperlink ref="G544" r:id="rId467"/>
    <hyperlink ref="G539" r:id="rId468"/>
    <hyperlink ref="G548" r:id="rId469"/>
    <hyperlink ref="G580" r:id="rId470"/>
    <hyperlink ref="G579" r:id="rId471"/>
    <hyperlink ref="G578" r:id="rId472"/>
    <hyperlink ref="G598" location="'Respuestas EGRESADOS'!A1" display="'Respuestas EGRESADOS'!A1"/>
    <hyperlink ref="G601" r:id="rId473"/>
  </hyperlinks>
  <pageMargins left="0.7" right="0.7" top="0.75" bottom="0.75" header="0.3" footer="0.3"/>
  <pageSetup orientation="portrait" r:id="rId474"/>
  <legacyDrawing r:id="rId47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271"/>
  <sheetViews>
    <sheetView zoomScale="90" zoomScaleNormal="90" workbookViewId="0">
      <selection activeCell="E190" sqref="E190"/>
    </sheetView>
  </sheetViews>
  <sheetFormatPr baseColWidth="10" defaultColWidth="11.42578125" defaultRowHeight="15" x14ac:dyDescent="0.25"/>
  <cols>
    <col min="1" max="1" width="6.85546875" style="39" bestFit="1" customWidth="1"/>
    <col min="2" max="2" width="3.7109375" style="39" bestFit="1" customWidth="1"/>
    <col min="3" max="3" width="3.42578125" style="39" bestFit="1" customWidth="1"/>
    <col min="4" max="4" width="44.7109375" style="39" customWidth="1"/>
    <col min="5" max="5" width="61.140625" style="39" bestFit="1" customWidth="1"/>
    <col min="6" max="6" width="7.42578125" style="39" bestFit="1" customWidth="1"/>
    <col min="7" max="7" width="74.28515625" style="39" customWidth="1"/>
    <col min="8" max="8" width="64.42578125" style="39" bestFit="1" customWidth="1"/>
    <col min="9" max="9" width="14.140625" style="39" bestFit="1" customWidth="1"/>
    <col min="10" max="10" width="11.42578125" style="39"/>
    <col min="11" max="11" width="6.42578125" style="39" bestFit="1" customWidth="1"/>
    <col min="12" max="12" width="10" style="39" customWidth="1"/>
    <col min="13" max="13" width="11.42578125" style="39" bestFit="1" customWidth="1"/>
    <col min="14" max="16384" width="11.42578125" style="39"/>
  </cols>
  <sheetData>
    <row r="1" spans="1:16" s="3" customFormat="1" ht="23.25" x14ac:dyDescent="0.25">
      <c r="A1" s="351" t="s">
        <v>517</v>
      </c>
      <c r="B1" s="351"/>
      <c r="C1" s="351"/>
      <c r="D1" s="351"/>
      <c r="E1" s="351"/>
      <c r="F1" s="351"/>
      <c r="G1" s="351"/>
      <c r="H1" s="351"/>
      <c r="I1" s="351"/>
      <c r="J1" s="351"/>
      <c r="K1" s="351"/>
      <c r="L1" s="351"/>
      <c r="M1" s="351"/>
      <c r="N1" s="38"/>
      <c r="O1" s="38"/>
    </row>
    <row r="2" spans="1:16" ht="123.75" customHeight="1" x14ac:dyDescent="0.25">
      <c r="A2" s="22" t="s">
        <v>18</v>
      </c>
      <c r="B2" s="47" t="s">
        <v>21</v>
      </c>
      <c r="C2" s="22" t="s">
        <v>58</v>
      </c>
      <c r="D2" s="22" t="s">
        <v>15</v>
      </c>
      <c r="E2" s="22" t="s">
        <v>659</v>
      </c>
      <c r="F2" s="22" t="s">
        <v>6</v>
      </c>
      <c r="G2" s="22" t="s">
        <v>658</v>
      </c>
      <c r="H2" s="22" t="s">
        <v>7</v>
      </c>
      <c r="I2" s="22" t="s">
        <v>20</v>
      </c>
      <c r="J2" s="22" t="s">
        <v>779</v>
      </c>
      <c r="K2" s="46" t="s">
        <v>69</v>
      </c>
      <c r="L2" s="46" t="s">
        <v>73</v>
      </c>
      <c r="M2" s="46" t="s">
        <v>70</v>
      </c>
    </row>
    <row r="3" spans="1:16" ht="33" hidden="1" customHeight="1" x14ac:dyDescent="0.25">
      <c r="A3" s="242">
        <v>1</v>
      </c>
      <c r="B3" s="9">
        <v>1</v>
      </c>
      <c r="C3" s="403" t="s">
        <v>55</v>
      </c>
      <c r="D3" s="323" t="s">
        <v>9</v>
      </c>
      <c r="E3" s="51" t="s">
        <v>2960</v>
      </c>
      <c r="F3" s="40"/>
      <c r="G3" s="51" t="s">
        <v>2818</v>
      </c>
      <c r="H3" s="225" t="s">
        <v>2960</v>
      </c>
      <c r="I3" s="269" t="str">
        <f t="shared" ref="I3:I67" si="0">IF((LEN(G3)=$P$5)*OR(LEN(H3)=$P$5),$O$5,IF(EXACT(G3,$O$6),$O$6,$O$4))</f>
        <v>SI</v>
      </c>
      <c r="J3" s="45">
        <f>IF(EXACT(I3,$O$4),$P$4,IF(EXACT(I3,$O$6),$O$6,$P$5))</f>
        <v>5</v>
      </c>
      <c r="K3" s="388">
        <f>AVERAGE(J3:J4)</f>
        <v>5</v>
      </c>
      <c r="L3" s="388">
        <f>AVERAGE(K3:K9)</f>
        <v>5</v>
      </c>
      <c r="M3" s="388">
        <f>(L3*Ponderación!D2)</f>
        <v>1.0449999999999999</v>
      </c>
      <c r="O3" s="98" t="s">
        <v>782</v>
      </c>
      <c r="P3" s="98" t="s">
        <v>783</v>
      </c>
    </row>
    <row r="4" spans="1:16" ht="30" hidden="1" x14ac:dyDescent="0.25">
      <c r="A4" s="242">
        <v>1</v>
      </c>
      <c r="B4" s="9">
        <v>1</v>
      </c>
      <c r="C4" s="403"/>
      <c r="D4" s="323"/>
      <c r="E4" s="51" t="s">
        <v>50</v>
      </c>
      <c r="F4" s="20"/>
      <c r="G4" s="20" t="s">
        <v>2818</v>
      </c>
      <c r="H4" s="225" t="s">
        <v>50</v>
      </c>
      <c r="I4" s="104" t="str">
        <f t="shared" si="0"/>
        <v>SI</v>
      </c>
      <c r="J4" s="45">
        <f t="shared" ref="J4:J67" si="1">IF(EXACT(I4,$O$4),$P$4,IF(EXACT(I4,$O$6),$O$6,$P$5))</f>
        <v>5</v>
      </c>
      <c r="K4" s="390"/>
      <c r="L4" s="389"/>
      <c r="M4" s="389"/>
      <c r="O4" s="98" t="s">
        <v>781</v>
      </c>
      <c r="P4" s="98">
        <v>5</v>
      </c>
    </row>
    <row r="5" spans="1:16" ht="30" hidden="1" x14ac:dyDescent="0.25">
      <c r="A5" s="242">
        <v>1</v>
      </c>
      <c r="B5" s="9">
        <v>1</v>
      </c>
      <c r="C5" s="52" t="s">
        <v>56</v>
      </c>
      <c r="D5" s="50" t="s">
        <v>65</v>
      </c>
      <c r="E5" s="41"/>
      <c r="F5" s="41"/>
      <c r="G5" s="104" t="s">
        <v>64</v>
      </c>
      <c r="H5" s="41"/>
      <c r="I5" s="104" t="str">
        <f t="shared" si="0"/>
        <v>NA</v>
      </c>
      <c r="J5" s="45" t="str">
        <f t="shared" si="1"/>
        <v>NA</v>
      </c>
      <c r="K5" s="45" t="str">
        <f>J5</f>
        <v>NA</v>
      </c>
      <c r="L5" s="389"/>
      <c r="M5" s="389"/>
      <c r="O5" s="98" t="s">
        <v>780</v>
      </c>
      <c r="P5" s="98">
        <v>0</v>
      </c>
    </row>
    <row r="6" spans="1:16" ht="105" hidden="1" x14ac:dyDescent="0.25">
      <c r="A6" s="242">
        <v>1</v>
      </c>
      <c r="B6" s="9">
        <v>1</v>
      </c>
      <c r="C6" s="52" t="s">
        <v>80</v>
      </c>
      <c r="D6" s="42" t="s">
        <v>51</v>
      </c>
      <c r="E6" s="41"/>
      <c r="F6" s="41"/>
      <c r="G6" s="104" t="s">
        <v>64</v>
      </c>
      <c r="H6" s="41"/>
      <c r="I6" s="104" t="str">
        <f t="shared" si="0"/>
        <v>NA</v>
      </c>
      <c r="J6" s="45" t="str">
        <f t="shared" si="1"/>
        <v>NA</v>
      </c>
      <c r="K6" s="45" t="str">
        <f>J6</f>
        <v>NA</v>
      </c>
      <c r="L6" s="389"/>
      <c r="M6" s="389"/>
      <c r="O6" s="99" t="s">
        <v>64</v>
      </c>
      <c r="P6" s="99"/>
    </row>
    <row r="7" spans="1:16" ht="59.25" hidden="1" customHeight="1" x14ac:dyDescent="0.25">
      <c r="A7" s="242">
        <v>1</v>
      </c>
      <c r="B7" s="9">
        <v>1</v>
      </c>
      <c r="C7" s="52" t="s">
        <v>81</v>
      </c>
      <c r="D7" s="42" t="s">
        <v>52</v>
      </c>
      <c r="E7" s="51" t="s">
        <v>89</v>
      </c>
      <c r="F7" s="82"/>
      <c r="G7" s="82" t="s">
        <v>2818</v>
      </c>
      <c r="H7" s="225" t="s">
        <v>89</v>
      </c>
      <c r="I7" s="104" t="str">
        <f t="shared" si="0"/>
        <v>SI</v>
      </c>
      <c r="J7" s="45">
        <f t="shared" si="1"/>
        <v>5</v>
      </c>
      <c r="K7" s="45">
        <f>AVERAGE(J7)</f>
        <v>5</v>
      </c>
      <c r="L7" s="389"/>
      <c r="M7" s="389"/>
    </row>
    <row r="8" spans="1:16" ht="75" hidden="1" x14ac:dyDescent="0.25">
      <c r="A8" s="242">
        <v>1</v>
      </c>
      <c r="B8" s="9">
        <v>1</v>
      </c>
      <c r="C8" s="52" t="s">
        <v>87</v>
      </c>
      <c r="D8" s="42" t="s">
        <v>53</v>
      </c>
      <c r="E8" s="41"/>
      <c r="F8" s="41"/>
      <c r="G8" s="104" t="s">
        <v>64</v>
      </c>
      <c r="H8" s="41"/>
      <c r="I8" s="104" t="str">
        <f t="shared" si="0"/>
        <v>NA</v>
      </c>
      <c r="J8" s="45" t="str">
        <f t="shared" si="1"/>
        <v>NA</v>
      </c>
      <c r="K8" s="45" t="str">
        <f t="shared" ref="K8:K22" si="2">J8</f>
        <v>NA</v>
      </c>
      <c r="L8" s="389"/>
      <c r="M8" s="389"/>
    </row>
    <row r="9" spans="1:16" ht="60" hidden="1" customHeight="1" x14ac:dyDescent="0.25">
      <c r="A9" s="242">
        <v>1</v>
      </c>
      <c r="B9" s="9">
        <v>1</v>
      </c>
      <c r="C9" s="52" t="s">
        <v>88</v>
      </c>
      <c r="D9" s="42" t="s">
        <v>54</v>
      </c>
      <c r="E9" s="41"/>
      <c r="F9" s="41"/>
      <c r="G9" s="104" t="s">
        <v>64</v>
      </c>
      <c r="H9" s="41"/>
      <c r="I9" s="104" t="str">
        <f t="shared" si="0"/>
        <v>NA</v>
      </c>
      <c r="J9" s="45" t="str">
        <f t="shared" si="1"/>
        <v>NA</v>
      </c>
      <c r="K9" s="45" t="str">
        <f t="shared" si="2"/>
        <v>NA</v>
      </c>
      <c r="L9" s="390"/>
      <c r="M9" s="389"/>
    </row>
    <row r="10" spans="1:16" ht="45" hidden="1" x14ac:dyDescent="0.25">
      <c r="A10" s="242">
        <v>1</v>
      </c>
      <c r="B10" s="245">
        <v>2</v>
      </c>
      <c r="C10" s="52" t="str">
        <f>Final!E8</f>
        <v>a</v>
      </c>
      <c r="D10" s="20" t="str">
        <f>Final!F8</f>
        <v>Estrategias y mecanismos establecidos para la discusión, actualización, difusión y evaluación del Proyecto Educativo del proyecto curricular (PEP)</v>
      </c>
      <c r="E10" s="41"/>
      <c r="F10" s="41"/>
      <c r="G10" s="104" t="s">
        <v>64</v>
      </c>
      <c r="H10" s="41"/>
      <c r="I10" s="104" t="str">
        <f t="shared" si="0"/>
        <v>NA</v>
      </c>
      <c r="J10" s="45" t="str">
        <f t="shared" si="1"/>
        <v>NA</v>
      </c>
      <c r="K10" s="45" t="str">
        <f t="shared" si="2"/>
        <v>NA</v>
      </c>
      <c r="L10" s="388" t="s">
        <v>64</v>
      </c>
      <c r="M10" s="389"/>
    </row>
    <row r="11" spans="1:16" ht="45" hidden="1" x14ac:dyDescent="0.25">
      <c r="A11" s="242">
        <v>1</v>
      </c>
      <c r="B11" s="245">
        <v>2</v>
      </c>
      <c r="C11" s="52" t="str">
        <f>Final!E9</f>
        <v>b</v>
      </c>
      <c r="D11" s="20" t="str">
        <f>Final!F9</f>
        <v>Apropiación del Proyecto Educativo del proyecto curricular por parte de la comunidad académica respectiva</v>
      </c>
      <c r="E11" s="41"/>
      <c r="F11" s="41"/>
      <c r="G11" s="104" t="s">
        <v>64</v>
      </c>
      <c r="H11" s="41"/>
      <c r="I11" s="104" t="str">
        <f t="shared" si="0"/>
        <v>NA</v>
      </c>
      <c r="J11" s="45" t="str">
        <f t="shared" si="1"/>
        <v>NA</v>
      </c>
      <c r="K11" s="45" t="str">
        <f t="shared" si="2"/>
        <v>NA</v>
      </c>
      <c r="L11" s="389"/>
      <c r="M11" s="389"/>
    </row>
    <row r="12" spans="1:16" ht="105" hidden="1" x14ac:dyDescent="0.25">
      <c r="A12" s="242">
        <v>1</v>
      </c>
      <c r="B12" s="245">
        <v>2</v>
      </c>
      <c r="C12" s="52" t="str">
        <f>Final!E10</f>
        <v>c</v>
      </c>
      <c r="D12" s="20" t="str">
        <f>Final!F10</f>
        <v>Modelo pedagógico o concepción de aprendizaje que sustentan la metodología de enseñanza en que se ofrece el proyecto curricular evaluado. Los fundamentos pedagógicos o concepciones de aprendizaje asumidos por el proyecto curricular son coherentes e inciden en las metodologías de enseñanza.</v>
      </c>
      <c r="E12" s="41"/>
      <c r="F12" s="41"/>
      <c r="G12" s="104" t="s">
        <v>64</v>
      </c>
      <c r="H12" s="41"/>
      <c r="I12" s="104" t="str">
        <f t="shared" si="0"/>
        <v>NA</v>
      </c>
      <c r="J12" s="45" t="str">
        <f t="shared" si="1"/>
        <v>NA</v>
      </c>
      <c r="K12" s="45" t="str">
        <f t="shared" si="2"/>
        <v>NA</v>
      </c>
      <c r="L12" s="389"/>
      <c r="M12" s="389"/>
    </row>
    <row r="13" spans="1:16" ht="45" hidden="1" x14ac:dyDescent="0.25">
      <c r="A13" s="242">
        <v>1</v>
      </c>
      <c r="B13" s="245">
        <v>2</v>
      </c>
      <c r="C13" s="52" t="str">
        <f>Final!E11</f>
        <v>d</v>
      </c>
      <c r="D13" s="20" t="str">
        <f>Final!F11</f>
        <v>Coherencia entre el Proyecto Educativo del proyecto curricular y las actividades académicas desarrolladas.</v>
      </c>
      <c r="E13" s="41"/>
      <c r="F13" s="41"/>
      <c r="G13" s="104" t="s">
        <v>64</v>
      </c>
      <c r="H13" s="41"/>
      <c r="I13" s="104" t="str">
        <f t="shared" si="0"/>
        <v>NA</v>
      </c>
      <c r="J13" s="45" t="str">
        <f t="shared" si="1"/>
        <v>NA</v>
      </c>
      <c r="K13" s="45" t="str">
        <f t="shared" si="2"/>
        <v>NA</v>
      </c>
      <c r="L13" s="390"/>
      <c r="M13" s="389"/>
    </row>
    <row r="14" spans="1:16" ht="60" hidden="1" x14ac:dyDescent="0.25">
      <c r="A14" s="242">
        <v>1</v>
      </c>
      <c r="B14" s="245">
        <v>3</v>
      </c>
      <c r="C14" s="52" t="str">
        <f>Final!E12</f>
        <v>a</v>
      </c>
      <c r="D14" s="20" t="str">
        <f>Final!F12</f>
        <v>Análisis realizados sobre las tendencias y líneas de desarrollo de la disciplina o profesión en el ámbito local, regional, nacional e internacional, y su incidencia en el proyecto curricular.</v>
      </c>
      <c r="E14" s="41"/>
      <c r="F14" s="41"/>
      <c r="G14" s="104" t="s">
        <v>64</v>
      </c>
      <c r="H14" s="41"/>
      <c r="I14" s="104" t="str">
        <f t="shared" si="0"/>
        <v>NA</v>
      </c>
      <c r="J14" s="45" t="str">
        <f t="shared" si="1"/>
        <v>NA</v>
      </c>
      <c r="K14" s="45" t="str">
        <f t="shared" si="2"/>
        <v>NA</v>
      </c>
      <c r="L14" s="388" t="s">
        <v>64</v>
      </c>
      <c r="M14" s="389"/>
    </row>
    <row r="15" spans="1:16" ht="120" hidden="1" x14ac:dyDescent="0.25">
      <c r="A15" s="242">
        <v>1</v>
      </c>
      <c r="B15" s="245">
        <v>3</v>
      </c>
      <c r="C15" s="52" t="str">
        <f>Final!E13</f>
        <v>b</v>
      </c>
      <c r="D15" s="20" t="str">
        <f>Final!F13</f>
        <v>Estudios orientados a identificar las necesidades y requerimientos del entorno laboral (local, regional y nacional) en términos de requerimientos de formación del recurso humano en los ámbitos productivos, educativos, artísticos, tecnológicos, de talento humano, competitividad, etc. propios del campo de conocimiento del proyecto curricular. Acciones del proyecto curricular para atenderlos.</v>
      </c>
      <c r="E15" s="41"/>
      <c r="F15" s="41"/>
      <c r="G15" s="104" t="s">
        <v>64</v>
      </c>
      <c r="H15" s="41"/>
      <c r="I15" s="104" t="str">
        <f t="shared" si="0"/>
        <v>NA</v>
      </c>
      <c r="J15" s="45" t="str">
        <f t="shared" si="1"/>
        <v>NA</v>
      </c>
      <c r="K15" s="45" t="str">
        <f t="shared" si="2"/>
        <v>NA</v>
      </c>
      <c r="L15" s="389"/>
      <c r="M15" s="389"/>
    </row>
    <row r="16" spans="1:16" ht="45" hidden="1" x14ac:dyDescent="0.25">
      <c r="A16" s="242">
        <v>1</v>
      </c>
      <c r="B16" s="245">
        <v>3</v>
      </c>
      <c r="C16" s="52" t="str">
        <f>Final!E14</f>
        <v>c</v>
      </c>
      <c r="D16" s="20" t="str">
        <f>Final!F14</f>
        <v>Estudios que demuestren la necesidad social, económica, cultural y educativa del proyecto curricular en la metodología que se ofrece.</v>
      </c>
      <c r="E16" s="41"/>
      <c r="F16" s="41"/>
      <c r="G16" s="104" t="s">
        <v>64</v>
      </c>
      <c r="H16" s="41"/>
      <c r="I16" s="104" t="str">
        <f t="shared" si="0"/>
        <v>NA</v>
      </c>
      <c r="J16" s="45" t="str">
        <f t="shared" si="1"/>
        <v>NA</v>
      </c>
      <c r="K16" s="45" t="str">
        <f t="shared" si="2"/>
        <v>NA</v>
      </c>
      <c r="L16" s="389"/>
      <c r="M16" s="389"/>
    </row>
    <row r="17" spans="1:13" ht="60" hidden="1" x14ac:dyDescent="0.25">
      <c r="A17" s="242">
        <v>1</v>
      </c>
      <c r="B17" s="245">
        <v>3</v>
      </c>
      <c r="C17" s="52" t="str">
        <f>Final!E15</f>
        <v>d</v>
      </c>
      <c r="D17" s="20" t="str">
        <f>Final!F15</f>
        <v>Correspondencia entre el perfil laboral y ocupacional del sector productivo, educativo, cultural y el perfil profesional expresado en el Proyecto Educativo del proyecto curricular.</v>
      </c>
      <c r="E17" s="41"/>
      <c r="F17" s="41"/>
      <c r="G17" s="104" t="s">
        <v>64</v>
      </c>
      <c r="H17" s="41"/>
      <c r="I17" s="104" t="str">
        <f t="shared" si="0"/>
        <v>NA</v>
      </c>
      <c r="J17" s="45" t="str">
        <f t="shared" si="1"/>
        <v>NA</v>
      </c>
      <c r="K17" s="45" t="str">
        <f t="shared" si="2"/>
        <v>NA</v>
      </c>
      <c r="L17" s="389"/>
      <c r="M17" s="389"/>
    </row>
    <row r="18" spans="1:13" ht="75" hidden="1" x14ac:dyDescent="0.25">
      <c r="A18" s="242">
        <v>1</v>
      </c>
      <c r="B18" s="245">
        <v>3</v>
      </c>
      <c r="C18" s="52" t="str">
        <f>Final!E16</f>
        <v>e</v>
      </c>
      <c r="D18" s="20" t="str">
        <f>Final!F16</f>
        <v>Estudios y/o proyectos formulados o en desarrollo, que propendan por la modernización, actualización y pertinencia del currículo de acuerdo con las necesidades del entorno en el cual espera incidir el proyecto curricular.</v>
      </c>
      <c r="E18" s="41"/>
      <c r="F18" s="41"/>
      <c r="G18" s="104" t="s">
        <v>64</v>
      </c>
      <c r="H18" s="41"/>
      <c r="I18" s="104" t="str">
        <f t="shared" si="0"/>
        <v>NA</v>
      </c>
      <c r="J18" s="45" t="str">
        <f t="shared" si="1"/>
        <v>NA</v>
      </c>
      <c r="K18" s="45" t="str">
        <f t="shared" si="2"/>
        <v>NA</v>
      </c>
      <c r="L18" s="389"/>
      <c r="M18" s="389"/>
    </row>
    <row r="19" spans="1:13" ht="45" hidden="1" x14ac:dyDescent="0.25">
      <c r="A19" s="242">
        <v>1</v>
      </c>
      <c r="B19" s="245">
        <v>3</v>
      </c>
      <c r="C19" s="52" t="str">
        <f>Final!E17</f>
        <v>f</v>
      </c>
      <c r="D19" s="20" t="str">
        <f>Final!F17</f>
        <v>Estudios actualizados sobre las necesidades formativas en la región de influencia del proyecto curricular (ciudad región y país).</v>
      </c>
      <c r="E19" s="41"/>
      <c r="F19" s="41"/>
      <c r="G19" s="104" t="s">
        <v>64</v>
      </c>
      <c r="H19" s="41"/>
      <c r="I19" s="104" t="str">
        <f t="shared" si="0"/>
        <v>NA</v>
      </c>
      <c r="J19" s="45" t="str">
        <f t="shared" si="1"/>
        <v>NA</v>
      </c>
      <c r="K19" s="45" t="str">
        <f t="shared" si="2"/>
        <v>NA</v>
      </c>
      <c r="L19" s="389"/>
      <c r="M19" s="389"/>
    </row>
    <row r="20" spans="1:13" ht="60" hidden="1" x14ac:dyDescent="0.25">
      <c r="A20" s="242">
        <v>1</v>
      </c>
      <c r="B20" s="245">
        <v>3</v>
      </c>
      <c r="C20" s="52" t="str">
        <f>Final!E18</f>
        <v>g</v>
      </c>
      <c r="D20" s="20" t="str">
        <f>Final!F18</f>
        <v>Cambios en el plan de estudios, resultantes de experiencias relativas al análisis y propuestas de solución a los problemas del contexto (ciudad región)</v>
      </c>
      <c r="E20" s="41"/>
      <c r="F20" s="41"/>
      <c r="G20" s="104" t="s">
        <v>64</v>
      </c>
      <c r="H20" s="41"/>
      <c r="I20" s="104" t="str">
        <f t="shared" si="0"/>
        <v>NA</v>
      </c>
      <c r="J20" s="45" t="str">
        <f t="shared" si="1"/>
        <v>NA</v>
      </c>
      <c r="K20" s="45" t="str">
        <f t="shared" si="2"/>
        <v>NA</v>
      </c>
      <c r="L20" s="389"/>
      <c r="M20" s="389"/>
    </row>
    <row r="21" spans="1:13" ht="90" hidden="1" x14ac:dyDescent="0.25">
      <c r="A21" s="242">
        <v>1</v>
      </c>
      <c r="B21" s="245">
        <v>3</v>
      </c>
      <c r="C21" s="52" t="str">
        <f>Final!E19</f>
        <v>h</v>
      </c>
      <c r="D21" s="20" t="str">
        <f>Final!F19</f>
        <v>Proyectos que adelanta el proyecto curricular, mediante sus funciones de docencia, investigación, innovación, creación artística y cultural, extensión y proyección social tendientes a ejercer un impacto sobre el medio, en desarrollo de lo expresado en el Proyecto Educativo del proyecto curricular.</v>
      </c>
      <c r="E21" s="41"/>
      <c r="F21" s="41"/>
      <c r="G21" s="104" t="s">
        <v>64</v>
      </c>
      <c r="H21" s="41"/>
      <c r="I21" s="104" t="str">
        <f t="shared" si="0"/>
        <v>NA</v>
      </c>
      <c r="J21" s="45" t="str">
        <f t="shared" si="1"/>
        <v>NA</v>
      </c>
      <c r="K21" s="45" t="str">
        <f t="shared" si="2"/>
        <v>NA</v>
      </c>
      <c r="L21" s="389"/>
      <c r="M21" s="389"/>
    </row>
    <row r="22" spans="1:13" ht="75" hidden="1" x14ac:dyDescent="0.25">
      <c r="A22" s="242">
        <v>1</v>
      </c>
      <c r="B22" s="245">
        <v>3</v>
      </c>
      <c r="C22" s="52" t="str">
        <f>Final!E20</f>
        <v>i</v>
      </c>
      <c r="D22" s="20" t="str">
        <f>Final!F20</f>
        <v>Estudios orientados a evaluar el impacto del proyecto curricular con respecto al cumplimiento de sus propósitos y objetivos, así como la incidencia en el entorno social y/o cultural y su grupo de referencia disciplinar o profesional.</v>
      </c>
      <c r="E22" s="41"/>
      <c r="F22" s="41"/>
      <c r="G22" s="104" t="s">
        <v>64</v>
      </c>
      <c r="H22" s="41"/>
      <c r="I22" s="104" t="str">
        <f t="shared" si="0"/>
        <v>NA</v>
      </c>
      <c r="J22" s="45" t="str">
        <f t="shared" si="1"/>
        <v>NA</v>
      </c>
      <c r="K22" s="45" t="str">
        <f t="shared" si="2"/>
        <v>NA</v>
      </c>
      <c r="L22" s="390"/>
      <c r="M22" s="390"/>
    </row>
    <row r="23" spans="1:13" ht="61.5" hidden="1" customHeight="1" x14ac:dyDescent="0.25">
      <c r="A23" s="245">
        <v>2</v>
      </c>
      <c r="B23" s="245">
        <v>4</v>
      </c>
      <c r="C23" s="52" t="str">
        <f>Final!E21</f>
        <v>a</v>
      </c>
      <c r="D23" s="20" t="str">
        <f>Final!F21</f>
        <v>Mecanismos de ingreso -selección y admisión- de estudiantes utilizados por el proyecto curricular en los últimos 5 años, que garantizan la transparencia y la equidad en el proceso de selección de los estudiantes.</v>
      </c>
      <c r="E23" s="72" t="s">
        <v>437</v>
      </c>
      <c r="F23" s="82"/>
      <c r="G23" s="222" t="s">
        <v>2819</v>
      </c>
      <c r="H23" s="41"/>
      <c r="I23" s="104" t="str">
        <f t="shared" si="0"/>
        <v>SI</v>
      </c>
      <c r="J23" s="45">
        <f t="shared" si="1"/>
        <v>5</v>
      </c>
      <c r="K23" s="45">
        <f>AVERAGE(J23)</f>
        <v>5</v>
      </c>
      <c r="L23" s="388">
        <f>AVERAGE(K23:K26)</f>
        <v>5</v>
      </c>
      <c r="M23" s="388">
        <f>(L23*Ponderación!D5)+(L27*Ponderación!D6)</f>
        <v>1.875</v>
      </c>
    </row>
    <row r="24" spans="1:13" ht="45" hidden="1" x14ac:dyDescent="0.25">
      <c r="A24" s="245">
        <v>2</v>
      </c>
      <c r="B24" s="245">
        <v>4</v>
      </c>
      <c r="C24" s="52" t="str">
        <f>Final!E22</f>
        <v>b</v>
      </c>
      <c r="D24" s="20" t="str">
        <f>Final!F22</f>
        <v>Estudiantes que ingresaron mediante la aplicación de reglas generales y mecanismos de admisión excepcionales, en los últimos cinco años.</v>
      </c>
      <c r="E24" s="72" t="s">
        <v>439</v>
      </c>
      <c r="F24" s="82"/>
      <c r="G24" s="82" t="s">
        <v>2818</v>
      </c>
      <c r="H24" s="41"/>
      <c r="I24" s="104" t="str">
        <f t="shared" si="0"/>
        <v>SI</v>
      </c>
      <c r="J24" s="45">
        <f t="shared" si="1"/>
        <v>5</v>
      </c>
      <c r="K24" s="45">
        <f>AVERAGE(J24)</f>
        <v>5</v>
      </c>
      <c r="L24" s="389"/>
      <c r="M24" s="389"/>
    </row>
    <row r="25" spans="1:13" ht="45" hidden="1" x14ac:dyDescent="0.25">
      <c r="A25" s="245">
        <v>2</v>
      </c>
      <c r="B25" s="245">
        <v>4</v>
      </c>
      <c r="C25" s="52" t="str">
        <f>Final!E23</f>
        <v>c</v>
      </c>
      <c r="D25" s="20" t="str">
        <f>Final!F23</f>
        <v>Existencia y utilización de sistemas y mecanismos de evaluación de los procesos de selección y admisión, y aplicación de los resultados de dicha evaluación.</v>
      </c>
      <c r="E25" s="41"/>
      <c r="F25" s="41"/>
      <c r="G25" s="104" t="s">
        <v>64</v>
      </c>
      <c r="H25" s="41"/>
      <c r="I25" s="104" t="str">
        <f t="shared" si="0"/>
        <v>NA</v>
      </c>
      <c r="J25" s="45" t="str">
        <f t="shared" si="1"/>
        <v>NA</v>
      </c>
      <c r="K25" s="45" t="str">
        <f>J25</f>
        <v>NA</v>
      </c>
      <c r="L25" s="389"/>
      <c r="M25" s="389"/>
    </row>
    <row r="26" spans="1:13" ht="90" hidden="1" x14ac:dyDescent="0.25">
      <c r="A26" s="245">
        <v>2</v>
      </c>
      <c r="B26" s="245">
        <v>4</v>
      </c>
      <c r="C26" s="52" t="str">
        <f>Final!E24</f>
        <v>d</v>
      </c>
      <c r="D26" s="20" t="str">
        <f>Final!F24</f>
        <v>Requerimientos para el ingreso de estudiantes en condición de transferencia, homologación u otro proceso que amerite criterios específicos para el tránsito entre ciclos, niveles y/o instituciones. Beneficios de estos requerimientos en la formación integral de los estudiantes.</v>
      </c>
      <c r="E26" s="41"/>
      <c r="F26" s="41"/>
      <c r="G26" s="104" t="s">
        <v>64</v>
      </c>
      <c r="H26" s="41"/>
      <c r="I26" s="104" t="str">
        <f t="shared" si="0"/>
        <v>NA</v>
      </c>
      <c r="J26" s="45" t="str">
        <f t="shared" si="1"/>
        <v>NA</v>
      </c>
      <c r="K26" s="45" t="str">
        <f>J26</f>
        <v>NA</v>
      </c>
      <c r="L26" s="390"/>
      <c r="M26" s="389"/>
    </row>
    <row r="27" spans="1:13" ht="60" hidden="1" x14ac:dyDescent="0.25">
      <c r="A27" s="245">
        <v>2</v>
      </c>
      <c r="B27" s="245">
        <v>5</v>
      </c>
      <c r="C27" s="52" t="str">
        <f>Final!E25</f>
        <v>a</v>
      </c>
      <c r="D27" s="290" t="str">
        <f>Final!F25</f>
        <v>Políticas institucionales para la definición del número de estudiantes que se admiten al proyecto curricular, acorde con la cantidad de docentes, los recursos físicos y de apoyo académico disponibles.</v>
      </c>
      <c r="E27" s="51" t="s">
        <v>447</v>
      </c>
      <c r="F27" s="51"/>
      <c r="G27" s="223" t="s">
        <v>2820</v>
      </c>
      <c r="H27" s="41"/>
      <c r="I27" s="104" t="str">
        <f t="shared" si="0"/>
        <v>SI</v>
      </c>
      <c r="J27" s="45">
        <f t="shared" si="1"/>
        <v>5</v>
      </c>
      <c r="K27" s="45">
        <f>AVERAGE(J27)</f>
        <v>5</v>
      </c>
      <c r="L27" s="388">
        <f>AVERAGE(K27:K29)</f>
        <v>5</v>
      </c>
      <c r="M27" s="389"/>
    </row>
    <row r="28" spans="1:13" ht="60" hidden="1" x14ac:dyDescent="0.25">
      <c r="A28" s="245">
        <v>2</v>
      </c>
      <c r="B28" s="245">
        <v>5</v>
      </c>
      <c r="C28" s="52" t="str">
        <f>Final!E26</f>
        <v>b</v>
      </c>
      <c r="D28" s="20" t="str">
        <f>Final!F26</f>
        <v>Apreciación de profesores y estudiantes del proyecto curricular con respecto a la relación entre el número de admitidos, el número de docentes y los recursos académicos y físicos disponibles.</v>
      </c>
      <c r="E28" s="41"/>
      <c r="F28" s="41"/>
      <c r="G28" s="104" t="s">
        <v>64</v>
      </c>
      <c r="H28" s="41"/>
      <c r="I28" s="104" t="str">
        <f t="shared" si="0"/>
        <v>NA</v>
      </c>
      <c r="J28" s="45" t="str">
        <f t="shared" si="1"/>
        <v>NA</v>
      </c>
      <c r="K28" s="45" t="str">
        <f>J28</f>
        <v>NA</v>
      </c>
      <c r="L28" s="389"/>
      <c r="M28" s="389"/>
    </row>
    <row r="29" spans="1:13" ht="135" hidden="1" x14ac:dyDescent="0.25">
      <c r="A29" s="245">
        <v>2</v>
      </c>
      <c r="B29" s="245">
        <v>5</v>
      </c>
      <c r="C29" s="52" t="str">
        <f>Final!E27</f>
        <v>c</v>
      </c>
      <c r="D29" s="20" t="str">
        <f>Final!F27</f>
        <v>Población de estudiantes que ingresó al proyecto curricular en los últimos cinco años, puntaje promedio obtenido por los admitidos en las Pruebas de Estado, puntaje promedio estandarizado en pruebas de admisión (cuando éstas se realizan), puntaje mínimo aceptable para ingresar y capacidad de selección y absorción de estudiantes por parte del proyecto curricular (relación entre inscritos y admitidos, relación entre inscritos y matriculados).</v>
      </c>
      <c r="E29" s="72" t="s">
        <v>482</v>
      </c>
      <c r="F29" s="82"/>
      <c r="G29" s="82" t="s">
        <v>2818</v>
      </c>
      <c r="H29" s="41"/>
      <c r="I29" s="104" t="str">
        <f t="shared" si="0"/>
        <v>SI</v>
      </c>
      <c r="J29" s="45">
        <f t="shared" si="1"/>
        <v>5</v>
      </c>
      <c r="K29" s="45">
        <f>AVERAGE(J29)</f>
        <v>5</v>
      </c>
      <c r="L29" s="390"/>
      <c r="M29" s="389"/>
    </row>
    <row r="30" spans="1:13" ht="45" hidden="1" x14ac:dyDescent="0.25">
      <c r="A30" s="245">
        <v>2</v>
      </c>
      <c r="B30" s="245">
        <v>6</v>
      </c>
      <c r="C30" s="52" t="str">
        <f>Final!E28</f>
        <v>a</v>
      </c>
      <c r="D30" s="20" t="str">
        <f>Final!F28</f>
        <v>Políticas y estrategias definidas por el proyecto curricular en materia de formación integral de los estudiantes.</v>
      </c>
      <c r="E30" s="41"/>
      <c r="F30" s="41"/>
      <c r="G30" s="104" t="s">
        <v>64</v>
      </c>
      <c r="H30" s="41"/>
      <c r="I30" s="104" t="str">
        <f t="shared" si="0"/>
        <v>NA</v>
      </c>
      <c r="J30" s="45" t="str">
        <f t="shared" si="1"/>
        <v>NA</v>
      </c>
      <c r="K30" s="45" t="str">
        <f t="shared" ref="K30:K38" si="3">J30</f>
        <v>NA</v>
      </c>
      <c r="L30" s="388" t="s">
        <v>64</v>
      </c>
      <c r="M30" s="389"/>
    </row>
    <row r="31" spans="1:13" ht="45" hidden="1" x14ac:dyDescent="0.25">
      <c r="A31" s="245">
        <v>2</v>
      </c>
      <c r="B31" s="245">
        <v>6</v>
      </c>
      <c r="C31" s="52" t="str">
        <f>Final!E29</f>
        <v>b</v>
      </c>
      <c r="D31" s="20" t="str">
        <f>Final!F29</f>
        <v>Evaluación de la efectividad de las políticas y estrategias definidas por el proyecto curricular en materia de formación integral de los estudiantes.</v>
      </c>
      <c r="E31" s="41"/>
      <c r="F31" s="41"/>
      <c r="G31" s="104" t="s">
        <v>64</v>
      </c>
      <c r="H31" s="41"/>
      <c r="I31" s="104" t="str">
        <f t="shared" si="0"/>
        <v>NA</v>
      </c>
      <c r="J31" s="45" t="str">
        <f t="shared" si="1"/>
        <v>NA</v>
      </c>
      <c r="K31" s="45" t="str">
        <f t="shared" si="3"/>
        <v>NA</v>
      </c>
      <c r="L31" s="389"/>
      <c r="M31" s="389"/>
    </row>
    <row r="32" spans="1:13" ht="120" hidden="1" x14ac:dyDescent="0.25">
      <c r="A32" s="245">
        <v>2</v>
      </c>
      <c r="B32" s="245">
        <v>6</v>
      </c>
      <c r="C32" s="52" t="str">
        <f>Final!E30</f>
        <v>c</v>
      </c>
      <c r="D32" s="20" t="str">
        <f>Final!F30</f>
        <v>Apreciación de los estudiantes sobre la calidad de los espacios y estrategias, para la participación en semilleros y/o grupos de investigación, grupos de estudio y demás actividades académicas y culturales distintas a la docencia, que contribuyen a su formación integral, brindadas por la institución o el proyecto curricular, según la naturaleza y orientación del mismo.</v>
      </c>
      <c r="E32" s="41"/>
      <c r="F32" s="41"/>
      <c r="G32" s="104" t="s">
        <v>64</v>
      </c>
      <c r="H32" s="41"/>
      <c r="I32" s="104" t="str">
        <f t="shared" si="0"/>
        <v>NA</v>
      </c>
      <c r="J32" s="45" t="str">
        <f t="shared" si="1"/>
        <v>NA</v>
      </c>
      <c r="K32" s="45" t="str">
        <f t="shared" si="3"/>
        <v>NA</v>
      </c>
      <c r="L32" s="389"/>
      <c r="M32" s="389"/>
    </row>
    <row r="33" spans="1:13" ht="105" hidden="1" x14ac:dyDescent="0.25">
      <c r="A33" s="245">
        <v>2</v>
      </c>
      <c r="B33" s="245">
        <v>6</v>
      </c>
      <c r="C33" s="52" t="str">
        <f>Final!E31</f>
        <v>d</v>
      </c>
      <c r="D33" s="20" t="str">
        <f>Final!F31</f>
        <v>Estudiantes que participan efectivamente en grupos o centros de estudio, proyectos de experimentación, pedagógicos, culturales, artísticos o de desarrollo empresarial, o en las demás actividades académicas y culturales distintas de la docencia que brinda la institución o el proyecto curricular para contribuir a la formación integral.</v>
      </c>
      <c r="E33" s="41"/>
      <c r="F33" s="41"/>
      <c r="G33" s="104" t="s">
        <v>64</v>
      </c>
      <c r="H33" s="41"/>
      <c r="I33" s="104" t="str">
        <f t="shared" si="0"/>
        <v>NA</v>
      </c>
      <c r="J33" s="45" t="str">
        <f t="shared" si="1"/>
        <v>NA</v>
      </c>
      <c r="K33" s="45" t="str">
        <f t="shared" si="3"/>
        <v>NA</v>
      </c>
      <c r="L33" s="390"/>
      <c r="M33" s="389"/>
    </row>
    <row r="34" spans="1:13" ht="30" hidden="1" x14ac:dyDescent="0.25">
      <c r="A34" s="245">
        <v>2</v>
      </c>
      <c r="B34" s="245">
        <v>7</v>
      </c>
      <c r="C34" s="52" t="str">
        <f>Final!E32</f>
        <v>a</v>
      </c>
      <c r="D34" s="20" t="str">
        <f>Final!F32</f>
        <v>Mecanismos utilizados para la divulgación del reglamento estudiantil y académico.</v>
      </c>
      <c r="E34" s="41"/>
      <c r="F34" s="41"/>
      <c r="G34" s="104" t="s">
        <v>64</v>
      </c>
      <c r="H34" s="41"/>
      <c r="I34" s="104" t="str">
        <f t="shared" si="0"/>
        <v>NA</v>
      </c>
      <c r="J34" s="45" t="str">
        <f t="shared" si="1"/>
        <v>NA</v>
      </c>
      <c r="K34" s="45" t="str">
        <f t="shared" si="3"/>
        <v>NA</v>
      </c>
      <c r="L34" s="388" t="s">
        <v>64</v>
      </c>
      <c r="M34" s="389"/>
    </row>
    <row r="35" spans="1:13" ht="45" hidden="1" x14ac:dyDescent="0.25">
      <c r="A35" s="245">
        <v>2</v>
      </c>
      <c r="B35" s="245">
        <v>7</v>
      </c>
      <c r="C35" s="52" t="str">
        <f>Final!E33</f>
        <v>b</v>
      </c>
      <c r="D35" s="20" t="str">
        <f>Final!F33</f>
        <v>Apreciación de estudiantes y profesores del proyecto curricular sobre la pertinencia, vigencia y aplicación del reglamento estudiantil y académico.</v>
      </c>
      <c r="E35" s="41"/>
      <c r="F35" s="41"/>
      <c r="G35" s="104" t="s">
        <v>64</v>
      </c>
      <c r="H35" s="41"/>
      <c r="I35" s="104" t="str">
        <f t="shared" si="0"/>
        <v>NA</v>
      </c>
      <c r="J35" s="45" t="str">
        <f t="shared" si="1"/>
        <v>NA</v>
      </c>
      <c r="K35" s="45" t="str">
        <f t="shared" si="3"/>
        <v>NA</v>
      </c>
      <c r="L35" s="389"/>
      <c r="M35" s="389"/>
    </row>
    <row r="36" spans="1:13" ht="60" hidden="1" x14ac:dyDescent="0.25">
      <c r="A36" s="245">
        <v>2</v>
      </c>
      <c r="B36" s="245">
        <v>7</v>
      </c>
      <c r="C36" s="52" t="str">
        <f>Final!E34</f>
        <v>c</v>
      </c>
      <c r="D36" s="20" t="str">
        <f>Final!F34</f>
        <v>Evidencias sobre la aplicación de las normas establecidas en los reglamentos estudiantil y académico para atender las situaciones presentadas con los estudiantes.</v>
      </c>
      <c r="E36" s="41"/>
      <c r="F36" s="41"/>
      <c r="G36" s="104" t="s">
        <v>64</v>
      </c>
      <c r="H36" s="41"/>
      <c r="I36" s="104" t="str">
        <f t="shared" si="0"/>
        <v>NA</v>
      </c>
      <c r="J36" s="45" t="str">
        <f t="shared" si="1"/>
        <v>NA</v>
      </c>
      <c r="K36" s="45" t="str">
        <f t="shared" si="3"/>
        <v>NA</v>
      </c>
      <c r="L36" s="389"/>
      <c r="M36" s="389"/>
    </row>
    <row r="37" spans="1:13" ht="45" hidden="1" x14ac:dyDescent="0.25">
      <c r="A37" s="245">
        <v>2</v>
      </c>
      <c r="B37" s="245">
        <v>7</v>
      </c>
      <c r="C37" s="52" t="str">
        <f>Final!E35</f>
        <v>d</v>
      </c>
      <c r="D37" s="20" t="str">
        <f>Final!F35</f>
        <v>Apreciación de directivos, profesores y estudiantes sobre la participación del estudiantado en los órganos de dirección del proyecto curricular.</v>
      </c>
      <c r="E37" s="41"/>
      <c r="F37" s="41"/>
      <c r="G37" s="104" t="s">
        <v>64</v>
      </c>
      <c r="H37" s="41"/>
      <c r="I37" s="104" t="str">
        <f t="shared" si="0"/>
        <v>NA</v>
      </c>
      <c r="J37" s="45" t="str">
        <f t="shared" si="1"/>
        <v>NA</v>
      </c>
      <c r="K37" s="45" t="str">
        <f t="shared" si="3"/>
        <v>NA</v>
      </c>
      <c r="L37" s="389"/>
      <c r="M37" s="389"/>
    </row>
    <row r="38" spans="1:13" ht="45" hidden="1" x14ac:dyDescent="0.25">
      <c r="A38" s="245">
        <v>2</v>
      </c>
      <c r="B38" s="245">
        <v>7</v>
      </c>
      <c r="C38" s="52" t="str">
        <f>Final!E36</f>
        <v>e</v>
      </c>
      <c r="D38" s="20" t="str">
        <f>Final!F36</f>
        <v>Políticas y estrategias sobre estímulos académicos para los estudiantes. Evidencias sobre la aplicación de estas políticas y estrategias.</v>
      </c>
      <c r="E38" s="41"/>
      <c r="F38" s="41"/>
      <c r="G38" s="104" t="s">
        <v>64</v>
      </c>
      <c r="H38" s="41"/>
      <c r="I38" s="104" t="str">
        <f t="shared" si="0"/>
        <v>NA</v>
      </c>
      <c r="J38" s="45" t="str">
        <f t="shared" si="1"/>
        <v>NA</v>
      </c>
      <c r="K38" s="45" t="str">
        <f t="shared" si="3"/>
        <v>NA</v>
      </c>
      <c r="L38" s="390"/>
      <c r="M38" s="390"/>
    </row>
    <row r="39" spans="1:13" ht="75" hidden="1" x14ac:dyDescent="0.25">
      <c r="A39" s="245">
        <v>3</v>
      </c>
      <c r="B39" s="245">
        <v>8</v>
      </c>
      <c r="C39" s="52" t="str">
        <f>Final!E37</f>
        <v>a</v>
      </c>
      <c r="D39" s="20" t="str">
        <f>Final!F37</f>
        <v>Aplicación de las políticas, las normas y los criterios académicos establecidos por la institución para la selección y la vinculación de los profesores, según el tipo de contratación. (Planta y Vinculación especial). Datos de los últimos 5 años.</v>
      </c>
      <c r="E39" s="72" t="s">
        <v>493</v>
      </c>
      <c r="F39" s="82"/>
      <c r="G39" s="222" t="s">
        <v>2824</v>
      </c>
      <c r="H39" s="41"/>
      <c r="I39" s="104" t="str">
        <f t="shared" si="0"/>
        <v>SI</v>
      </c>
      <c r="J39" s="45">
        <f t="shared" si="1"/>
        <v>5</v>
      </c>
      <c r="K39" s="45">
        <f>AVERAGE(J39)</f>
        <v>5</v>
      </c>
      <c r="L39" s="388">
        <f>AVERAGE(K39:K41)</f>
        <v>5</v>
      </c>
      <c r="M39" s="388">
        <f>(L39*Ponderación!D9)+(L48*Ponderación!D11)+(L66*Ponderación!D13)</f>
        <v>2.1722222222222225</v>
      </c>
    </row>
    <row r="40" spans="1:13" ht="45" hidden="1" x14ac:dyDescent="0.25">
      <c r="A40" s="245">
        <v>3</v>
      </c>
      <c r="B40" s="245">
        <v>8</v>
      </c>
      <c r="C40" s="52" t="str">
        <f>Final!E38</f>
        <v>b</v>
      </c>
      <c r="D40" s="20" t="str">
        <f>Final!F38</f>
        <v>Aplicación de las estrategias de la Institución para propiciar la permanencia de los profesores en el proyecto curricular y el relevo generacional.</v>
      </c>
      <c r="E40" s="41"/>
      <c r="F40" s="41"/>
      <c r="G40" s="104" t="s">
        <v>64</v>
      </c>
      <c r="H40" s="41"/>
      <c r="I40" s="104" t="str">
        <f t="shared" si="0"/>
        <v>NA</v>
      </c>
      <c r="J40" s="45" t="str">
        <f t="shared" si="1"/>
        <v>NA</v>
      </c>
      <c r="K40" s="45" t="str">
        <f t="shared" ref="K40:K47" si="4">J40</f>
        <v>NA</v>
      </c>
      <c r="L40" s="389"/>
      <c r="M40" s="389"/>
    </row>
    <row r="41" spans="1:13" ht="75" hidden="1" x14ac:dyDescent="0.25">
      <c r="A41" s="245">
        <v>3</v>
      </c>
      <c r="B41" s="245">
        <v>8</v>
      </c>
      <c r="C41" s="52" t="str">
        <f>Final!E39</f>
        <v>c</v>
      </c>
      <c r="D41" s="20" t="str">
        <f>Final!F39</f>
        <v>Apreciación de directivos, profesores y estudiantes sobre la aplicación, pertinencia y vigencia de las políticas, las normas y los criterios académicos establecidos por la institución para la selección,  inculación y permanencia de sus profesores.</v>
      </c>
      <c r="E41" s="41"/>
      <c r="F41" s="41"/>
      <c r="G41" s="104" t="s">
        <v>64</v>
      </c>
      <c r="H41" s="41"/>
      <c r="I41" s="104" t="str">
        <f t="shared" si="0"/>
        <v>NA</v>
      </c>
      <c r="J41" s="45" t="str">
        <f t="shared" si="1"/>
        <v>NA</v>
      </c>
      <c r="K41" s="45" t="str">
        <f t="shared" si="4"/>
        <v>NA</v>
      </c>
      <c r="L41" s="390"/>
      <c r="M41" s="389"/>
    </row>
    <row r="42" spans="1:13" hidden="1" x14ac:dyDescent="0.25">
      <c r="A42" s="245">
        <v>3</v>
      </c>
      <c r="B42" s="245">
        <v>9</v>
      </c>
      <c r="C42" s="52" t="str">
        <f>Final!E40</f>
        <v>a</v>
      </c>
      <c r="D42" s="20" t="str">
        <f>Final!F40</f>
        <v>Mecanismos de divulgación del estatuto profesoral.</v>
      </c>
      <c r="E42" s="41"/>
      <c r="F42" s="41"/>
      <c r="G42" s="104" t="s">
        <v>64</v>
      </c>
      <c r="H42" s="41"/>
      <c r="I42" s="104" t="str">
        <f t="shared" si="0"/>
        <v>NA</v>
      </c>
      <c r="J42" s="45" t="str">
        <f t="shared" si="1"/>
        <v>NA</v>
      </c>
      <c r="K42" s="45" t="str">
        <f t="shared" si="4"/>
        <v>NA</v>
      </c>
      <c r="L42" s="388" t="s">
        <v>64</v>
      </c>
      <c r="M42" s="389"/>
    </row>
    <row r="43" spans="1:13" ht="45" hidden="1" x14ac:dyDescent="0.25">
      <c r="A43" s="245">
        <v>3</v>
      </c>
      <c r="B43" s="245">
        <v>9</v>
      </c>
      <c r="C43" s="52" t="str">
        <f>Final!E41</f>
        <v>b</v>
      </c>
      <c r="D43" s="20" t="str">
        <f>Final!F41</f>
        <v>Apreciación de directivos y profesores del proyecto curricular sobre la pertinencia, vigencia y aplicación del estatuto profesoral.</v>
      </c>
      <c r="E43" s="41"/>
      <c r="F43" s="41"/>
      <c r="G43" s="104" t="s">
        <v>64</v>
      </c>
      <c r="H43" s="41"/>
      <c r="I43" s="104" t="str">
        <f t="shared" si="0"/>
        <v>NA</v>
      </c>
      <c r="J43" s="45" t="str">
        <f t="shared" si="1"/>
        <v>NA</v>
      </c>
      <c r="K43" s="45" t="str">
        <f t="shared" si="4"/>
        <v>NA</v>
      </c>
      <c r="L43" s="389"/>
      <c r="M43" s="389"/>
    </row>
    <row r="44" spans="1:13" ht="75" hidden="1" x14ac:dyDescent="0.25">
      <c r="A44" s="245">
        <v>3</v>
      </c>
      <c r="B44" s="245">
        <v>9</v>
      </c>
      <c r="C44" s="52" t="str">
        <f>Final!E42</f>
        <v>c</v>
      </c>
      <c r="D44" s="20" t="str">
        <f>Final!F42</f>
        <v>Información actualizada sobre el número de profesores – de planta y vinculación especial- que prestan sus servicios al proyecto curricular indicando para cada uno la categoría del escalafón en la cual se encuentra ubicado.</v>
      </c>
      <c r="E44" s="41"/>
      <c r="F44" s="41"/>
      <c r="G44" s="104" t="s">
        <v>64</v>
      </c>
      <c r="H44" s="41"/>
      <c r="I44" s="104" t="str">
        <f t="shared" si="0"/>
        <v>NA</v>
      </c>
      <c r="J44" s="45" t="str">
        <f t="shared" si="1"/>
        <v>NA</v>
      </c>
      <c r="K44" s="45" t="str">
        <f t="shared" si="4"/>
        <v>NA</v>
      </c>
      <c r="L44" s="389"/>
      <c r="M44" s="389"/>
    </row>
    <row r="45" spans="1:13" ht="45" hidden="1" x14ac:dyDescent="0.25">
      <c r="A45" s="245">
        <v>3</v>
      </c>
      <c r="B45" s="245">
        <v>9</v>
      </c>
      <c r="C45" s="52" t="str">
        <f>Final!E43</f>
        <v>d</v>
      </c>
      <c r="D45" s="20" t="str">
        <f>Final!F43</f>
        <v>Aplicación de las políticas institucionales en materia de ubicación, permanencia y ascenso en las categorías del escalafón docente.</v>
      </c>
      <c r="E45" s="41"/>
      <c r="F45" s="41"/>
      <c r="G45" s="104" t="s">
        <v>64</v>
      </c>
      <c r="H45" s="41"/>
      <c r="I45" s="104" t="str">
        <f t="shared" si="0"/>
        <v>NA</v>
      </c>
      <c r="J45" s="45" t="str">
        <f t="shared" si="1"/>
        <v>NA</v>
      </c>
      <c r="K45" s="45" t="str">
        <f t="shared" si="4"/>
        <v>NA</v>
      </c>
      <c r="L45" s="389"/>
      <c r="M45" s="389"/>
    </row>
    <row r="46" spans="1:13" ht="75" hidden="1" x14ac:dyDescent="0.25">
      <c r="A46" s="245">
        <v>3</v>
      </c>
      <c r="B46" s="245">
        <v>9</v>
      </c>
      <c r="C46" s="52" t="str">
        <f>Final!E44</f>
        <v>e</v>
      </c>
      <c r="D46" s="20" t="str">
        <f>Final!F44</f>
        <v>Apreciación de directivos y profesores sobre la aplicación de las políticas institucionales en materia de participación del profesorado en los órganos colegiados de dirección de la institución y del proyecto curricular.</v>
      </c>
      <c r="E46" s="41"/>
      <c r="F46" s="41"/>
      <c r="G46" s="104" t="s">
        <v>64</v>
      </c>
      <c r="H46" s="41"/>
      <c r="I46" s="104" t="str">
        <f t="shared" si="0"/>
        <v>NA</v>
      </c>
      <c r="J46" s="45" t="str">
        <f t="shared" si="1"/>
        <v>NA</v>
      </c>
      <c r="K46" s="45" t="str">
        <f t="shared" si="4"/>
        <v>NA</v>
      </c>
      <c r="L46" s="389"/>
      <c r="M46" s="389"/>
    </row>
    <row r="47" spans="1:13" ht="60" hidden="1" x14ac:dyDescent="0.25">
      <c r="A47" s="245">
        <v>3</v>
      </c>
      <c r="B47" s="245">
        <v>9</v>
      </c>
      <c r="C47" s="52" t="str">
        <f>Final!E45</f>
        <v>f</v>
      </c>
      <c r="D47" s="20" t="str">
        <f>Final!F45</f>
        <v>Evidencias sobre la participación de los profesores en los órganos de dirección del proyecto curricular,  de la facultad, del departamento y/o de la institución, durante los últimos cinco años.</v>
      </c>
      <c r="E47" s="41"/>
      <c r="F47" s="41"/>
      <c r="G47" s="104" t="s">
        <v>64</v>
      </c>
      <c r="H47" s="41"/>
      <c r="I47" s="104" t="str">
        <f t="shared" si="0"/>
        <v>NA</v>
      </c>
      <c r="J47" s="45" t="str">
        <f t="shared" si="1"/>
        <v>NA</v>
      </c>
      <c r="K47" s="45" t="str">
        <f t="shared" si="4"/>
        <v>NA</v>
      </c>
      <c r="L47" s="390"/>
      <c r="M47" s="389"/>
    </row>
    <row r="48" spans="1:13" ht="120" hidden="1" x14ac:dyDescent="0.25">
      <c r="A48" s="245">
        <v>3</v>
      </c>
      <c r="B48" s="245">
        <v>10</v>
      </c>
      <c r="C48" s="52" t="str">
        <f>Final!E46</f>
        <v>a</v>
      </c>
      <c r="D48" s="290" t="str">
        <f>Final!F46</f>
        <v>Información demostrada sobre la relación de la formación académica de los profesores de planta y vinculación especial, vinculados al proyecto curricular, según tipo de título de especialización, maestría y doctorado, con el objeto de conocimiento del proyecto curricular, indicando la información demostrada acerca de las instituciones en las cuales fueron formados</v>
      </c>
      <c r="E48" s="227" t="s">
        <v>512</v>
      </c>
      <c r="F48" s="9"/>
      <c r="G48" s="226" t="s">
        <v>2829</v>
      </c>
      <c r="H48" s="41"/>
      <c r="I48" s="104" t="str">
        <f t="shared" si="0"/>
        <v>SI</v>
      </c>
      <c r="J48" s="45">
        <f t="shared" si="1"/>
        <v>5</v>
      </c>
      <c r="K48" s="45">
        <f>AVERAGE(J48)</f>
        <v>5</v>
      </c>
      <c r="L48" s="388">
        <f>AVERAGE(K48:K59)</f>
        <v>4.4444444444444446</v>
      </c>
      <c r="M48" s="389"/>
    </row>
    <row r="49" spans="1:13" ht="60" hidden="1" x14ac:dyDescent="0.25">
      <c r="A49" s="245">
        <v>3</v>
      </c>
      <c r="B49" s="245">
        <v>10</v>
      </c>
      <c r="C49" s="52" t="str">
        <f>Final!E47</f>
        <v>b</v>
      </c>
      <c r="D49" s="20" t="str">
        <f>Final!F47</f>
        <v>Profesores del proyecto curricular adscritos en forma directa o a través de la Facultad con dedicación de tiempo completo, medio tiempo y cátedra, según nivel de formación</v>
      </c>
      <c r="E49" s="44" t="s">
        <v>514</v>
      </c>
      <c r="F49" s="9"/>
      <c r="G49" s="303" t="s">
        <v>2829</v>
      </c>
      <c r="H49" s="41"/>
      <c r="I49" s="104" t="str">
        <f t="shared" si="0"/>
        <v>SI</v>
      </c>
      <c r="J49" s="45">
        <f t="shared" si="1"/>
        <v>5</v>
      </c>
      <c r="K49" s="45">
        <f>AVERAGE(J49)</f>
        <v>5</v>
      </c>
      <c r="L49" s="389"/>
      <c r="M49" s="389"/>
    </row>
    <row r="50" spans="1:13" ht="63.75" hidden="1" customHeight="1" x14ac:dyDescent="0.25">
      <c r="A50" s="245">
        <v>3</v>
      </c>
      <c r="B50" s="245">
        <v>10</v>
      </c>
      <c r="C50" s="367" t="str">
        <f>Final!E48</f>
        <v>c</v>
      </c>
      <c r="D50" s="362" t="str">
        <f>Final!F48</f>
        <v>Tiempo de dedicación de los profesores del proyecto curricular a la docencia (incluyendo el desarrollo de productos, artefactos, materiales y prototipos, entre otros), la investigación, la creación artística, a la extensión o proyección social, la atención de funciones de gestión académica o administrativa, la tutoría individual de los estudiantes de acuerdo con la naturaleza del proyecto curricular.</v>
      </c>
      <c r="E50" s="44" t="s">
        <v>512</v>
      </c>
      <c r="F50" s="9"/>
      <c r="G50" s="303" t="s">
        <v>2829</v>
      </c>
      <c r="H50" s="41"/>
      <c r="I50" s="104" t="str">
        <f t="shared" si="0"/>
        <v>SI</v>
      </c>
      <c r="J50" s="45">
        <f t="shared" si="1"/>
        <v>5</v>
      </c>
      <c r="K50" s="388">
        <f>AVERAGE(J50:J51)</f>
        <v>5</v>
      </c>
      <c r="L50" s="389"/>
      <c r="M50" s="389"/>
    </row>
    <row r="51" spans="1:13" ht="60" hidden="1" customHeight="1" x14ac:dyDescent="0.25">
      <c r="A51" s="245">
        <v>3</v>
      </c>
      <c r="B51" s="245">
        <v>10</v>
      </c>
      <c r="C51" s="368"/>
      <c r="D51" s="363"/>
      <c r="E51" s="44" t="s">
        <v>516</v>
      </c>
      <c r="F51" s="9"/>
      <c r="G51" s="303" t="s">
        <v>2829</v>
      </c>
      <c r="H51" s="41"/>
      <c r="I51" s="104" t="str">
        <f t="shared" si="0"/>
        <v>SI</v>
      </c>
      <c r="J51" s="45">
        <f t="shared" si="1"/>
        <v>5</v>
      </c>
      <c r="K51" s="390"/>
      <c r="L51" s="389"/>
      <c r="M51" s="389"/>
    </row>
    <row r="52" spans="1:13" ht="39" hidden="1" customHeight="1" x14ac:dyDescent="0.25">
      <c r="A52" s="245">
        <v>3</v>
      </c>
      <c r="B52" s="245">
        <v>10</v>
      </c>
      <c r="C52" s="367" t="str">
        <f>Final!E49</f>
        <v>d</v>
      </c>
      <c r="D52" s="362" t="str">
        <f>Final!F49</f>
        <v>Tiempos de los profesores de cátedra dedicados a las tutorías, el acompañamiento de estudiante y el desarrollo de competencias, especialmente actitudes, conocimientos, capacidades y habilidades.</v>
      </c>
      <c r="E52" s="9" t="s">
        <v>512</v>
      </c>
      <c r="F52" s="9"/>
      <c r="G52" s="303" t="s">
        <v>2829</v>
      </c>
      <c r="H52" s="41"/>
      <c r="I52" s="104" t="str">
        <f t="shared" si="0"/>
        <v>SI</v>
      </c>
      <c r="J52" s="45">
        <f t="shared" si="1"/>
        <v>5</v>
      </c>
      <c r="K52" s="388">
        <f>AVERAGE(J52:J53)</f>
        <v>5</v>
      </c>
      <c r="L52" s="389"/>
      <c r="M52" s="389"/>
    </row>
    <row r="53" spans="1:13" ht="28.5" hidden="1" customHeight="1" x14ac:dyDescent="0.25">
      <c r="A53" s="245">
        <v>3</v>
      </c>
      <c r="B53" s="245">
        <v>10</v>
      </c>
      <c r="C53" s="368"/>
      <c r="D53" s="363"/>
      <c r="E53" s="44" t="s">
        <v>516</v>
      </c>
      <c r="F53" s="9"/>
      <c r="G53" s="303" t="s">
        <v>2829</v>
      </c>
      <c r="H53" s="41"/>
      <c r="I53" s="104" t="str">
        <f t="shared" si="0"/>
        <v>SI</v>
      </c>
      <c r="J53" s="45">
        <f t="shared" si="1"/>
        <v>5</v>
      </c>
      <c r="K53" s="390"/>
      <c r="L53" s="389"/>
      <c r="M53" s="389"/>
    </row>
    <row r="54" spans="1:13" ht="60" hidden="1" customHeight="1" x14ac:dyDescent="0.25">
      <c r="A54" s="245">
        <v>3</v>
      </c>
      <c r="B54" s="245">
        <v>10</v>
      </c>
      <c r="C54" s="78" t="str">
        <f>Final!E50</f>
        <v>e</v>
      </c>
      <c r="D54" s="20" t="str">
        <f>Final!F50</f>
        <v>Experiencia profesional y/o académica de los profesores, según necesidades y exigencias del proyecto curricular para el desarrollo óptimo de sus funciones sustantivas.</v>
      </c>
      <c r="E54" s="44" t="s">
        <v>512</v>
      </c>
      <c r="F54" s="9"/>
      <c r="G54" s="303" t="s">
        <v>2829</v>
      </c>
      <c r="H54" s="41"/>
      <c r="I54" s="104" t="str">
        <f t="shared" si="0"/>
        <v>SI</v>
      </c>
      <c r="J54" s="45">
        <f t="shared" si="1"/>
        <v>5</v>
      </c>
      <c r="K54" s="45">
        <f>AVERAGE(J54)</f>
        <v>5</v>
      </c>
      <c r="L54" s="389"/>
      <c r="M54" s="389"/>
    </row>
    <row r="55" spans="1:13" ht="18" hidden="1" customHeight="1" x14ac:dyDescent="0.25">
      <c r="A55" s="245">
        <v>3</v>
      </c>
      <c r="B55" s="245">
        <v>10</v>
      </c>
      <c r="C55" s="367" t="str">
        <f>Final!E51</f>
        <v>f</v>
      </c>
      <c r="D55" s="399" t="str">
        <f>Final!F51</f>
        <v>Suficiencia del número de profesores con relación a la cantidad de estudiantes del proyecto curricular y sus necesidades de formación de acuerdo con el proyecto educativo.</v>
      </c>
      <c r="E55" s="9" t="s">
        <v>512</v>
      </c>
      <c r="F55" s="9"/>
      <c r="G55" s="232" t="s">
        <v>2858</v>
      </c>
      <c r="H55" s="41"/>
      <c r="I55" s="104" t="str">
        <f t="shared" si="0"/>
        <v>SI</v>
      </c>
      <c r="J55" s="45">
        <f t="shared" si="1"/>
        <v>5</v>
      </c>
      <c r="K55" s="388">
        <f>AVERAGE(J55:J57)</f>
        <v>1.6666666666666667</v>
      </c>
      <c r="L55" s="389"/>
      <c r="M55" s="389"/>
    </row>
    <row r="56" spans="1:13" ht="18.75" hidden="1" customHeight="1" x14ac:dyDescent="0.25">
      <c r="A56" s="245">
        <v>3</v>
      </c>
      <c r="B56" s="245">
        <v>10</v>
      </c>
      <c r="C56" s="402"/>
      <c r="D56" s="400"/>
      <c r="E56" s="9" t="s">
        <v>516</v>
      </c>
      <c r="F56" s="9"/>
      <c r="G56" s="9"/>
      <c r="H56" s="41"/>
      <c r="I56" s="104" t="str">
        <f t="shared" si="0"/>
        <v>NO</v>
      </c>
      <c r="J56" s="45">
        <f t="shared" si="1"/>
        <v>0</v>
      </c>
      <c r="K56" s="389"/>
      <c r="L56" s="389"/>
      <c r="M56" s="389"/>
    </row>
    <row r="57" spans="1:13" ht="22.5" hidden="1" customHeight="1" x14ac:dyDescent="0.25">
      <c r="A57" s="245">
        <v>3</v>
      </c>
      <c r="B57" s="245">
        <v>10</v>
      </c>
      <c r="C57" s="368"/>
      <c r="D57" s="401"/>
      <c r="E57" s="9" t="s">
        <v>521</v>
      </c>
      <c r="F57" s="9"/>
      <c r="G57" s="9"/>
      <c r="H57" s="41"/>
      <c r="I57" s="104" t="str">
        <f t="shared" si="0"/>
        <v>NO</v>
      </c>
      <c r="J57" s="45">
        <f t="shared" si="1"/>
        <v>0</v>
      </c>
      <c r="K57" s="390"/>
      <c r="L57" s="389"/>
      <c r="M57" s="389"/>
    </row>
    <row r="58" spans="1:13" ht="60" hidden="1" x14ac:dyDescent="0.25">
      <c r="A58" s="245">
        <v>3</v>
      </c>
      <c r="B58" s="245">
        <v>10</v>
      </c>
      <c r="C58" s="52" t="str">
        <f>Final!E52</f>
        <v>g</v>
      </c>
      <c r="D58" s="20" t="str">
        <f>Final!F52</f>
        <v>Apreciación de directivos, profesores y estudiantes del proyecto curricular sobre la calidad y la suficiencia del número y de la dedicación de los profesores al servicio de éste.</v>
      </c>
      <c r="E58" s="41"/>
      <c r="F58" s="41"/>
      <c r="G58" s="104" t="s">
        <v>64</v>
      </c>
      <c r="H58" s="41"/>
      <c r="I58" s="104" t="str">
        <f t="shared" si="0"/>
        <v>NA</v>
      </c>
      <c r="J58" s="45" t="str">
        <f t="shared" si="1"/>
        <v>NA</v>
      </c>
      <c r="K58" s="45" t="str">
        <f t="shared" ref="K58:K65" si="5">J58</f>
        <v>NA</v>
      </c>
      <c r="L58" s="389"/>
      <c r="M58" s="389"/>
    </row>
    <row r="59" spans="1:13" ht="120" hidden="1" x14ac:dyDescent="0.25">
      <c r="A59" s="245">
        <v>3</v>
      </c>
      <c r="B59" s="245">
        <v>10</v>
      </c>
      <c r="C59" s="52" t="str">
        <f>Final!E53</f>
        <v>h</v>
      </c>
      <c r="D59" s="20" t="str">
        <f>Final!F53</f>
        <v>Existencia y utilización de sistemas y criterios para evaluar el número, la dedicación, el nivel de formación y la experiencia de los profesores del proyecto curricular; periodicidad de esta evaluación; acciones adelantadas por la institución y el proyecto curricular, a partir de los resultados de las evaluaciones realizadas en esta materia en los últimos cinco años.</v>
      </c>
      <c r="E59" s="41"/>
      <c r="F59" s="41"/>
      <c r="G59" s="104" t="s">
        <v>64</v>
      </c>
      <c r="H59" s="41"/>
      <c r="I59" s="104" t="str">
        <f t="shared" si="0"/>
        <v>NA</v>
      </c>
      <c r="J59" s="45" t="str">
        <f t="shared" si="1"/>
        <v>NA</v>
      </c>
      <c r="K59" s="45" t="str">
        <f t="shared" si="5"/>
        <v>NA</v>
      </c>
      <c r="L59" s="390"/>
      <c r="M59" s="389"/>
    </row>
    <row r="60" spans="1:13" ht="90" hidden="1" x14ac:dyDescent="0.25">
      <c r="A60" s="245">
        <v>3</v>
      </c>
      <c r="B60" s="245">
        <v>11</v>
      </c>
      <c r="C60" s="52" t="str">
        <f>Final!E54</f>
        <v>a</v>
      </c>
      <c r="D60" s="20" t="str">
        <f>Final!F54</f>
        <v>Políticas institucionales y evidencias de aplicación, en materia de desarrollo integral del profesorado, que incluyan la capacitación y actualización en los aspectos académicos, profesionales y pedagógicos relacionados con la metodología del proyecto curricular</v>
      </c>
      <c r="E60" s="41"/>
      <c r="F60" s="41"/>
      <c r="G60" s="104" t="s">
        <v>64</v>
      </c>
      <c r="H60" s="41"/>
      <c r="I60" s="104" t="str">
        <f t="shared" si="0"/>
        <v>NA</v>
      </c>
      <c r="J60" s="45" t="str">
        <f t="shared" si="1"/>
        <v>NA</v>
      </c>
      <c r="K60" s="45" t="str">
        <f t="shared" si="5"/>
        <v>NA</v>
      </c>
      <c r="L60" s="388" t="s">
        <v>64</v>
      </c>
      <c r="M60" s="389"/>
    </row>
    <row r="61" spans="1:13" ht="90" hidden="1" x14ac:dyDescent="0.25">
      <c r="A61" s="245">
        <v>3</v>
      </c>
      <c r="B61" s="245">
        <v>11</v>
      </c>
      <c r="C61" s="52" t="str">
        <f>Final!E55</f>
        <v>b</v>
      </c>
      <c r="D61" s="20" t="str">
        <f>Final!F55</f>
        <v>Número de profesores del proyecto curricular, que han participado en los últimos cinco años en programas de desarrollo profesoral o que han recibido apoyo a la capacitación y actualización permanente, como resultado de las políticas institucionales orientadas para tal fin.</v>
      </c>
      <c r="E61" s="41"/>
      <c r="F61" s="41"/>
      <c r="G61" s="104" t="s">
        <v>64</v>
      </c>
      <c r="H61" s="41"/>
      <c r="I61" s="104" t="str">
        <f t="shared" si="0"/>
        <v>NA</v>
      </c>
      <c r="J61" s="45" t="str">
        <f t="shared" si="1"/>
        <v>NA</v>
      </c>
      <c r="K61" s="45" t="str">
        <f t="shared" si="5"/>
        <v>NA</v>
      </c>
      <c r="L61" s="389"/>
      <c r="M61" s="389"/>
    </row>
    <row r="62" spans="1:13" ht="75" hidden="1" x14ac:dyDescent="0.25">
      <c r="A62" s="245">
        <v>3</v>
      </c>
      <c r="B62" s="245">
        <v>11</v>
      </c>
      <c r="C62" s="52" t="str">
        <f>Final!E56</f>
        <v>c</v>
      </c>
      <c r="D62" s="20" t="str">
        <f>Final!F56</f>
        <v>Apreciación de directivos y profesores del proyecto curricular, sobre el impacto que han tenido las acciones orientadas al desarrollo integral de los profesores, en el enriquecimiento de la calidad del proyecto curricular.</v>
      </c>
      <c r="E62" s="41"/>
      <c r="F62" s="41"/>
      <c r="G62" s="104" t="s">
        <v>64</v>
      </c>
      <c r="H62" s="41"/>
      <c r="I62" s="104" t="str">
        <f t="shared" si="0"/>
        <v>NA</v>
      </c>
      <c r="J62" s="45" t="str">
        <f t="shared" si="1"/>
        <v>NA</v>
      </c>
      <c r="K62" s="45" t="str">
        <f t="shared" si="5"/>
        <v>NA</v>
      </c>
      <c r="L62" s="389"/>
      <c r="M62" s="389"/>
    </row>
    <row r="63" spans="1:13" ht="60" hidden="1" x14ac:dyDescent="0.25">
      <c r="A63" s="245">
        <v>3</v>
      </c>
      <c r="B63" s="245">
        <v>11</v>
      </c>
      <c r="C63" s="52" t="str">
        <f>Final!E57</f>
        <v>d</v>
      </c>
      <c r="D63" s="20" t="str">
        <f>Final!F57</f>
        <v>Acompañamiento por expertos, para la cualificación de la labor pedagógica de los profesores, de acuerdo con el tipo y metodología del proyecto curricular.</v>
      </c>
      <c r="E63" s="41"/>
      <c r="F63" s="41"/>
      <c r="G63" s="104" t="s">
        <v>64</v>
      </c>
      <c r="H63" s="41"/>
      <c r="I63" s="104" t="str">
        <f t="shared" si="0"/>
        <v>NA</v>
      </c>
      <c r="J63" s="45" t="str">
        <f t="shared" si="1"/>
        <v>NA</v>
      </c>
      <c r="K63" s="45" t="str">
        <f t="shared" si="5"/>
        <v>NA</v>
      </c>
      <c r="L63" s="389"/>
      <c r="M63" s="389"/>
    </row>
    <row r="64" spans="1:13" ht="30" hidden="1" x14ac:dyDescent="0.25">
      <c r="A64" s="245">
        <v>3</v>
      </c>
      <c r="B64" s="245">
        <v>11</v>
      </c>
      <c r="C64" s="52" t="str">
        <f>Final!E58</f>
        <v>e</v>
      </c>
      <c r="D64" s="20" t="str">
        <f>Final!F58</f>
        <v>Reconocimiento a los profesores que participan en procesos de creación artística y cultural.</v>
      </c>
      <c r="E64" s="41"/>
      <c r="F64" s="41"/>
      <c r="G64" s="104" t="s">
        <v>64</v>
      </c>
      <c r="H64" s="41"/>
      <c r="I64" s="104" t="str">
        <f t="shared" si="0"/>
        <v>NA</v>
      </c>
      <c r="J64" s="45" t="str">
        <f t="shared" si="1"/>
        <v>NA</v>
      </c>
      <c r="K64" s="45" t="str">
        <f t="shared" si="5"/>
        <v>NA</v>
      </c>
      <c r="L64" s="389"/>
      <c r="M64" s="389"/>
    </row>
    <row r="65" spans="1:13" ht="45" hidden="1" x14ac:dyDescent="0.25">
      <c r="A65" s="245">
        <v>3</v>
      </c>
      <c r="B65" s="245">
        <v>11</v>
      </c>
      <c r="C65" s="52" t="str">
        <f>Final!E59</f>
        <v>f</v>
      </c>
      <c r="D65" s="20" t="str">
        <f>Final!F59</f>
        <v>Estrategias orientadas a la actualización docente en temas relacionados con la atención a la diversidad poblacional.</v>
      </c>
      <c r="E65" s="41"/>
      <c r="F65" s="41"/>
      <c r="G65" s="104" t="s">
        <v>64</v>
      </c>
      <c r="H65" s="41"/>
      <c r="I65" s="104" t="str">
        <f t="shared" si="0"/>
        <v>NA</v>
      </c>
      <c r="J65" s="45" t="str">
        <f t="shared" si="1"/>
        <v>NA</v>
      </c>
      <c r="K65" s="45" t="str">
        <f t="shared" si="5"/>
        <v>NA</v>
      </c>
      <c r="L65" s="390"/>
      <c r="M65" s="389"/>
    </row>
    <row r="66" spans="1:13" ht="105" hidden="1" x14ac:dyDescent="0.25">
      <c r="A66" s="245">
        <v>3</v>
      </c>
      <c r="B66" s="245">
        <v>12</v>
      </c>
      <c r="C66" s="52" t="str">
        <f>Final!E60</f>
        <v>a</v>
      </c>
      <c r="D66" s="20" t="str">
        <f>Final!F60</f>
        <v>Aplicación de las políticas de estímulo y reconocimiento a los profesores por el ejercicio calificado de la docencia, investigación, innovación, creación artística, técnica y tecnología, extensión o proyección social y cooperación internacional y evidenciar la incidencia de dichos reconocimientos frente a la actividad docente.</v>
      </c>
      <c r="E66" s="72" t="s">
        <v>2830</v>
      </c>
      <c r="F66" s="9"/>
      <c r="G66" s="305" t="s">
        <v>2831</v>
      </c>
      <c r="H66" s="41"/>
      <c r="I66" s="104" t="str">
        <f t="shared" si="0"/>
        <v>SI</v>
      </c>
      <c r="J66" s="45">
        <f t="shared" si="1"/>
        <v>5</v>
      </c>
      <c r="K66" s="45">
        <f>AVERAGE(J66)</f>
        <v>5</v>
      </c>
      <c r="L66" s="388">
        <f>AVERAGE(K66:K68)</f>
        <v>5</v>
      </c>
      <c r="M66" s="389"/>
    </row>
    <row r="67" spans="1:13" ht="75" hidden="1" x14ac:dyDescent="0.25">
      <c r="A67" s="245">
        <v>3</v>
      </c>
      <c r="B67" s="245">
        <v>12</v>
      </c>
      <c r="C67" s="52" t="str">
        <f>Final!E61</f>
        <v>b</v>
      </c>
      <c r="D67" s="290" t="str">
        <f>Final!F61</f>
        <v>Estrategias que promueven la creación artística y cultural, la innovación, la adaptación, la transferencia técnica y tecnológica, la creación de tecnofactos y prototipos, y la obtención de patentes, de acuerdo con la naturaleza del proyecto curricular.</v>
      </c>
      <c r="E67" s="72" t="s">
        <v>3128</v>
      </c>
      <c r="F67" s="82"/>
      <c r="G67" s="254" t="s">
        <v>3127</v>
      </c>
      <c r="H67" s="41"/>
      <c r="I67" s="104" t="str">
        <f t="shared" si="0"/>
        <v>SI</v>
      </c>
      <c r="J67" s="45">
        <f t="shared" si="1"/>
        <v>5</v>
      </c>
      <c r="K67" s="45">
        <f>AVERAGE(J67)</f>
        <v>5</v>
      </c>
      <c r="L67" s="389"/>
      <c r="M67" s="389"/>
    </row>
    <row r="68" spans="1:13" ht="135" hidden="1" x14ac:dyDescent="0.25">
      <c r="A68" s="245">
        <v>3</v>
      </c>
      <c r="B68" s="245">
        <v>12</v>
      </c>
      <c r="C68" s="52" t="str">
        <f>Final!E62</f>
        <v>c</v>
      </c>
      <c r="D68" s="20" t="str">
        <f>Final!F62</f>
        <v>Apreciación de directivos y profesores del proyecto curricular sobre el impacto que, para el enriquecimiento de la calidad del mismo , ha tenido el régimen de estímulos al profesorado por el ejercicio calificado de la docencia, la investigación, la innovación, la creación artística y cultural, la extensión o proyección social, los aportes al desarrollo técnico y tecnológico y la cooperación internacional.</v>
      </c>
      <c r="E68" s="41"/>
      <c r="F68" s="41"/>
      <c r="G68" s="104" t="s">
        <v>64</v>
      </c>
      <c r="H68" s="41"/>
      <c r="I68" s="104" t="str">
        <f t="shared" ref="I68:I130" si="6">IF((LEN(G68)=$P$5)*OR(LEN(H68)=$P$5),$O$5,IF(EXACT(G68,$O$6),$O$6,$O$4))</f>
        <v>NA</v>
      </c>
      <c r="J68" s="45" t="str">
        <f t="shared" ref="J68:J130" si="7">IF(EXACT(I68,$O$4),$P$4,IF(EXACT(I68,$O$6),$O$6,$P$5))</f>
        <v>NA</v>
      </c>
      <c r="K68" s="45" t="str">
        <f t="shared" ref="K68:K89" si="8">J68</f>
        <v>NA</v>
      </c>
      <c r="L68" s="390"/>
      <c r="M68" s="389"/>
    </row>
    <row r="69" spans="1:13" ht="75" hidden="1" x14ac:dyDescent="0.25">
      <c r="A69" s="245">
        <v>3</v>
      </c>
      <c r="B69" s="245">
        <v>13</v>
      </c>
      <c r="C69" s="52" t="str">
        <f>Final!E63</f>
        <v>a</v>
      </c>
      <c r="D69" s="20" t="str">
        <f>Final!F63</f>
        <v>Producción, utilización y evaluación de materiales de apoyo docente producidos en los últimos cinco años, que sean pertinentes a la naturaleza y metodología del proyecto curricular y a su función pedagógica</v>
      </c>
      <c r="E69" s="41"/>
      <c r="F69" s="41"/>
      <c r="G69" s="104" t="s">
        <v>64</v>
      </c>
      <c r="H69" s="41"/>
      <c r="I69" s="104" t="str">
        <f t="shared" si="6"/>
        <v>NA</v>
      </c>
      <c r="J69" s="45" t="str">
        <f t="shared" si="7"/>
        <v>NA</v>
      </c>
      <c r="K69" s="45" t="str">
        <f t="shared" si="8"/>
        <v>NA</v>
      </c>
      <c r="L69" s="388" t="s">
        <v>64</v>
      </c>
      <c r="M69" s="389"/>
    </row>
    <row r="70" spans="1:13" ht="75" hidden="1" x14ac:dyDescent="0.25">
      <c r="A70" s="245">
        <v>3</v>
      </c>
      <c r="B70" s="245">
        <v>13</v>
      </c>
      <c r="C70" s="52" t="str">
        <f>Final!E64</f>
        <v>b</v>
      </c>
      <c r="D70" s="20" t="str">
        <f>Final!F64</f>
        <v>Uso y apreciación de los estudiantes sobre la calidad de los materiales de apoyo producidos o utilizados por los profesores y su pertinencia con la metodología de los espacios académicos del proyecto curricular.</v>
      </c>
      <c r="E70" s="41"/>
      <c r="F70" s="41"/>
      <c r="G70" s="104" t="s">
        <v>64</v>
      </c>
      <c r="H70" s="41"/>
      <c r="I70" s="104" t="str">
        <f t="shared" si="6"/>
        <v>NA</v>
      </c>
      <c r="J70" s="45" t="str">
        <f t="shared" si="7"/>
        <v>NA</v>
      </c>
      <c r="K70" s="45" t="str">
        <f t="shared" si="8"/>
        <v>NA</v>
      </c>
      <c r="L70" s="389"/>
      <c r="M70" s="389"/>
    </row>
    <row r="71" spans="1:13" ht="60" hidden="1" x14ac:dyDescent="0.25">
      <c r="A71" s="245">
        <v>3</v>
      </c>
      <c r="B71" s="245">
        <v>13</v>
      </c>
      <c r="C71" s="52" t="str">
        <f>Final!E65</f>
        <v>c</v>
      </c>
      <c r="D71" s="20" t="str">
        <f>Final!F65</f>
        <v>Premios u otros reconocimientos a los materiales de apoyo a la labor docente, en el ámbito nacional o internacional, que hayan producido los profesores adscritos al proyecto curricular.</v>
      </c>
      <c r="E71" s="41"/>
      <c r="F71" s="41"/>
      <c r="G71" s="104" t="s">
        <v>64</v>
      </c>
      <c r="H71" s="41"/>
      <c r="I71" s="104" t="str">
        <f t="shared" si="6"/>
        <v>NA</v>
      </c>
      <c r="J71" s="45" t="str">
        <f t="shared" si="7"/>
        <v>NA</v>
      </c>
      <c r="K71" s="45" t="str">
        <f t="shared" si="8"/>
        <v>NA</v>
      </c>
      <c r="L71" s="389"/>
      <c r="M71" s="389"/>
    </row>
    <row r="72" spans="1:13" ht="45" hidden="1" x14ac:dyDescent="0.25">
      <c r="A72" s="245">
        <v>3</v>
      </c>
      <c r="B72" s="245">
        <v>13</v>
      </c>
      <c r="C72" s="52" t="str">
        <f>Final!E66</f>
        <v>d</v>
      </c>
      <c r="D72" s="20" t="str">
        <f>Final!F66</f>
        <v>Existencia y aplicación de un régimen de propiedad intelectual en la institución aplicado a los materiales de apoyo a la docencia.</v>
      </c>
      <c r="E72" s="41"/>
      <c r="F72" s="41"/>
      <c r="G72" s="104" t="s">
        <v>64</v>
      </c>
      <c r="H72" s="41"/>
      <c r="I72" s="104" t="str">
        <f t="shared" si="6"/>
        <v>NA</v>
      </c>
      <c r="J72" s="45" t="str">
        <f t="shared" si="7"/>
        <v>NA</v>
      </c>
      <c r="K72" s="45" t="str">
        <f t="shared" si="8"/>
        <v>NA</v>
      </c>
      <c r="L72" s="390"/>
      <c r="M72" s="389"/>
    </row>
    <row r="73" spans="1:13" ht="105" hidden="1" x14ac:dyDescent="0.25">
      <c r="A73" s="245">
        <v>3</v>
      </c>
      <c r="B73" s="245">
        <v>14</v>
      </c>
      <c r="C73" s="52" t="str">
        <f>Final!E67</f>
        <v>a</v>
      </c>
      <c r="D73" s="20" t="str">
        <f>Final!F67</f>
        <v>Conocimiento por parte de los profesores del proyecto curricular, de las políticas y reglamentaciones institucionales en materia de remuneración de los profesores en las que se tengan en cuenta los méritos profesionales y académicos, así como los estímulos a la producción académica y de innovación debidamente evaluada</v>
      </c>
      <c r="E73" s="41"/>
      <c r="F73" s="41"/>
      <c r="G73" s="104" t="s">
        <v>64</v>
      </c>
      <c r="H73" s="41"/>
      <c r="I73" s="104" t="str">
        <f t="shared" si="6"/>
        <v>NA</v>
      </c>
      <c r="J73" s="45" t="str">
        <f t="shared" si="7"/>
        <v>NA</v>
      </c>
      <c r="K73" s="45" t="str">
        <f t="shared" si="8"/>
        <v>NA</v>
      </c>
      <c r="L73" s="388" t="s">
        <v>64</v>
      </c>
      <c r="M73" s="389"/>
    </row>
    <row r="74" spans="1:13" ht="30" hidden="1" x14ac:dyDescent="0.25">
      <c r="A74" s="245">
        <v>3</v>
      </c>
      <c r="B74" s="245">
        <v>14</v>
      </c>
      <c r="C74" s="52" t="str">
        <f>Final!E68</f>
        <v>b</v>
      </c>
      <c r="D74" s="20" t="str">
        <f>Final!F68</f>
        <v>Evidencias sobre la aplicación de estas políticas y reglamentaciones.</v>
      </c>
      <c r="E74" s="41"/>
      <c r="F74" s="41"/>
      <c r="G74" s="104" t="s">
        <v>64</v>
      </c>
      <c r="H74" s="41"/>
      <c r="I74" s="104" t="str">
        <f t="shared" si="6"/>
        <v>NA</v>
      </c>
      <c r="J74" s="45" t="str">
        <f t="shared" si="7"/>
        <v>NA</v>
      </c>
      <c r="K74" s="45" t="str">
        <f t="shared" si="8"/>
        <v>NA</v>
      </c>
      <c r="L74" s="389"/>
      <c r="M74" s="389"/>
    </row>
    <row r="75" spans="1:13" ht="45" hidden="1" x14ac:dyDescent="0.25">
      <c r="A75" s="245">
        <v>3</v>
      </c>
      <c r="B75" s="245">
        <v>14</v>
      </c>
      <c r="C75" s="52" t="str">
        <f>Final!E69</f>
        <v>c</v>
      </c>
      <c r="D75" s="20" t="str">
        <f>Final!F69</f>
        <v>Apreciación de los profesores con respecto a la correspondencia entre la remuneración y los méritos académicos y profesionales</v>
      </c>
      <c r="E75" s="41"/>
      <c r="F75" s="41"/>
      <c r="G75" s="104" t="s">
        <v>64</v>
      </c>
      <c r="H75" s="41"/>
      <c r="I75" s="104" t="str">
        <f t="shared" si="6"/>
        <v>NA</v>
      </c>
      <c r="J75" s="45" t="str">
        <f t="shared" si="7"/>
        <v>NA</v>
      </c>
      <c r="K75" s="45" t="str">
        <f t="shared" si="8"/>
        <v>NA</v>
      </c>
      <c r="L75" s="390"/>
      <c r="M75" s="389"/>
    </row>
    <row r="76" spans="1:13" ht="60" hidden="1" x14ac:dyDescent="0.25">
      <c r="A76" s="245">
        <v>3</v>
      </c>
      <c r="B76" s="245">
        <v>15</v>
      </c>
      <c r="C76" s="52" t="str">
        <f>Final!E70</f>
        <v>a</v>
      </c>
      <c r="D76" s="20" t="str">
        <f>Final!F70</f>
        <v>Existencia y aplicación de políticas institucionales en materia de evaluación integral al desempeño de los profesores. La institución presente evidencias sobre el desarrollo de estas políticas.</v>
      </c>
      <c r="E76" s="41"/>
      <c r="F76" s="41"/>
      <c r="G76" s="104" t="s">
        <v>64</v>
      </c>
      <c r="H76" s="41"/>
      <c r="I76" s="104" t="str">
        <f t="shared" si="6"/>
        <v>NA</v>
      </c>
      <c r="J76" s="45" t="str">
        <f t="shared" si="7"/>
        <v>NA</v>
      </c>
      <c r="K76" s="45" t="str">
        <f t="shared" si="8"/>
        <v>NA</v>
      </c>
      <c r="L76" s="388" t="s">
        <v>64</v>
      </c>
      <c r="M76" s="389"/>
    </row>
    <row r="77" spans="1:13" ht="90" hidden="1" x14ac:dyDescent="0.25">
      <c r="A77" s="245">
        <v>3</v>
      </c>
      <c r="B77" s="245">
        <v>15</v>
      </c>
      <c r="C77" s="52" t="str">
        <f>Final!E71</f>
        <v>b</v>
      </c>
      <c r="D77" s="20" t="str">
        <f>Final!F71</f>
        <v>Criterios y mecanismos de evaluación de los profesores adscritos al proyecto curricular, en correspondencia con la naturaleza del cargo, las funciones y los compromisos contraídos en relación con las metas institucionales y del proyecto curricular.</v>
      </c>
      <c r="E77" s="41"/>
      <c r="F77" s="41"/>
      <c r="G77" s="104" t="s">
        <v>64</v>
      </c>
      <c r="H77" s="41"/>
      <c r="I77" s="104" t="str">
        <f t="shared" si="6"/>
        <v>NA</v>
      </c>
      <c r="J77" s="45" t="str">
        <f t="shared" si="7"/>
        <v>NA</v>
      </c>
      <c r="K77" s="45" t="str">
        <f t="shared" si="8"/>
        <v>NA</v>
      </c>
      <c r="L77" s="389"/>
      <c r="M77" s="389"/>
    </row>
    <row r="78" spans="1:13" ht="60" hidden="1" x14ac:dyDescent="0.25">
      <c r="A78" s="245">
        <v>3</v>
      </c>
      <c r="B78" s="245">
        <v>15</v>
      </c>
      <c r="C78" s="52" t="str">
        <f>Final!E72</f>
        <v>c</v>
      </c>
      <c r="D78" s="20" t="str">
        <f>Final!F72</f>
        <v>Evaluaciones realizadas a los profesores adscritos al proyecto curricular durante los últimos cinco años y las acciones adelantadas por la institución y por el proyecto curricular a partir de dichos resultados.</v>
      </c>
      <c r="E78" s="41"/>
      <c r="F78" s="41"/>
      <c r="G78" s="104" t="s">
        <v>64</v>
      </c>
      <c r="H78" s="41"/>
      <c r="I78" s="104" t="str">
        <f t="shared" si="6"/>
        <v>NA</v>
      </c>
      <c r="J78" s="45" t="str">
        <f t="shared" si="7"/>
        <v>NA</v>
      </c>
      <c r="K78" s="45" t="str">
        <f t="shared" si="8"/>
        <v>NA</v>
      </c>
      <c r="L78" s="389"/>
      <c r="M78" s="389"/>
    </row>
    <row r="79" spans="1:13" ht="30" hidden="1" x14ac:dyDescent="0.25">
      <c r="A79" s="245">
        <v>3</v>
      </c>
      <c r="B79" s="245">
        <v>15</v>
      </c>
      <c r="C79" s="52" t="str">
        <f>Final!E73</f>
        <v>d</v>
      </c>
      <c r="D79" s="20" t="str">
        <f>Final!F73</f>
        <v>Información verificable sobre la participación de los distintos actores en la evaluación.</v>
      </c>
      <c r="E79" s="41"/>
      <c r="F79" s="41"/>
      <c r="G79" s="104" t="s">
        <v>64</v>
      </c>
      <c r="H79" s="41"/>
      <c r="I79" s="104" t="str">
        <f t="shared" si="6"/>
        <v>NA</v>
      </c>
      <c r="J79" s="45" t="str">
        <f t="shared" si="7"/>
        <v>NA</v>
      </c>
      <c r="K79" s="45" t="str">
        <f t="shared" si="8"/>
        <v>NA</v>
      </c>
      <c r="L79" s="389"/>
      <c r="M79" s="389"/>
    </row>
    <row r="80" spans="1:13" ht="60" hidden="1" x14ac:dyDescent="0.25">
      <c r="A80" s="245">
        <v>3</v>
      </c>
      <c r="B80" s="245">
        <v>15</v>
      </c>
      <c r="C80" s="52" t="str">
        <f>Final!E74</f>
        <v>e</v>
      </c>
      <c r="D80" s="20" t="str">
        <f>Final!F74</f>
        <v>Apreciación de los profesores adscritos al proyecto curricular, sobre los criterios y mecanismos para la evaluación de docentes, su transparencia, equidad y eficacia.</v>
      </c>
      <c r="E80" s="41"/>
      <c r="F80" s="41"/>
      <c r="G80" s="104" t="s">
        <v>64</v>
      </c>
      <c r="H80" s="41"/>
      <c r="I80" s="104" t="str">
        <f t="shared" si="6"/>
        <v>NA</v>
      </c>
      <c r="J80" s="45" t="str">
        <f t="shared" si="7"/>
        <v>NA</v>
      </c>
      <c r="K80" s="45" t="str">
        <f t="shared" si="8"/>
        <v>NA</v>
      </c>
      <c r="L80" s="390"/>
      <c r="M80" s="390"/>
    </row>
    <row r="81" spans="1:13" ht="105" hidden="1" x14ac:dyDescent="0.25">
      <c r="A81" s="245">
        <v>4</v>
      </c>
      <c r="B81" s="245">
        <v>16</v>
      </c>
      <c r="C81" s="52" t="str">
        <f>Final!E75</f>
        <v>a</v>
      </c>
      <c r="D81" s="20" t="str">
        <f>Final!F75</f>
        <v>Existencia de criterios y mecanismos para el seguimiento y la evaluación del desarrollo de competencias profesionales básicas y ciudadanas, especialmente en lo relativo a la formación de actitudes, conocimientos, capacidades y habilidades generales que han sido establecidas por el proyecto curricular en su proyecto educativo</v>
      </c>
      <c r="E81" s="41"/>
      <c r="F81" s="41"/>
      <c r="G81" s="104" t="s">
        <v>64</v>
      </c>
      <c r="H81" s="41"/>
      <c r="I81" s="104" t="str">
        <f t="shared" si="6"/>
        <v>NA</v>
      </c>
      <c r="J81" s="45" t="str">
        <f t="shared" si="7"/>
        <v>NA</v>
      </c>
      <c r="K81" s="45" t="str">
        <f t="shared" si="8"/>
        <v>NA</v>
      </c>
      <c r="L81" s="388">
        <f>AVERAGE(K81:K95)</f>
        <v>1.6666666666666667</v>
      </c>
      <c r="M81" s="388">
        <f>(L81*Ponderación!D17)+(L96*Ponderación!D18)+(L106*Ponderación!D19)+(L130*Ponderación!D22)+(L139*Ponderación!D24)+(L147*Ponderación!D25)</f>
        <v>1.7583333333333335</v>
      </c>
    </row>
    <row r="82" spans="1:13" ht="75" hidden="1" x14ac:dyDescent="0.25">
      <c r="A82" s="245">
        <v>4</v>
      </c>
      <c r="B82" s="245">
        <v>16</v>
      </c>
      <c r="C82" s="52" t="str">
        <f>Final!E76</f>
        <v>b</v>
      </c>
      <c r="D82" s="20" t="str">
        <f>Final!F76</f>
        <v>Existencia de criterios y mecanismos para el seguimiento y la evaluación del desarrollo de competencias laborales específicas del ejercicio y de la cultura de la profesión o la disciplina en la que se forma al estudiante.</v>
      </c>
      <c r="E82" s="41"/>
      <c r="F82" s="41"/>
      <c r="G82" s="104" t="s">
        <v>64</v>
      </c>
      <c r="H82" s="41"/>
      <c r="I82" s="104" t="str">
        <f t="shared" si="6"/>
        <v>NA</v>
      </c>
      <c r="J82" s="45" t="str">
        <f t="shared" si="7"/>
        <v>NA</v>
      </c>
      <c r="K82" s="45" t="str">
        <f t="shared" si="8"/>
        <v>NA</v>
      </c>
      <c r="L82" s="389"/>
      <c r="M82" s="389"/>
    </row>
    <row r="83" spans="1:13" ht="75" hidden="1" x14ac:dyDescent="0.25">
      <c r="A83" s="245">
        <v>4</v>
      </c>
      <c r="B83" s="245">
        <v>16</v>
      </c>
      <c r="C83" s="52" t="str">
        <f>Final!E77</f>
        <v>c</v>
      </c>
      <c r="D83" s="20" t="str">
        <f>Final!F77</f>
        <v>Proporción de créditos académicos definidos por el proyecto curricular, correspondiente a espacios académicos orientados a ampliar la formación del estudiante en las dimensiones ética, estética, ambiental, filosófica, política y social.</v>
      </c>
      <c r="E83" s="41"/>
      <c r="F83" s="41"/>
      <c r="G83" s="104" t="s">
        <v>64</v>
      </c>
      <c r="H83" s="41"/>
      <c r="I83" s="104" t="str">
        <f t="shared" si="6"/>
        <v>NA</v>
      </c>
      <c r="J83" s="45" t="str">
        <f t="shared" si="7"/>
        <v>NA</v>
      </c>
      <c r="K83" s="45" t="str">
        <f t="shared" si="8"/>
        <v>NA</v>
      </c>
      <c r="L83" s="389"/>
      <c r="M83" s="389"/>
    </row>
    <row r="84" spans="1:13" ht="75" hidden="1" x14ac:dyDescent="0.25">
      <c r="A84" s="245">
        <v>4</v>
      </c>
      <c r="B84" s="245">
        <v>16</v>
      </c>
      <c r="C84" s="52" t="str">
        <f>Final!E78</f>
        <v>d</v>
      </c>
      <c r="D84" s="20" t="str">
        <f>Final!F78</f>
        <v>Evaluación de la pertinencia de los espacios académicos del proyecto curricular destinados a ampliar la formación de los estudiantes hacia las dimensiones ética, estética, ambiental, filosófica, política y social</v>
      </c>
      <c r="E84" s="41"/>
      <c r="F84" s="41"/>
      <c r="G84" s="104" t="s">
        <v>64</v>
      </c>
      <c r="H84" s="41"/>
      <c r="I84" s="104" t="str">
        <f t="shared" si="6"/>
        <v>NA</v>
      </c>
      <c r="J84" s="45" t="str">
        <f t="shared" si="7"/>
        <v>NA</v>
      </c>
      <c r="K84" s="45" t="str">
        <f t="shared" si="8"/>
        <v>NA</v>
      </c>
      <c r="L84" s="389"/>
      <c r="M84" s="389"/>
    </row>
    <row r="85" spans="1:13" ht="90" hidden="1" x14ac:dyDescent="0.25">
      <c r="A85" s="245">
        <v>4</v>
      </c>
      <c r="B85" s="245">
        <v>16</v>
      </c>
      <c r="C85" s="52" t="str">
        <f>Final!E79</f>
        <v>e</v>
      </c>
      <c r="D85" s="20" t="str">
        <f>Final!F79</f>
        <v>Criterios pedagógicos y estrategias adoptadas para la asignación de créditos y la distribución de tiempos directo, cooperativo y autónomo a las distintas actividades de formación en las que se ofrece el proyecto curricular, según su naturaleza y modalidad.</v>
      </c>
      <c r="E85" s="41"/>
      <c r="F85" s="41"/>
      <c r="G85" s="104" t="s">
        <v>64</v>
      </c>
      <c r="H85" s="41"/>
      <c r="I85" s="104" t="str">
        <f t="shared" si="6"/>
        <v>NA</v>
      </c>
      <c r="J85" s="45" t="str">
        <f t="shared" si="7"/>
        <v>NA</v>
      </c>
      <c r="K85" s="45" t="str">
        <f t="shared" si="8"/>
        <v>NA</v>
      </c>
      <c r="L85" s="389"/>
      <c r="M85" s="389"/>
    </row>
    <row r="86" spans="1:13" ht="45" hidden="1" x14ac:dyDescent="0.25">
      <c r="A86" s="245">
        <v>4</v>
      </c>
      <c r="B86" s="245">
        <v>16</v>
      </c>
      <c r="C86" s="52" t="str">
        <f>Final!E80</f>
        <v>f</v>
      </c>
      <c r="D86" s="20" t="str">
        <f>Final!F80</f>
        <v>Estrategias utilizadas para promover y establecer el trabajo cooperativo y autónomo en los distintos espacios académicos del proyecto curricular.</v>
      </c>
      <c r="E86" s="41"/>
      <c r="F86" s="41"/>
      <c r="G86" s="104" t="s">
        <v>64</v>
      </c>
      <c r="H86" s="41"/>
      <c r="I86" s="104" t="str">
        <f t="shared" si="6"/>
        <v>NA</v>
      </c>
      <c r="J86" s="45" t="str">
        <f t="shared" si="7"/>
        <v>NA</v>
      </c>
      <c r="K86" s="45" t="str">
        <f t="shared" si="8"/>
        <v>NA</v>
      </c>
      <c r="L86" s="389"/>
      <c r="M86" s="389"/>
    </row>
    <row r="87" spans="1:13" ht="60" hidden="1" x14ac:dyDescent="0.25">
      <c r="A87" s="245">
        <v>4</v>
      </c>
      <c r="B87" s="245">
        <v>16</v>
      </c>
      <c r="C87" s="52" t="str">
        <f>Final!E81</f>
        <v>g</v>
      </c>
      <c r="D87" s="20" t="str">
        <f>Final!F81</f>
        <v>Apreciación por parte de directivos, profesores, estudiantes y egresados sobre la integralidad del currículo a la luz de las dimensiones ética, estética, ambiental, filosófica, política y social.</v>
      </c>
      <c r="E87" s="41"/>
      <c r="F87" s="41"/>
      <c r="G87" s="104" t="s">
        <v>64</v>
      </c>
      <c r="H87" s="41"/>
      <c r="I87" s="104" t="str">
        <f t="shared" si="6"/>
        <v>NA</v>
      </c>
      <c r="J87" s="45" t="str">
        <f t="shared" si="7"/>
        <v>NA</v>
      </c>
      <c r="K87" s="45" t="str">
        <f t="shared" si="8"/>
        <v>NA</v>
      </c>
      <c r="L87" s="389"/>
      <c r="M87" s="389"/>
    </row>
    <row r="88" spans="1:13" ht="60" hidden="1" x14ac:dyDescent="0.25">
      <c r="A88" s="245">
        <v>4</v>
      </c>
      <c r="B88" s="245">
        <v>16</v>
      </c>
      <c r="C88" s="52" t="str">
        <f>Final!E82</f>
        <v>h</v>
      </c>
      <c r="D88" s="20" t="str">
        <f>Final!F82</f>
        <v>Apreciación por parte de directivos, profesores, estudiantes y egresados de la calidad del currículo a la luz de sus funciones esenciales de formación disciplinar, investigación y proyección social.</v>
      </c>
      <c r="E88" s="41"/>
      <c r="F88" s="41"/>
      <c r="G88" s="104" t="s">
        <v>64</v>
      </c>
      <c r="H88" s="41"/>
      <c r="I88" s="104" t="str">
        <f t="shared" si="6"/>
        <v>NA</v>
      </c>
      <c r="J88" s="45" t="str">
        <f t="shared" si="7"/>
        <v>NA</v>
      </c>
      <c r="K88" s="45" t="str">
        <f t="shared" si="8"/>
        <v>NA</v>
      </c>
      <c r="L88" s="389"/>
      <c r="M88" s="389"/>
    </row>
    <row r="89" spans="1:13" ht="90" hidden="1" x14ac:dyDescent="0.25">
      <c r="A89" s="245">
        <v>4</v>
      </c>
      <c r="B89" s="245">
        <v>16</v>
      </c>
      <c r="C89" s="52" t="str">
        <f>Final!E83</f>
        <v>i</v>
      </c>
      <c r="D89" s="20" t="str">
        <f>Final!F83</f>
        <v>Aplicación y evaluación de estrategias, metodologías y/o problemáticas desde las cuales se propicie en los estudiantes el desarrollo del pensamiento autónomo y el fomento de la creatividad, según el campo de conocimiento y la naturaleza del proyecto curricular.</v>
      </c>
      <c r="E89" s="41"/>
      <c r="F89" s="41"/>
      <c r="G89" s="104" t="s">
        <v>64</v>
      </c>
      <c r="H89" s="41"/>
      <c r="I89" s="104" t="str">
        <f t="shared" si="6"/>
        <v>NA</v>
      </c>
      <c r="J89" s="45" t="str">
        <f t="shared" si="7"/>
        <v>NA</v>
      </c>
      <c r="K89" s="45" t="str">
        <f t="shared" si="8"/>
        <v>NA</v>
      </c>
      <c r="L89" s="389"/>
      <c r="M89" s="389"/>
    </row>
    <row r="90" spans="1:13" ht="62.25" hidden="1" customHeight="1" x14ac:dyDescent="0.25">
      <c r="A90" s="245">
        <v>4</v>
      </c>
      <c r="B90" s="245">
        <v>16</v>
      </c>
      <c r="C90" s="367" t="str">
        <f>Final!E84</f>
        <v>j</v>
      </c>
      <c r="D90" s="362" t="str">
        <f>Final!F84</f>
        <v>Análisis cuantitativo y cualitativo sobre el desempeño obtenido por los estudiantes del proyecto curricular en las pruebas de estado de educación superior, durante los últimos cinco años. Análisis con respecto al promedio nacional.</v>
      </c>
      <c r="E90" s="220" t="s">
        <v>546</v>
      </c>
      <c r="F90" s="9"/>
      <c r="G90" s="9"/>
      <c r="H90" s="41"/>
      <c r="I90" s="104" t="str">
        <f t="shared" si="6"/>
        <v>NO</v>
      </c>
      <c r="J90" s="45">
        <f t="shared" si="7"/>
        <v>0</v>
      </c>
      <c r="K90" s="388">
        <f>AVERAGE(J90:J91)</f>
        <v>0</v>
      </c>
      <c r="L90" s="389"/>
      <c r="M90" s="389"/>
    </row>
    <row r="91" spans="1:13" hidden="1" x14ac:dyDescent="0.25">
      <c r="A91" s="245">
        <v>4</v>
      </c>
      <c r="B91" s="245">
        <v>16</v>
      </c>
      <c r="C91" s="368"/>
      <c r="D91" s="363"/>
      <c r="E91" s="44" t="s">
        <v>547</v>
      </c>
      <c r="F91" s="9"/>
      <c r="G91" s="9"/>
      <c r="H91" s="41"/>
      <c r="I91" s="104" t="str">
        <f t="shared" si="6"/>
        <v>NO</v>
      </c>
      <c r="J91" s="45">
        <f t="shared" si="7"/>
        <v>0</v>
      </c>
      <c r="K91" s="390"/>
      <c r="L91" s="389"/>
      <c r="M91" s="389"/>
    </row>
    <row r="92" spans="1:13" ht="90" hidden="1" x14ac:dyDescent="0.25">
      <c r="A92" s="245">
        <v>4</v>
      </c>
      <c r="B92" s="245">
        <v>16</v>
      </c>
      <c r="C92" s="52" t="str">
        <f>Final!E85</f>
        <v>k</v>
      </c>
      <c r="D92" s="20" t="str">
        <f>Final!F85</f>
        <v>Estudios de valor agregado realizados para analizar los resultados obtenidos por los estudiantes en la Pruebas Saber Pro y su relación con los resultados de las Pruebas Saber 11. Análisis de los promedios obtenidos y sus relaciones con los promedios nacionales</v>
      </c>
      <c r="E92" s="72" t="s">
        <v>550</v>
      </c>
      <c r="F92" s="82"/>
      <c r="G92" s="82"/>
      <c r="H92" s="41"/>
      <c r="I92" s="104" t="str">
        <f t="shared" si="6"/>
        <v>NO</v>
      </c>
      <c r="J92" s="45">
        <f t="shared" si="7"/>
        <v>0</v>
      </c>
      <c r="K92" s="45">
        <f>AVERAGE(J92)</f>
        <v>0</v>
      </c>
      <c r="L92" s="389"/>
      <c r="M92" s="389"/>
    </row>
    <row r="93" spans="1:13" ht="90" hidden="1" x14ac:dyDescent="0.25">
      <c r="A93" s="245">
        <v>4</v>
      </c>
      <c r="B93" s="245">
        <v>16</v>
      </c>
      <c r="C93" s="52" t="str">
        <f>Final!E86</f>
        <v>l</v>
      </c>
      <c r="D93" s="20" t="str">
        <f>Final!F86</f>
        <v>Identificación en el perfil profesional y ocupacional de los distintos tipos de competencias, especialmente actitudes, conocimientos, capacidades y habilidades requeridas en el nivel de formación y definidas en las actividades académicas necesarias para su desarrollo.</v>
      </c>
      <c r="E93" s="41"/>
      <c r="F93" s="41"/>
      <c r="G93" s="104" t="s">
        <v>64</v>
      </c>
      <c r="H93" s="41"/>
      <c r="I93" s="104" t="str">
        <f t="shared" si="6"/>
        <v>NA</v>
      </c>
      <c r="J93" s="45" t="str">
        <f t="shared" si="7"/>
        <v>NA</v>
      </c>
      <c r="K93" s="45" t="str">
        <f>J93</f>
        <v>NA</v>
      </c>
      <c r="L93" s="389"/>
      <c r="M93" s="389"/>
    </row>
    <row r="94" spans="1:13" ht="75" hidden="1" x14ac:dyDescent="0.25">
      <c r="A94" s="245">
        <v>4</v>
      </c>
      <c r="B94" s="245">
        <v>16</v>
      </c>
      <c r="C94" s="52" t="str">
        <f>Final!E87</f>
        <v>m</v>
      </c>
      <c r="D94" s="20" t="str">
        <f>Final!F87</f>
        <v>Existe articulación del plan de estudios del proyecto curricular con los diversos niveles de formación (periodos académicos, especialización, maestría y doctorado, componentes propedéuticos y /o ciclos, entre otros )</v>
      </c>
      <c r="E94" s="77" t="s">
        <v>555</v>
      </c>
      <c r="F94" s="82"/>
      <c r="G94" s="222" t="s">
        <v>2832</v>
      </c>
      <c r="H94" s="41"/>
      <c r="I94" s="104" t="str">
        <f t="shared" si="6"/>
        <v>SI</v>
      </c>
      <c r="J94" s="45">
        <f t="shared" si="7"/>
        <v>5</v>
      </c>
      <c r="K94" s="45">
        <f>AVERAGE(J94)</f>
        <v>5</v>
      </c>
      <c r="L94" s="389"/>
      <c r="M94" s="389"/>
    </row>
    <row r="95" spans="1:13" ht="75" hidden="1" x14ac:dyDescent="0.25">
      <c r="A95" s="245">
        <v>4</v>
      </c>
      <c r="B95" s="245">
        <v>16</v>
      </c>
      <c r="C95" s="52" t="str">
        <f>Final!E88</f>
        <v>n</v>
      </c>
      <c r="D95" s="20" t="str">
        <f>Final!F88</f>
        <v>Evaluación y seguimiento a la aplicación de las estrategias orientadas a desarrollar competencias,
especialmente conocimientos, capacidades y habilidades comunicativas en un segundo idiomaextranjero.</v>
      </c>
      <c r="E95" s="41"/>
      <c r="F95" s="41"/>
      <c r="G95" s="104" t="s">
        <v>64</v>
      </c>
      <c r="H95" s="41"/>
      <c r="I95" s="104" t="str">
        <f t="shared" si="6"/>
        <v>NA</v>
      </c>
      <c r="J95" s="45" t="str">
        <f t="shared" si="7"/>
        <v>NA</v>
      </c>
      <c r="K95" s="45" t="str">
        <f t="shared" ref="K95:K100" si="9">J95</f>
        <v>NA</v>
      </c>
      <c r="L95" s="390"/>
      <c r="M95" s="389"/>
    </row>
    <row r="96" spans="1:13" ht="105" hidden="1" x14ac:dyDescent="0.25">
      <c r="A96" s="245">
        <v>4</v>
      </c>
      <c r="B96" s="245">
        <v>17</v>
      </c>
      <c r="C96" s="52" t="str">
        <f>Final!E89</f>
        <v>a</v>
      </c>
      <c r="D96" s="20" t="str">
        <f>Final!F89</f>
        <v>Evaluación de la aplicación de las políticas institucionales de flexibilidad referidas a la organización y jerarquización de contenidos, el reconocimiento de créditos, la formación por competencias tales como actitudes, conocimientos, capacidades, habilidades y estrategias pedagógicas, electividad, doble titulación y movilidad.</v>
      </c>
      <c r="E96" s="41"/>
      <c r="F96" s="41"/>
      <c r="G96" s="104" t="s">
        <v>64</v>
      </c>
      <c r="H96" s="41"/>
      <c r="I96" s="104" t="str">
        <f t="shared" si="6"/>
        <v>NA</v>
      </c>
      <c r="J96" s="45" t="str">
        <f t="shared" si="7"/>
        <v>NA</v>
      </c>
      <c r="K96" s="45" t="str">
        <f t="shared" si="9"/>
        <v>NA</v>
      </c>
      <c r="L96" s="388">
        <f>AVERAGE(K96:K105)</f>
        <v>5</v>
      </c>
      <c r="M96" s="389"/>
    </row>
    <row r="97" spans="1:13" ht="75" hidden="1" x14ac:dyDescent="0.25">
      <c r="A97" s="245">
        <v>4</v>
      </c>
      <c r="B97" s="245">
        <v>17</v>
      </c>
      <c r="C97" s="52" t="str">
        <f>Final!E90</f>
        <v>b</v>
      </c>
      <c r="D97" s="20" t="str">
        <f>Final!F90</f>
        <v>Aplicación y evaluación de políticas y normas relacionadas con homologaciones de créditos, equivalencia de títulos y transferencias; de forma que se garantice a los estudiantes la continuidad y movilidad en el sistema educativo.</v>
      </c>
      <c r="E97" s="41"/>
      <c r="F97" s="41"/>
      <c r="G97" s="104" t="s">
        <v>64</v>
      </c>
      <c r="H97" s="41"/>
      <c r="I97" s="104" t="str">
        <f t="shared" si="6"/>
        <v>NA</v>
      </c>
      <c r="J97" s="45" t="str">
        <f t="shared" si="7"/>
        <v>NA</v>
      </c>
      <c r="K97" s="45" t="str">
        <f t="shared" si="9"/>
        <v>NA</v>
      </c>
      <c r="L97" s="389"/>
      <c r="M97" s="389"/>
    </row>
    <row r="98" spans="1:13" ht="60" hidden="1" x14ac:dyDescent="0.25">
      <c r="A98" s="245">
        <v>4</v>
      </c>
      <c r="B98" s="245">
        <v>17</v>
      </c>
      <c r="C98" s="52" t="str">
        <f>Final!E91</f>
        <v>c</v>
      </c>
      <c r="D98" s="20" t="str">
        <f>Final!F91</f>
        <v>Nivel de correspondencia entre los desarrollos disciplinares, profesionales y pedagógicos frente a los mecanismos de actualización del currículo atendiendo las necesidades del entorno.</v>
      </c>
      <c r="E98" s="41"/>
      <c r="F98" s="41"/>
      <c r="G98" s="104" t="s">
        <v>64</v>
      </c>
      <c r="H98" s="41"/>
      <c r="I98" s="104" t="str">
        <f t="shared" si="6"/>
        <v>NA</v>
      </c>
      <c r="J98" s="45" t="str">
        <f t="shared" si="7"/>
        <v>NA</v>
      </c>
      <c r="K98" s="45" t="str">
        <f t="shared" si="9"/>
        <v>NA</v>
      </c>
      <c r="L98" s="389"/>
      <c r="M98" s="389"/>
    </row>
    <row r="99" spans="1:13" ht="75" hidden="1" x14ac:dyDescent="0.25">
      <c r="A99" s="245">
        <v>4</v>
      </c>
      <c r="B99" s="245">
        <v>17</v>
      </c>
      <c r="C99" s="52" t="str">
        <f>Final!E92</f>
        <v>d</v>
      </c>
      <c r="D99" s="20" t="str">
        <f>Final!F92</f>
        <v>Definición del índice de flexibilidad curricular del proyecto curricular y comparación de este a nivel nacional e internacional con programas académicos que coincidan con el campo de conocimiento del proyecto curricular.</v>
      </c>
      <c r="E99" s="41"/>
      <c r="F99" s="41"/>
      <c r="G99" s="104" t="s">
        <v>64</v>
      </c>
      <c r="H99" s="41"/>
      <c r="I99" s="104" t="str">
        <f t="shared" si="6"/>
        <v>NA</v>
      </c>
      <c r="J99" s="45" t="str">
        <f t="shared" si="7"/>
        <v>NA</v>
      </c>
      <c r="K99" s="45" t="str">
        <f t="shared" si="9"/>
        <v>NA</v>
      </c>
      <c r="L99" s="389"/>
      <c r="M99" s="389"/>
    </row>
    <row r="100" spans="1:13" ht="60" hidden="1" x14ac:dyDescent="0.25">
      <c r="A100" s="245">
        <v>4</v>
      </c>
      <c r="B100" s="245">
        <v>17</v>
      </c>
      <c r="C100" s="52" t="str">
        <f>Final!E93</f>
        <v>e</v>
      </c>
      <c r="D100" s="20" t="str">
        <f>Final!F93</f>
        <v>Eficacia en la aplicación de las políticas institucionales sobre flexibilidad curricular, a la luz de las apreciaciones de directivos, profesores y estudiantes del proyecto curricular.</v>
      </c>
      <c r="E100" s="41"/>
      <c r="F100" s="41"/>
      <c r="G100" s="104" t="s">
        <v>64</v>
      </c>
      <c r="H100" s="41"/>
      <c r="I100" s="104" t="str">
        <f t="shared" si="6"/>
        <v>NA</v>
      </c>
      <c r="J100" s="45" t="str">
        <f t="shared" si="7"/>
        <v>NA</v>
      </c>
      <c r="K100" s="45" t="str">
        <f t="shared" si="9"/>
        <v>NA</v>
      </c>
      <c r="L100" s="389"/>
      <c r="M100" s="389"/>
    </row>
    <row r="101" spans="1:13" ht="45" hidden="1" x14ac:dyDescent="0.25">
      <c r="A101" s="245">
        <v>4</v>
      </c>
      <c r="B101" s="245">
        <v>17</v>
      </c>
      <c r="C101" s="52" t="str">
        <f>Final!E94</f>
        <v>f</v>
      </c>
      <c r="D101" s="20" t="str">
        <f>Final!F94</f>
        <v>Resultados de la aplicación en el proyecto curricular de las políticas de movilidad estudiantil hacia otras instituciones nacionales e internacionales.</v>
      </c>
      <c r="E101" s="72" t="s">
        <v>564</v>
      </c>
      <c r="F101" s="82"/>
      <c r="G101" s="72" t="s">
        <v>3149</v>
      </c>
      <c r="H101" s="41"/>
      <c r="I101" s="104" t="str">
        <f t="shared" si="6"/>
        <v>SI</v>
      </c>
      <c r="J101" s="45">
        <f t="shared" si="7"/>
        <v>5</v>
      </c>
      <c r="K101" s="45">
        <f t="shared" ref="K101:K107" si="10">AVERAGE(J101)</f>
        <v>5</v>
      </c>
      <c r="L101" s="389"/>
      <c r="M101" s="389"/>
    </row>
    <row r="102" spans="1:13" ht="45" hidden="1" x14ac:dyDescent="0.25">
      <c r="A102" s="245">
        <v>4</v>
      </c>
      <c r="B102" s="245">
        <v>17</v>
      </c>
      <c r="C102" s="52" t="str">
        <f>Final!E95</f>
        <v>g</v>
      </c>
      <c r="D102" s="290" t="str">
        <f>Final!F95</f>
        <v>Existencia, aplicación y evaluación de sistemas de homologación de créditos y de tránsito del pregrado al postgrado</v>
      </c>
      <c r="E102" s="221" t="s">
        <v>563</v>
      </c>
      <c r="F102" s="20"/>
      <c r="G102" s="225" t="s">
        <v>2822</v>
      </c>
      <c r="H102" s="41"/>
      <c r="I102" s="104" t="str">
        <f t="shared" si="6"/>
        <v>SI</v>
      </c>
      <c r="J102" s="45">
        <f t="shared" si="7"/>
        <v>5</v>
      </c>
      <c r="K102" s="45">
        <f t="shared" si="10"/>
        <v>5</v>
      </c>
      <c r="L102" s="389"/>
      <c r="M102" s="389"/>
    </row>
    <row r="103" spans="1:13" ht="90" hidden="1" x14ac:dyDescent="0.25">
      <c r="A103" s="245">
        <v>4</v>
      </c>
      <c r="B103" s="245">
        <v>17</v>
      </c>
      <c r="C103" s="52" t="str">
        <f>Final!E96</f>
        <v>h</v>
      </c>
      <c r="D103" s="290" t="str">
        <f>Final!F96</f>
        <v>Aplicación de criterios de flexibilidad, a la oferta académica, para garantizar la participación de los estudiantes en el diseño de su propio plan académico según sus intereses y que permita la adquisición de actitudes, conocimientos, capacidades y habilidades, con el apoyo de un tutor o asesor.</v>
      </c>
      <c r="E103" s="72" t="s">
        <v>566</v>
      </c>
      <c r="F103" s="82"/>
      <c r="G103" s="82" t="s">
        <v>2825</v>
      </c>
      <c r="H103" s="41"/>
      <c r="I103" s="104" t="str">
        <f t="shared" si="6"/>
        <v>SI</v>
      </c>
      <c r="J103" s="45">
        <f t="shared" si="7"/>
        <v>5</v>
      </c>
      <c r="K103" s="45">
        <f t="shared" si="10"/>
        <v>5</v>
      </c>
      <c r="L103" s="389"/>
      <c r="M103" s="389"/>
    </row>
    <row r="104" spans="1:13" ht="105" hidden="1" x14ac:dyDescent="0.25">
      <c r="A104" s="245">
        <v>4</v>
      </c>
      <c r="B104" s="245">
        <v>17</v>
      </c>
      <c r="C104" s="52" t="str">
        <f>Final!E97</f>
        <v>i</v>
      </c>
      <c r="D104" s="20" t="str">
        <f>Final!F97</f>
        <v>Aseguramiento del tránsito y continuidad de los estudiantes en el sistema educativo y su inserción en el sistema productivo, acorde al tipo y modalidad del proyecto curricular, a través de mecanismos establecidos en los convenios y en las relaciones de cooperación interinstitucional con el sector educativo y laboral.</v>
      </c>
      <c r="E104" s="72" t="s">
        <v>568</v>
      </c>
      <c r="F104" s="82"/>
      <c r="G104" s="82" t="s">
        <v>2821</v>
      </c>
      <c r="H104" s="41"/>
      <c r="I104" s="104" t="str">
        <f t="shared" si="6"/>
        <v>SI</v>
      </c>
      <c r="J104" s="45">
        <f t="shared" si="7"/>
        <v>5</v>
      </c>
      <c r="K104" s="45">
        <f t="shared" si="10"/>
        <v>5</v>
      </c>
      <c r="L104" s="389"/>
      <c r="M104" s="389"/>
    </row>
    <row r="105" spans="1:13" ht="105" hidden="1" x14ac:dyDescent="0.25">
      <c r="A105" s="245">
        <v>4</v>
      </c>
      <c r="B105" s="245">
        <v>17</v>
      </c>
      <c r="C105" s="52" t="str">
        <f>Final!E98</f>
        <v>j</v>
      </c>
      <c r="D105" s="20" t="str">
        <f>Final!F98</f>
        <v>Acciones llevadas a cabo entre la Institución y otras instituciones del sector público o privado (educativo, productivo, financiero, entre otros) para articular y afirmar el carácter secuencial y complementario de los niveles de formación, desde el punto de vista académico y laboral, de acuerdo con el tipo y modalidad del proyecto curricular.</v>
      </c>
      <c r="E105" s="77" t="s">
        <v>570</v>
      </c>
      <c r="F105" s="82"/>
      <c r="G105" s="82" t="s">
        <v>2823</v>
      </c>
      <c r="H105" s="41"/>
      <c r="I105" s="104" t="str">
        <f t="shared" si="6"/>
        <v>SI</v>
      </c>
      <c r="J105" s="45">
        <f t="shared" si="7"/>
        <v>5</v>
      </c>
      <c r="K105" s="45">
        <f t="shared" si="10"/>
        <v>5</v>
      </c>
      <c r="L105" s="390"/>
      <c r="M105" s="389"/>
    </row>
    <row r="106" spans="1:13" ht="45" hidden="1" x14ac:dyDescent="0.25">
      <c r="A106" s="245">
        <v>4</v>
      </c>
      <c r="B106" s="245">
        <v>18</v>
      </c>
      <c r="C106" s="52" t="str">
        <f>Final!E99</f>
        <v>a</v>
      </c>
      <c r="D106" s="20" t="str">
        <f>Final!F99</f>
        <v>Existencia de espacios y actividades resultantes de los espacios curriculares y extracurriculares que tienen un carácter explícitamente interdisciplinario.</v>
      </c>
      <c r="E106" s="44" t="s">
        <v>3151</v>
      </c>
      <c r="F106" s="9"/>
      <c r="G106" s="231" t="s">
        <v>2833</v>
      </c>
      <c r="H106" s="41"/>
      <c r="I106" s="104" t="str">
        <f t="shared" si="6"/>
        <v>SI</v>
      </c>
      <c r="J106" s="45">
        <f t="shared" si="7"/>
        <v>5</v>
      </c>
      <c r="K106" s="45">
        <f t="shared" si="10"/>
        <v>5</v>
      </c>
      <c r="L106" s="388">
        <f>AVERAGE(K106:K108)</f>
        <v>5</v>
      </c>
      <c r="M106" s="389"/>
    </row>
    <row r="107" spans="1:13" ht="75" hidden="1" x14ac:dyDescent="0.25">
      <c r="A107" s="245">
        <v>4</v>
      </c>
      <c r="B107" s="245">
        <v>18</v>
      </c>
      <c r="C107" s="52" t="str">
        <f>Final!E100</f>
        <v>b</v>
      </c>
      <c r="D107" s="20" t="str">
        <f>Final!F100</f>
        <v>Existencia mecanismos y estrategias explícitamente interdisciplinares que se asumen en el proyecto curricular para establecer formas de vincular conocimientos, relacionar conceptos y métodos de trabajo.</v>
      </c>
      <c r="E107" s="220" t="s">
        <v>3152</v>
      </c>
      <c r="F107" s="9"/>
      <c r="G107" s="231" t="s">
        <v>2833</v>
      </c>
      <c r="H107" s="41"/>
      <c r="I107" s="104" t="str">
        <f t="shared" si="6"/>
        <v>SI</v>
      </c>
      <c r="J107" s="45">
        <f t="shared" si="7"/>
        <v>5</v>
      </c>
      <c r="K107" s="45">
        <f t="shared" si="10"/>
        <v>5</v>
      </c>
      <c r="L107" s="389"/>
      <c r="M107" s="389"/>
    </row>
    <row r="108" spans="1:13" ht="60" hidden="1" x14ac:dyDescent="0.25">
      <c r="A108" s="245">
        <v>4</v>
      </c>
      <c r="B108" s="245">
        <v>18</v>
      </c>
      <c r="C108" s="52" t="str">
        <f>Final!E101</f>
        <v>c</v>
      </c>
      <c r="D108" s="20" t="str">
        <f>Final!F101</f>
        <v>Apreciación de profesores y estudiantes sobre la pertinencia y eficacia de la interdisciplinariedad
del proyecto curricular en el enriquecimiento de la calidad del mismo.</v>
      </c>
      <c r="E108" s="41"/>
      <c r="F108" s="41"/>
      <c r="G108" s="104" t="s">
        <v>64</v>
      </c>
      <c r="H108" s="41"/>
      <c r="I108" s="104" t="str">
        <f t="shared" si="6"/>
        <v>NA</v>
      </c>
      <c r="J108" s="45" t="str">
        <f t="shared" si="7"/>
        <v>NA</v>
      </c>
      <c r="K108" s="45" t="str">
        <f t="shared" ref="K108:K133" si="11">J108</f>
        <v>NA</v>
      </c>
      <c r="L108" s="390"/>
      <c r="M108" s="389"/>
    </row>
    <row r="109" spans="1:13" ht="60" hidden="1" x14ac:dyDescent="0.25">
      <c r="A109" s="245">
        <v>4</v>
      </c>
      <c r="B109" s="245">
        <v>19</v>
      </c>
      <c r="C109" s="52" t="str">
        <f>Final!E102</f>
        <v>a</v>
      </c>
      <c r="D109" s="20" t="str">
        <f>Final!F102</f>
        <v>Concordancia de los métodos de enseñanza y aprendizaje utilizados con el tipo y metodología del proyecto curricular, a la luz de los syllabus propuestos en cada uno de los espacios académicos.</v>
      </c>
      <c r="E109" s="41"/>
      <c r="F109" s="41"/>
      <c r="G109" s="104" t="s">
        <v>64</v>
      </c>
      <c r="H109" s="41"/>
      <c r="I109" s="104" t="str">
        <f t="shared" si="6"/>
        <v>NA</v>
      </c>
      <c r="J109" s="45" t="str">
        <f t="shared" si="7"/>
        <v>NA</v>
      </c>
      <c r="K109" s="45" t="str">
        <f t="shared" si="11"/>
        <v>NA</v>
      </c>
      <c r="L109" s="388" t="s">
        <v>64</v>
      </c>
      <c r="M109" s="389"/>
    </row>
    <row r="110" spans="1:13" ht="135" hidden="1" x14ac:dyDescent="0.25">
      <c r="A110" s="245">
        <v>4</v>
      </c>
      <c r="B110" s="245">
        <v>19</v>
      </c>
      <c r="C110" s="52" t="str">
        <f>Final!E103</f>
        <v>b</v>
      </c>
      <c r="D110" s="20" t="str">
        <f>Final!F103</f>
        <v>Correspondencia de los métodos de enseñanza y aprendizaje empleados para el desarrollo de los contenidos o los problemas del plan de estudios del proyecto curricular, con las competencias tales como las actitudes, los conocimientos, las capacidades y las habilidades que se espera desarrollar, la naturaleza de los saberes y las necesidades, objetivos y modalidad del proyecto curricular.</v>
      </c>
      <c r="E110" s="41"/>
      <c r="F110" s="41"/>
      <c r="G110" s="104" t="s">
        <v>64</v>
      </c>
      <c r="H110" s="41"/>
      <c r="I110" s="104" t="str">
        <f t="shared" si="6"/>
        <v>NA</v>
      </c>
      <c r="J110" s="45" t="str">
        <f t="shared" si="7"/>
        <v>NA</v>
      </c>
      <c r="K110" s="45" t="str">
        <f t="shared" si="11"/>
        <v>NA</v>
      </c>
      <c r="L110" s="389"/>
      <c r="M110" s="389"/>
    </row>
    <row r="111" spans="1:13" ht="90" hidden="1" x14ac:dyDescent="0.25">
      <c r="A111" s="245">
        <v>4</v>
      </c>
      <c r="B111" s="245">
        <v>19</v>
      </c>
      <c r="C111" s="52" t="str">
        <f>Final!E104</f>
        <v>c</v>
      </c>
      <c r="D111" s="20" t="str">
        <f>Final!F104</f>
        <v>Apreciación de los estudiantes, profesores y directivos del proyecto curricular sobre la correspondencia entre los métodos de enseñanza y aprendizaje que se emplean en el proyecto curricular y el desarrollo de los contenidos, problemas o proyectos que se desarrollan en el plan de estudios.</v>
      </c>
      <c r="E111" s="41"/>
      <c r="F111" s="41"/>
      <c r="G111" s="104" t="s">
        <v>64</v>
      </c>
      <c r="H111" s="41"/>
      <c r="I111" s="104" t="str">
        <f t="shared" si="6"/>
        <v>NA</v>
      </c>
      <c r="J111" s="45" t="str">
        <f t="shared" si="7"/>
        <v>NA</v>
      </c>
      <c r="K111" s="45" t="str">
        <f t="shared" si="11"/>
        <v>NA</v>
      </c>
      <c r="L111" s="389"/>
      <c r="M111" s="389"/>
    </row>
    <row r="112" spans="1:13" ht="90" hidden="1" x14ac:dyDescent="0.25">
      <c r="A112" s="245">
        <v>4</v>
      </c>
      <c r="B112" s="245">
        <v>19</v>
      </c>
      <c r="C112" s="52" t="str">
        <f>Final!E105</f>
        <v>d</v>
      </c>
      <c r="D112" s="20" t="str">
        <f>Final!F105</f>
        <v>Identificación de las estrategias y mecanismos de seguimiento y acompañamiento por parte del docente al trabajo que realizan los estudiantes en las distintas actividades académicas, de acuerdo con sus capacidades y potencialidades y con el tipo y metodología del proyecto curricular</v>
      </c>
      <c r="E112" s="41"/>
      <c r="F112" s="41"/>
      <c r="G112" s="104" t="s">
        <v>64</v>
      </c>
      <c r="H112" s="41"/>
      <c r="I112" s="104" t="str">
        <f t="shared" si="6"/>
        <v>NA</v>
      </c>
      <c r="J112" s="45" t="str">
        <f t="shared" si="7"/>
        <v>NA</v>
      </c>
      <c r="K112" s="45" t="str">
        <f t="shared" si="11"/>
        <v>NA</v>
      </c>
      <c r="L112" s="389"/>
      <c r="M112" s="389"/>
    </row>
    <row r="113" spans="1:13" ht="75" hidden="1" x14ac:dyDescent="0.25">
      <c r="A113" s="245">
        <v>4</v>
      </c>
      <c r="B113" s="245">
        <v>19</v>
      </c>
      <c r="C113" s="52" t="str">
        <f>Final!E106</f>
        <v>e</v>
      </c>
      <c r="D113" s="20" t="str">
        <f>Final!F106</f>
        <v>Incorporación de los avances, tendencias y transformaciones que se han dado en el campo de conocimiento del proyecto curricular (ciencias, tecnologías, técnicas o artes) que se correspondan con el tipo y modalidad del proyecto curricular.</v>
      </c>
      <c r="E113" s="41"/>
      <c r="F113" s="41"/>
      <c r="G113" s="104" t="s">
        <v>64</v>
      </c>
      <c r="H113" s="41"/>
      <c r="I113" s="104" t="str">
        <f t="shared" si="6"/>
        <v>NA</v>
      </c>
      <c r="J113" s="45" t="str">
        <f t="shared" si="7"/>
        <v>NA</v>
      </c>
      <c r="K113" s="45" t="str">
        <f t="shared" si="11"/>
        <v>NA</v>
      </c>
      <c r="L113" s="389"/>
      <c r="M113" s="389"/>
    </row>
    <row r="114" spans="1:13" ht="105" hidden="1" x14ac:dyDescent="0.25">
      <c r="A114" s="245">
        <v>4</v>
      </c>
      <c r="B114" s="245">
        <v>19</v>
      </c>
      <c r="C114" s="52" t="str">
        <f>Final!E107</f>
        <v>f</v>
      </c>
      <c r="D114" s="20" t="str">
        <f>Final!F107</f>
        <v>Evidencias de que en el proyecto curricular existe una perspectiva de atención a la diversidad a través de la caracterización de las necesidades de los estudiantes y la implementación de las estrategias pedagógicas, didácticas y comunicativas acordes con las metodologías de enseñanza y las posibilidades tecnológicas.</v>
      </c>
      <c r="E114" s="41"/>
      <c r="F114" s="41"/>
      <c r="G114" s="104" t="s">
        <v>64</v>
      </c>
      <c r="H114" s="41"/>
      <c r="I114" s="104" t="str">
        <f t="shared" si="6"/>
        <v>NA</v>
      </c>
      <c r="J114" s="45" t="str">
        <f t="shared" si="7"/>
        <v>NA</v>
      </c>
      <c r="K114" s="45" t="str">
        <f t="shared" si="11"/>
        <v>NA</v>
      </c>
      <c r="L114" s="389"/>
      <c r="M114" s="389"/>
    </row>
    <row r="115" spans="1:13" ht="45" hidden="1" x14ac:dyDescent="0.25">
      <c r="A115" s="245">
        <v>4</v>
      </c>
      <c r="B115" s="245">
        <v>19</v>
      </c>
      <c r="C115" s="52" t="str">
        <f>Final!E108</f>
        <v>g</v>
      </c>
      <c r="D115" s="20" t="str">
        <f>Final!F108</f>
        <v>Articulación entre las estrategias pedagógicas propias de la metodología de enseñanza y los recursos tecnológicos utilizados.</v>
      </c>
      <c r="E115" s="41"/>
      <c r="F115" s="41"/>
      <c r="G115" s="104" t="s">
        <v>64</v>
      </c>
      <c r="H115" s="41"/>
      <c r="I115" s="104" t="str">
        <f t="shared" si="6"/>
        <v>NA</v>
      </c>
      <c r="J115" s="45" t="str">
        <f t="shared" si="7"/>
        <v>NA</v>
      </c>
      <c r="K115" s="45" t="str">
        <f t="shared" si="11"/>
        <v>NA</v>
      </c>
      <c r="L115" s="389"/>
      <c r="M115" s="389"/>
    </row>
    <row r="116" spans="1:13" ht="75" hidden="1" x14ac:dyDescent="0.25">
      <c r="A116" s="245">
        <v>4</v>
      </c>
      <c r="B116" s="245">
        <v>19</v>
      </c>
      <c r="C116" s="52" t="str">
        <f>Final!E109</f>
        <v>h</v>
      </c>
      <c r="D116" s="20" t="str">
        <f>Final!F109</f>
        <v>Existencia y aplicación de estrategias pedagógicas definidas por el proyecto curricular, que están orientados hacia la integración de las tres funciones sustantivas de investigación, docencia y proyección social.</v>
      </c>
      <c r="E116" s="41"/>
      <c r="F116" s="41"/>
      <c r="G116" s="104" t="s">
        <v>64</v>
      </c>
      <c r="H116" s="41"/>
      <c r="I116" s="104" t="str">
        <f t="shared" si="6"/>
        <v>NA</v>
      </c>
      <c r="J116" s="45" t="str">
        <f t="shared" si="7"/>
        <v>NA</v>
      </c>
      <c r="K116" s="45" t="str">
        <f t="shared" si="11"/>
        <v>NA</v>
      </c>
      <c r="L116" s="389"/>
      <c r="M116" s="389"/>
    </row>
    <row r="117" spans="1:13" ht="75" hidden="1" x14ac:dyDescent="0.25">
      <c r="A117" s="245">
        <v>4</v>
      </c>
      <c r="B117" s="245">
        <v>19</v>
      </c>
      <c r="C117" s="52" t="str">
        <f>Final!E110</f>
        <v>i</v>
      </c>
      <c r="D117" s="20" t="str">
        <f>Final!F110</f>
        <v>Estudios o investigaciones realizadas por la institución y el proyecto curricular para identificar y evaluar la permanencia y retención de los estudiantes, de acuerdo con las metodologías de enseñanza</v>
      </c>
      <c r="E117" s="41"/>
      <c r="F117" s="41"/>
      <c r="G117" s="104" t="s">
        <v>64</v>
      </c>
      <c r="H117" s="41"/>
      <c r="I117" s="104" t="str">
        <f t="shared" si="6"/>
        <v>NA</v>
      </c>
      <c r="J117" s="45" t="str">
        <f t="shared" si="7"/>
        <v>NA</v>
      </c>
      <c r="K117" s="45" t="str">
        <f t="shared" si="11"/>
        <v>NA</v>
      </c>
      <c r="L117" s="389"/>
      <c r="M117" s="389"/>
    </row>
    <row r="118" spans="1:13" ht="90" hidden="1" x14ac:dyDescent="0.25">
      <c r="A118" s="245">
        <v>4</v>
      </c>
      <c r="B118" s="245">
        <v>19</v>
      </c>
      <c r="C118" s="52" t="str">
        <f>Final!E111</f>
        <v>j</v>
      </c>
      <c r="D118" s="20" t="str">
        <f>Final!F111</f>
        <v>Correlación entre la duración prevista para culminar el plan de estudios propuesto por el proyecto curricular y la que realmente tiene lugar , a la luz de un análisis de rendimiento académico por cohortes, acorde con la metodología y el plan de estudios del proyecto curricular.</v>
      </c>
      <c r="E118" s="41"/>
      <c r="F118" s="41"/>
      <c r="G118" s="104" t="s">
        <v>64</v>
      </c>
      <c r="H118" s="41"/>
      <c r="I118" s="104" t="str">
        <f t="shared" si="6"/>
        <v>NA</v>
      </c>
      <c r="J118" s="45" t="str">
        <f t="shared" si="7"/>
        <v>NA</v>
      </c>
      <c r="K118" s="45" t="str">
        <f t="shared" si="11"/>
        <v>NA</v>
      </c>
      <c r="L118" s="389"/>
      <c r="M118" s="389"/>
    </row>
    <row r="119" spans="1:13" ht="75" hidden="1" x14ac:dyDescent="0.25">
      <c r="A119" s="245">
        <v>4</v>
      </c>
      <c r="B119" s="245">
        <v>19</v>
      </c>
      <c r="C119" s="52" t="str">
        <f>Final!E112</f>
        <v>k</v>
      </c>
      <c r="D119" s="20" t="str">
        <f>Final!F112</f>
        <v>Evidencias de las estrategias y procedimientos que permiten garantizar el éxito académico de los estudiantes en el tiempo previsto para culminar el plan de estudios, atendiendo los estándares de calidad.</v>
      </c>
      <c r="E119" s="41"/>
      <c r="F119" s="41"/>
      <c r="G119" s="104" t="s">
        <v>64</v>
      </c>
      <c r="H119" s="41"/>
      <c r="I119" s="104" t="str">
        <f t="shared" si="6"/>
        <v>NA</v>
      </c>
      <c r="J119" s="45" t="str">
        <f t="shared" si="7"/>
        <v>NA</v>
      </c>
      <c r="K119" s="45" t="str">
        <f t="shared" si="11"/>
        <v>NA</v>
      </c>
      <c r="L119" s="389"/>
      <c r="M119" s="389"/>
    </row>
    <row r="120" spans="1:13" ht="60" hidden="1" x14ac:dyDescent="0.25">
      <c r="A120" s="245">
        <v>4</v>
      </c>
      <c r="B120" s="245">
        <v>19</v>
      </c>
      <c r="C120" s="52" t="str">
        <f>Final!E113</f>
        <v>l</v>
      </c>
      <c r="D120" s="20" t="str">
        <f>Final!F113</f>
        <v>Información estadística sobre los rendimientos académicos de la población de estudiantes del proyecto curricular desde el primero hasta el último semestre, en las últimas cinco cohortes</v>
      </c>
      <c r="E120" s="41"/>
      <c r="F120" s="41"/>
      <c r="G120" s="104" t="s">
        <v>64</v>
      </c>
      <c r="H120" s="41"/>
      <c r="I120" s="104" t="str">
        <f t="shared" si="6"/>
        <v>NA</v>
      </c>
      <c r="J120" s="45" t="str">
        <f t="shared" si="7"/>
        <v>NA</v>
      </c>
      <c r="K120" s="45" t="str">
        <f t="shared" si="11"/>
        <v>NA</v>
      </c>
      <c r="L120" s="389"/>
      <c r="M120" s="389"/>
    </row>
    <row r="121" spans="1:13" ht="60" hidden="1" x14ac:dyDescent="0.25">
      <c r="A121" s="245">
        <v>4</v>
      </c>
      <c r="B121" s="245">
        <v>19</v>
      </c>
      <c r="C121" s="52" t="str">
        <f>Final!E114</f>
        <v>m</v>
      </c>
      <c r="D121" s="20" t="str">
        <f>Final!F114</f>
        <v>Apreciación de profesores y estudiantes sobre la correspondencia entre las condiciones y exigencias académicas de permanencia y graduación en el proyecto curricular, y la naturaleza del mismo.</v>
      </c>
      <c r="E121" s="41"/>
      <c r="F121" s="41"/>
      <c r="G121" s="104" t="s">
        <v>64</v>
      </c>
      <c r="H121" s="41"/>
      <c r="I121" s="104" t="str">
        <f t="shared" si="6"/>
        <v>NA</v>
      </c>
      <c r="J121" s="45" t="str">
        <f t="shared" si="7"/>
        <v>NA</v>
      </c>
      <c r="K121" s="45" t="str">
        <f t="shared" si="11"/>
        <v>NA</v>
      </c>
      <c r="L121" s="389"/>
      <c r="M121" s="389"/>
    </row>
    <row r="122" spans="1:13" ht="45" hidden="1" x14ac:dyDescent="0.25">
      <c r="A122" s="245">
        <v>4</v>
      </c>
      <c r="B122" s="245">
        <v>19</v>
      </c>
      <c r="C122" s="52" t="str">
        <f>Final!E115</f>
        <v>n</v>
      </c>
      <c r="D122" s="20" t="str">
        <f>Final!F115</f>
        <v>Existencia de mecanismos de seguimiento, acompañamiento especial a estudiantes admitidos en condición de vulnerabilidad y discapacidad.</v>
      </c>
      <c r="E122" s="41"/>
      <c r="F122" s="41"/>
      <c r="G122" s="104" t="s">
        <v>64</v>
      </c>
      <c r="H122" s="41"/>
      <c r="I122" s="104" t="str">
        <f t="shared" si="6"/>
        <v>NA</v>
      </c>
      <c r="J122" s="45" t="str">
        <f t="shared" si="7"/>
        <v>NA</v>
      </c>
      <c r="K122" s="45" t="str">
        <f t="shared" si="11"/>
        <v>NA</v>
      </c>
      <c r="L122" s="389"/>
      <c r="M122" s="389"/>
    </row>
    <row r="123" spans="1:13" ht="45" hidden="1" x14ac:dyDescent="0.25">
      <c r="A123" s="245">
        <v>4</v>
      </c>
      <c r="B123" s="245">
        <v>19</v>
      </c>
      <c r="C123" s="52" t="str">
        <f>Final!E116</f>
        <v>o</v>
      </c>
      <c r="D123" s="20" t="str">
        <f>Final!F116</f>
        <v>Existencia de adecuaciones locativas para facilitar el óptimo desempeño de estudiantes admitidos en condición de vulnerabilidad y discapacidad</v>
      </c>
      <c r="E123" s="41"/>
      <c r="F123" s="41"/>
      <c r="G123" s="104" t="s">
        <v>64</v>
      </c>
      <c r="H123" s="41"/>
      <c r="I123" s="104" t="str">
        <f t="shared" si="6"/>
        <v>NA</v>
      </c>
      <c r="J123" s="45" t="str">
        <f t="shared" si="7"/>
        <v>NA</v>
      </c>
      <c r="K123" s="45" t="str">
        <f t="shared" si="11"/>
        <v>NA</v>
      </c>
      <c r="L123" s="390"/>
      <c r="M123" s="389"/>
    </row>
    <row r="124" spans="1:13" ht="60" hidden="1" x14ac:dyDescent="0.25">
      <c r="A124" s="245">
        <v>4</v>
      </c>
      <c r="B124" s="245">
        <v>20</v>
      </c>
      <c r="C124" s="52" t="str">
        <f>Final!E117</f>
        <v>a</v>
      </c>
      <c r="D124" s="20" t="str">
        <f>Final!F117</f>
        <v>Aplicación y divulgación de los criterios, políticas y reglamentaciones institucionales y del proyecto curricular en materia de evaluación académica de los estudiantes.</v>
      </c>
      <c r="E124" s="41"/>
      <c r="F124" s="41"/>
      <c r="G124" s="104" t="s">
        <v>64</v>
      </c>
      <c r="H124" s="41"/>
      <c r="I124" s="104" t="str">
        <f t="shared" si="6"/>
        <v>NA</v>
      </c>
      <c r="J124" s="45" t="str">
        <f t="shared" si="7"/>
        <v>NA</v>
      </c>
      <c r="K124" s="45" t="str">
        <f t="shared" si="11"/>
        <v>NA</v>
      </c>
      <c r="L124" s="388" t="s">
        <v>64</v>
      </c>
      <c r="M124" s="389"/>
    </row>
    <row r="125" spans="1:13" ht="60" hidden="1" x14ac:dyDescent="0.25">
      <c r="A125" s="245">
        <v>4</v>
      </c>
      <c r="B125" s="245">
        <v>20</v>
      </c>
      <c r="C125" s="52" t="str">
        <f>Final!E118</f>
        <v>b</v>
      </c>
      <c r="D125" s="20" t="str">
        <f>Final!F118</f>
        <v>Correspondencia entre las formas de evaluación de los aprendizajes, los propósitos de formación y los perfiles de egreso definidos por el proyecto curricular</v>
      </c>
      <c r="E125" s="41"/>
      <c r="F125" s="41"/>
      <c r="G125" s="104" t="s">
        <v>64</v>
      </c>
      <c r="H125" s="41"/>
      <c r="I125" s="104" t="str">
        <f t="shared" si="6"/>
        <v>NA</v>
      </c>
      <c r="J125" s="45" t="str">
        <f t="shared" si="7"/>
        <v>NA</v>
      </c>
      <c r="K125" s="45" t="str">
        <f t="shared" si="11"/>
        <v>NA</v>
      </c>
      <c r="L125" s="389"/>
      <c r="M125" s="389"/>
    </row>
    <row r="126" spans="1:13" ht="75" hidden="1" x14ac:dyDescent="0.25">
      <c r="A126" s="245">
        <v>4</v>
      </c>
      <c r="B126" s="245">
        <v>20</v>
      </c>
      <c r="C126" s="52" t="str">
        <f>Final!E119</f>
        <v>c</v>
      </c>
      <c r="D126" s="20" t="str">
        <f>Final!F119</f>
        <v>Apreciación de directivos, profesores y estudiantes del proyecto curricular sobre la correspondencia entre las formas de evaluación académica de los estudiantes, la naturaleza del mismo y los métodos pedagógicos empleados para su desarrollo.</v>
      </c>
      <c r="E126" s="41"/>
      <c r="F126" s="41"/>
      <c r="G126" s="104" t="s">
        <v>64</v>
      </c>
      <c r="H126" s="41"/>
      <c r="I126" s="104" t="str">
        <f t="shared" si="6"/>
        <v>NA</v>
      </c>
      <c r="J126" s="45" t="str">
        <f t="shared" si="7"/>
        <v>NA</v>
      </c>
      <c r="K126" s="45" t="str">
        <f t="shared" si="11"/>
        <v>NA</v>
      </c>
      <c r="L126" s="389"/>
      <c r="M126" s="389"/>
    </row>
    <row r="127" spans="1:13" ht="75" hidden="1" x14ac:dyDescent="0.25">
      <c r="A127" s="245">
        <v>4</v>
      </c>
      <c r="B127" s="245">
        <v>20</v>
      </c>
      <c r="C127" s="52" t="str">
        <f>Final!E120</f>
        <v>d</v>
      </c>
      <c r="D127" s="20" t="str">
        <f>Final!F120</f>
        <v>Apreciación de los estudiantes acerca de la utilidad del sistema de evaluación académica en la adquisición de competencias, tales como las actitudes, los conocimientos, las capacidades y las habilidades propias del proyecto curricular.</v>
      </c>
      <c r="E127" s="41"/>
      <c r="F127" s="41"/>
      <c r="G127" s="104" t="s">
        <v>64</v>
      </c>
      <c r="H127" s="41"/>
      <c r="I127" s="104" t="str">
        <f t="shared" si="6"/>
        <v>NA</v>
      </c>
      <c r="J127" s="45" t="str">
        <f t="shared" si="7"/>
        <v>NA</v>
      </c>
      <c r="K127" s="45" t="str">
        <f t="shared" si="11"/>
        <v>NA</v>
      </c>
      <c r="L127" s="389"/>
      <c r="M127" s="389"/>
    </row>
    <row r="128" spans="1:13" ht="90" hidden="1" x14ac:dyDescent="0.25">
      <c r="A128" s="245">
        <v>4</v>
      </c>
      <c r="B128" s="245">
        <v>20</v>
      </c>
      <c r="C128" s="52" t="str">
        <f>Final!E121</f>
        <v>e</v>
      </c>
      <c r="D128" s="20" t="str">
        <f>Final!F121</f>
        <v>Existencia y aplicación de criterios y procedimientos orientados a la evaluación de competencias especialmente actitudes, conocimientos, capacidades y habilidades, y de las estrategias de retroalimentación de la actividad académica de los estudiantes.</v>
      </c>
      <c r="E128" s="41"/>
      <c r="F128" s="41"/>
      <c r="G128" s="104" t="s">
        <v>64</v>
      </c>
      <c r="H128" s="41"/>
      <c r="I128" s="104" t="str">
        <f t="shared" si="6"/>
        <v>NA</v>
      </c>
      <c r="J128" s="45" t="str">
        <f t="shared" si="7"/>
        <v>NA</v>
      </c>
      <c r="K128" s="45" t="str">
        <f t="shared" si="11"/>
        <v>NA</v>
      </c>
      <c r="L128" s="389"/>
      <c r="M128" s="389"/>
    </row>
    <row r="129" spans="1:13" ht="45" hidden="1" x14ac:dyDescent="0.25">
      <c r="A129" s="245">
        <v>4</v>
      </c>
      <c r="B129" s="245">
        <v>20</v>
      </c>
      <c r="C129" s="52" t="str">
        <f>Final!E122</f>
        <v>f</v>
      </c>
      <c r="D129" s="20" t="str">
        <f>Final!F122</f>
        <v>Existencia y aplicación de criterios y procedimientos para la revisión, actualización y seguimiento a los sistemas de evaluación académica de los estudiantes.</v>
      </c>
      <c r="E129" s="41"/>
      <c r="F129" s="41"/>
      <c r="G129" s="104" t="s">
        <v>64</v>
      </c>
      <c r="H129" s="41"/>
      <c r="I129" s="104" t="str">
        <f t="shared" si="6"/>
        <v>NA</v>
      </c>
      <c r="J129" s="45" t="str">
        <f t="shared" si="7"/>
        <v>NA</v>
      </c>
      <c r="K129" s="45" t="str">
        <f t="shared" si="11"/>
        <v>NA</v>
      </c>
      <c r="L129" s="390"/>
      <c r="M129" s="389"/>
    </row>
    <row r="130" spans="1:13" ht="60" hidden="1" x14ac:dyDescent="0.25">
      <c r="A130" s="245">
        <v>4</v>
      </c>
      <c r="B130" s="245">
        <v>21</v>
      </c>
      <c r="C130" s="52" t="str">
        <f>Final!E123</f>
        <v>a</v>
      </c>
      <c r="D130" s="20" t="str">
        <f>Final!F123</f>
        <v>Correspondencia entre el tipo de trabajos y actividades realizados por los estudiantes respecto a los objetivos, perfil del egresado, competencias y modalidad del proyecto curricular.</v>
      </c>
      <c r="E130" s="41"/>
      <c r="F130" s="41"/>
      <c r="G130" s="104" t="s">
        <v>64</v>
      </c>
      <c r="H130" s="41"/>
      <c r="I130" s="104" t="str">
        <f t="shared" si="6"/>
        <v>NA</v>
      </c>
      <c r="J130" s="45" t="str">
        <f t="shared" si="7"/>
        <v>NA</v>
      </c>
      <c r="K130" s="45" t="str">
        <f t="shared" si="11"/>
        <v>NA</v>
      </c>
      <c r="L130" s="388">
        <f>AVERAGE(K130:K134)</f>
        <v>5</v>
      </c>
      <c r="M130" s="389"/>
    </row>
    <row r="131" spans="1:13" ht="90" hidden="1" x14ac:dyDescent="0.25">
      <c r="A131" s="245">
        <v>4</v>
      </c>
      <c r="B131" s="245">
        <v>21</v>
      </c>
      <c r="C131" s="52" t="str">
        <f>Final!E124</f>
        <v>b</v>
      </c>
      <c r="D131" s="20" t="str">
        <f>Final!F124</f>
        <v>Criterios y estrategias aplicados en el proyecto curricular para la definición de los tiempos de trabajo de los estudiantes y profesores, en coherencia con el sistema de créditos, teniendo en cuenta lo definido para valorar el trabajo directo, el colaborativo y el autónomo.</v>
      </c>
      <c r="E131" s="41"/>
      <c r="F131" s="41"/>
      <c r="G131" s="104" t="s">
        <v>64</v>
      </c>
      <c r="H131" s="41"/>
      <c r="I131" s="104" t="str">
        <f t="shared" ref="I131:I194" si="12">IF((LEN(G131)=$P$5)*OR(LEN(H131)=$P$5),$O$5,IF(EXACT(G131,$O$6),$O$6,$O$4))</f>
        <v>NA</v>
      </c>
      <c r="J131" s="45" t="str">
        <f t="shared" ref="J131:J194" si="13">IF(EXACT(I131,$O$4),$P$4,IF(EXACT(I131,$O$6),$O$6,$P$5))</f>
        <v>NA</v>
      </c>
      <c r="K131" s="45" t="str">
        <f t="shared" si="11"/>
        <v>NA</v>
      </c>
      <c r="L131" s="389"/>
      <c r="M131" s="389"/>
    </row>
    <row r="132" spans="1:13" ht="75" hidden="1" x14ac:dyDescent="0.25">
      <c r="A132" s="245">
        <v>4</v>
      </c>
      <c r="B132" s="245">
        <v>21</v>
      </c>
      <c r="C132" s="52" t="str">
        <f>Final!E125</f>
        <v>c</v>
      </c>
      <c r="D132" s="20" t="str">
        <f>Final!F125</f>
        <v>Apreciación de directivos y profesores adscritos al proyecto curricular sobre la correspondencia entre la calidad de los trabajos realizados por los estudiantes y los objetivos de logro, incluyendo la formación personal), definidos por el mismo.</v>
      </c>
      <c r="E132" s="41"/>
      <c r="F132" s="41"/>
      <c r="G132" s="104" t="s">
        <v>64</v>
      </c>
      <c r="H132" s="41"/>
      <c r="I132" s="104" t="str">
        <f t="shared" si="12"/>
        <v>NA</v>
      </c>
      <c r="J132" s="45" t="str">
        <f t="shared" si="13"/>
        <v>NA</v>
      </c>
      <c r="K132" s="45" t="str">
        <f t="shared" si="11"/>
        <v>NA</v>
      </c>
      <c r="L132" s="389"/>
      <c r="M132" s="389"/>
    </row>
    <row r="133" spans="1:13" ht="105" hidden="1" x14ac:dyDescent="0.25">
      <c r="A133" s="245">
        <v>4</v>
      </c>
      <c r="B133" s="245">
        <v>21</v>
      </c>
      <c r="C133" s="52" t="str">
        <f>Final!E126</f>
        <v>d</v>
      </c>
      <c r="D133" s="20" t="str">
        <f>Final!F126</f>
        <v>Correspondencia entre las actividades y trabajos realizados por los estudiantes y las formas de evaluación por competencias especialmente en actitudes, conocimientos, capacidades y habilidades, según la naturaleza del proyecto curricular y los métodos pedagógicos empleados para desarrollar los diversos procesos de formación.</v>
      </c>
      <c r="E133" s="41"/>
      <c r="F133" s="41"/>
      <c r="G133" s="104" t="s">
        <v>64</v>
      </c>
      <c r="H133" s="41"/>
      <c r="I133" s="104" t="str">
        <f t="shared" si="12"/>
        <v>NA</v>
      </c>
      <c r="J133" s="45" t="str">
        <f t="shared" si="13"/>
        <v>NA</v>
      </c>
      <c r="K133" s="45" t="str">
        <f t="shared" si="11"/>
        <v>NA</v>
      </c>
      <c r="L133" s="389"/>
      <c r="M133" s="389"/>
    </row>
    <row r="134" spans="1:13" ht="90" hidden="1" x14ac:dyDescent="0.25">
      <c r="A134" s="245">
        <v>4</v>
      </c>
      <c r="B134" s="245">
        <v>21</v>
      </c>
      <c r="C134" s="52" t="str">
        <f>Final!E127</f>
        <v>e</v>
      </c>
      <c r="D134" s="20" t="str">
        <f>Final!F127</f>
        <v>Descripción de los trabajos académicos realizados por estudiantes del proyecto curricular en los últimos cinco años, que han merecido premios o reconocimientos significativos por la comunidad no solo académica nacional o internacional, .sino además local y/ o comunitaria.</v>
      </c>
      <c r="E134" s="9" t="s">
        <v>583</v>
      </c>
      <c r="F134" s="9"/>
      <c r="G134" s="9" t="s">
        <v>2859</v>
      </c>
      <c r="H134" s="41"/>
      <c r="I134" s="104" t="str">
        <f t="shared" si="12"/>
        <v>SI</v>
      </c>
      <c r="J134" s="45">
        <f t="shared" si="13"/>
        <v>5</v>
      </c>
      <c r="K134" s="45">
        <f>AVERAGE(J134)</f>
        <v>5</v>
      </c>
      <c r="L134" s="390"/>
      <c r="M134" s="389"/>
    </row>
    <row r="135" spans="1:13" ht="75" hidden="1" x14ac:dyDescent="0.25">
      <c r="A135" s="245">
        <v>4</v>
      </c>
      <c r="B135" s="245">
        <v>22</v>
      </c>
      <c r="C135" s="52" t="str">
        <f>Final!E128</f>
        <v>a</v>
      </c>
      <c r="D135" s="20" t="str">
        <f>Final!F128</f>
        <v>Existencia, aplicación de políticas y estrategias institucionales en términos de la evaluación y autorregulación del proyecto curricular conducentes al diseño y formulación de planes de mejoramiento continuo y de gestión de la innovación</v>
      </c>
      <c r="E135" s="41"/>
      <c r="F135" s="41"/>
      <c r="G135" s="104" t="s">
        <v>64</v>
      </c>
      <c r="H135" s="41"/>
      <c r="I135" s="104" t="str">
        <f t="shared" si="12"/>
        <v>NA</v>
      </c>
      <c r="J135" s="45" t="str">
        <f t="shared" si="13"/>
        <v>NA</v>
      </c>
      <c r="K135" s="45" t="str">
        <f>J135</f>
        <v>NA</v>
      </c>
      <c r="L135" s="388" t="s">
        <v>64</v>
      </c>
      <c r="M135" s="389"/>
    </row>
    <row r="136" spans="1:13" ht="75" hidden="1" x14ac:dyDescent="0.25">
      <c r="A136" s="245">
        <v>4</v>
      </c>
      <c r="B136" s="245">
        <v>22</v>
      </c>
      <c r="C136" s="52" t="str">
        <f>Final!E129</f>
        <v>b</v>
      </c>
      <c r="D136" s="20" t="str">
        <f>Final!F129</f>
        <v>Estrategias verificables de seguimiento, evaluación, mejoramiento continuo y gestión de la innovación, realizadas por el proyecto curricular tomando como referencia los objetivos, procesos, logros, pertinencia y relevancia social del proyecto curricular.</v>
      </c>
      <c r="E136" s="41"/>
      <c r="F136" s="41"/>
      <c r="G136" s="104" t="s">
        <v>64</v>
      </c>
      <c r="H136" s="41"/>
      <c r="I136" s="104" t="str">
        <f t="shared" si="12"/>
        <v>NA</v>
      </c>
      <c r="J136" s="45" t="str">
        <f t="shared" si="13"/>
        <v>NA</v>
      </c>
      <c r="K136" s="45" t="str">
        <f>J136</f>
        <v>NA</v>
      </c>
      <c r="L136" s="389"/>
      <c r="M136" s="389"/>
    </row>
    <row r="137" spans="1:13" ht="60" hidden="1" x14ac:dyDescent="0.25">
      <c r="A137" s="245">
        <v>4</v>
      </c>
      <c r="B137" s="245">
        <v>22</v>
      </c>
      <c r="C137" s="52" t="str">
        <f>Final!E130</f>
        <v>c</v>
      </c>
      <c r="D137" s="20" t="str">
        <f>Final!F130</f>
        <v xml:space="preserve">Apreciación de directivos, profesores y estudiantes sobre la incidencia de los sistemas de evaluación y autorregulación del proyecto curricular en el enriquecimiento de la calidad de éste. </v>
      </c>
      <c r="E137" s="41"/>
      <c r="F137" s="41"/>
      <c r="G137" s="104" t="s">
        <v>64</v>
      </c>
      <c r="H137" s="41"/>
      <c r="I137" s="104" t="str">
        <f t="shared" si="12"/>
        <v>NA</v>
      </c>
      <c r="J137" s="45" t="str">
        <f t="shared" si="13"/>
        <v>NA</v>
      </c>
      <c r="K137" s="45" t="str">
        <f>J137</f>
        <v>NA</v>
      </c>
      <c r="L137" s="389"/>
      <c r="M137" s="389"/>
    </row>
    <row r="138" spans="1:13" ht="75" hidden="1" x14ac:dyDescent="0.25">
      <c r="A138" s="245">
        <v>4</v>
      </c>
      <c r="B138" s="245">
        <v>22</v>
      </c>
      <c r="C138" s="52" t="str">
        <f>Final!E131</f>
        <v>d</v>
      </c>
      <c r="D138" s="20" t="str">
        <f>Final!F131</f>
        <v>Estudio de comparabilidad que evidencie los cambios específicos realizados en el proyecto curricular, en los últimos cinco años, a partir de los resultados de los procesos de evaluación y autorregulación.</v>
      </c>
      <c r="E138" s="41"/>
      <c r="F138" s="41"/>
      <c r="G138" s="104" t="s">
        <v>64</v>
      </c>
      <c r="H138" s="41"/>
      <c r="I138" s="104" t="str">
        <f t="shared" si="12"/>
        <v>NA</v>
      </c>
      <c r="J138" s="45" t="str">
        <f t="shared" si="13"/>
        <v>NA</v>
      </c>
      <c r="K138" s="45" t="str">
        <f>J138</f>
        <v>NA</v>
      </c>
      <c r="L138" s="390"/>
      <c r="M138" s="389"/>
    </row>
    <row r="139" spans="1:13" ht="60" hidden="1" x14ac:dyDescent="0.25">
      <c r="A139" s="245">
        <v>4</v>
      </c>
      <c r="B139" s="245">
        <v>23</v>
      </c>
      <c r="C139" s="52" t="str">
        <f>Final!E132</f>
        <v>a</v>
      </c>
      <c r="D139" s="20" t="str">
        <f>Final!F132</f>
        <v>Existencia, aplicación y evaluación periódica de criterios y políticas institucionales y del proyecto curricular en materia de extensión o proyección social.</v>
      </c>
      <c r="E139" s="41"/>
      <c r="F139" s="41"/>
      <c r="G139" s="104" t="s">
        <v>64</v>
      </c>
      <c r="H139" s="41"/>
      <c r="I139" s="104" t="str">
        <f t="shared" si="12"/>
        <v>NA</v>
      </c>
      <c r="J139" s="45" t="str">
        <f t="shared" si="13"/>
        <v>NA</v>
      </c>
      <c r="K139" s="45" t="str">
        <f>J139</f>
        <v>NA</v>
      </c>
      <c r="L139" s="388">
        <f>AVERAGE(K139:K146)</f>
        <v>3.3333333333333335</v>
      </c>
      <c r="M139" s="389"/>
    </row>
    <row r="140" spans="1:13" ht="75" hidden="1" x14ac:dyDescent="0.25">
      <c r="A140" s="245">
        <v>4</v>
      </c>
      <c r="B140" s="245">
        <v>23</v>
      </c>
      <c r="C140" s="52" t="str">
        <f>Final!E133</f>
        <v>b</v>
      </c>
      <c r="D140" s="20" t="str">
        <f>Final!F133</f>
        <v>Análisis estadístico diferenciado de proyectos y actividades de extensión o proyección a la comunidad desarrollados por directivos, profesores y estudiantes del proyecto curricular en los últimos cinco años.</v>
      </c>
      <c r="E140" s="72" t="s">
        <v>590</v>
      </c>
      <c r="F140" s="82"/>
      <c r="G140" s="82" t="s">
        <v>2834</v>
      </c>
      <c r="H140" s="41"/>
      <c r="I140" s="104" t="str">
        <f t="shared" si="12"/>
        <v>SI</v>
      </c>
      <c r="J140" s="45">
        <f t="shared" si="13"/>
        <v>5</v>
      </c>
      <c r="K140" s="45">
        <f>AVERAGE(J140)</f>
        <v>5</v>
      </c>
      <c r="L140" s="389"/>
      <c r="M140" s="389"/>
    </row>
    <row r="141" spans="1:13" ht="75" hidden="1" x14ac:dyDescent="0.25">
      <c r="A141" s="245">
        <v>4</v>
      </c>
      <c r="B141" s="245">
        <v>23</v>
      </c>
      <c r="C141" s="52" t="str">
        <f>Final!E134</f>
        <v>c</v>
      </c>
      <c r="D141" s="20" t="str">
        <f>Final!F134</f>
        <v>Descripción del impacto en el entorno y en los procesos académicos que han generado los resultados de los proyectos de extensión o proyección social desarrollados por el proyecto curricular.</v>
      </c>
      <c r="E141" s="41"/>
      <c r="F141" s="41"/>
      <c r="G141" s="104" t="s">
        <v>64</v>
      </c>
      <c r="H141" s="41"/>
      <c r="I141" s="104" t="str">
        <f t="shared" si="12"/>
        <v>NA</v>
      </c>
      <c r="J141" s="45" t="str">
        <f t="shared" si="13"/>
        <v>NA</v>
      </c>
      <c r="K141" s="45" t="str">
        <f>J141</f>
        <v>NA</v>
      </c>
      <c r="L141" s="389"/>
      <c r="M141" s="389"/>
    </row>
    <row r="142" spans="1:13" ht="75" hidden="1" x14ac:dyDescent="0.25">
      <c r="A142" s="245">
        <v>4</v>
      </c>
      <c r="B142" s="245">
        <v>23</v>
      </c>
      <c r="C142" s="52" t="str">
        <f>Final!E135</f>
        <v>d</v>
      </c>
      <c r="D142" s="20" t="str">
        <f>Final!F135</f>
        <v>Participación en la aplicación de las políticas nacionales en materia de educación, innovación y desarrollo económico, técnico y tecnológico (innovación, adaptación, transferencia), de acuerdo con el tipo y modalidad del proyecto curricular.</v>
      </c>
      <c r="E142" s="41"/>
      <c r="F142" s="41"/>
      <c r="G142" s="104" t="s">
        <v>64</v>
      </c>
      <c r="H142" s="41"/>
      <c r="I142" s="104" t="str">
        <f t="shared" si="12"/>
        <v>NA</v>
      </c>
      <c r="J142" s="45" t="str">
        <f t="shared" si="13"/>
        <v>NA</v>
      </c>
      <c r="K142" s="45" t="str">
        <f>J142</f>
        <v>NA</v>
      </c>
      <c r="L142" s="389"/>
      <c r="M142" s="389"/>
    </row>
    <row r="143" spans="1:13" ht="75" hidden="1" x14ac:dyDescent="0.25">
      <c r="A143" s="245">
        <v>4</v>
      </c>
      <c r="B143" s="245">
        <v>23</v>
      </c>
      <c r="C143" s="52" t="str">
        <f>Final!E136</f>
        <v>e</v>
      </c>
      <c r="D143" s="20" t="str">
        <f>Final!F136</f>
        <v>Análisis de las apreciaciones de empresarios, funcionarios públicos, líderes comunitarios y de otros agentes externos sobre el impacto social de los proyectos de extensión y/o proyección social desarrollados por el proyecto curricular.</v>
      </c>
      <c r="E143" s="41"/>
      <c r="F143" s="41"/>
      <c r="G143" s="104" t="s">
        <v>64</v>
      </c>
      <c r="H143" s="41"/>
      <c r="I143" s="104" t="str">
        <f t="shared" si="12"/>
        <v>NA</v>
      </c>
      <c r="J143" s="45" t="str">
        <f t="shared" si="13"/>
        <v>NA</v>
      </c>
      <c r="K143" s="45" t="str">
        <f>J143</f>
        <v>NA</v>
      </c>
      <c r="L143" s="389"/>
      <c r="M143" s="389"/>
    </row>
    <row r="144" spans="1:13" ht="75" hidden="1" x14ac:dyDescent="0.25">
      <c r="A144" s="245">
        <v>4</v>
      </c>
      <c r="B144" s="245">
        <v>23</v>
      </c>
      <c r="C144" s="52" t="str">
        <f>Final!E137</f>
        <v>f</v>
      </c>
      <c r="D144" s="20" t="str">
        <f>Final!F137</f>
        <v>Número y tipo de reconocimientos hechos en los últimos cinco años por entidades gubernamentales y no gubernamentales al impacto que el proyecto curricular ha ejercido en los medios local, regional, nacional o internacional.</v>
      </c>
      <c r="E144" s="41"/>
      <c r="F144" s="41"/>
      <c r="G144" s="104" t="s">
        <v>64</v>
      </c>
      <c r="H144" s="41"/>
      <c r="I144" s="104" t="str">
        <f t="shared" si="12"/>
        <v>NA</v>
      </c>
      <c r="J144" s="45" t="str">
        <f t="shared" si="13"/>
        <v>NA</v>
      </c>
      <c r="K144" s="45" t="str">
        <f>J144</f>
        <v>NA</v>
      </c>
      <c r="L144" s="389"/>
      <c r="M144" s="389"/>
    </row>
    <row r="145" spans="1:13" ht="75" hidden="1" x14ac:dyDescent="0.25">
      <c r="A145" s="245">
        <v>4</v>
      </c>
      <c r="B145" s="245">
        <v>23</v>
      </c>
      <c r="C145" s="52" t="str">
        <f>Final!E138</f>
        <v>g</v>
      </c>
      <c r="D145" s="20" t="str">
        <f>Final!F138</f>
        <v>Aplicación de los mecanismos y procedimientos desde los cuales se analiza la influencia que el proyecto curricular ejerce sobre el medio y desde los que se revisan de forma periódica las estrategias implementadas en esta materia.</v>
      </c>
      <c r="E145" s="72" t="s">
        <v>592</v>
      </c>
      <c r="F145" s="82"/>
      <c r="G145" s="222"/>
      <c r="H145" s="41"/>
      <c r="I145" s="104" t="str">
        <f t="shared" si="12"/>
        <v>NO</v>
      </c>
      <c r="J145" s="45">
        <f t="shared" si="13"/>
        <v>0</v>
      </c>
      <c r="K145" s="45">
        <f>AVERAGE(J145)</f>
        <v>0</v>
      </c>
      <c r="L145" s="389"/>
      <c r="M145" s="389"/>
    </row>
    <row r="146" spans="1:13" ht="135" hidden="1" x14ac:dyDescent="0.25">
      <c r="A146" s="245">
        <v>4</v>
      </c>
      <c r="B146" s="245">
        <v>23</v>
      </c>
      <c r="C146" s="52" t="str">
        <f>Final!E139</f>
        <v>h</v>
      </c>
      <c r="D146" s="290" t="str">
        <f>Final!F139</f>
        <v>Existencia y utilización de base de datos con información suficiente y adecuada sobre las comunidades, empresas, gobiernos, instituciones, organizaciones de usuarios, y asociaciones a los quienes el proyecto curricular presta asistencia técnica o tecnológica, servicios, asesorías y otros apoyos que apuntan a la resolución de problemas o a la ejecución de programas de mejoramiento, de acuerdo con la naturaleza y modalidad del mismo.</v>
      </c>
      <c r="E146" s="72" t="s">
        <v>592</v>
      </c>
      <c r="F146" s="82"/>
      <c r="G146" s="82" t="s">
        <v>2826</v>
      </c>
      <c r="H146" s="41"/>
      <c r="I146" s="104" t="str">
        <f t="shared" si="12"/>
        <v>SI</v>
      </c>
      <c r="J146" s="45">
        <f t="shared" si="13"/>
        <v>5</v>
      </c>
      <c r="K146" s="45">
        <f>AVERAGE(J146)</f>
        <v>5</v>
      </c>
      <c r="L146" s="390"/>
      <c r="M146" s="389"/>
    </row>
    <row r="147" spans="1:13" ht="105" hidden="1" x14ac:dyDescent="0.25">
      <c r="A147" s="245">
        <v>4</v>
      </c>
      <c r="B147" s="245">
        <v>24</v>
      </c>
      <c r="C147" s="52" t="str">
        <f>Final!E140</f>
        <v>a</v>
      </c>
      <c r="D147" s="20" t="str">
        <f>Final!F140</f>
        <v>Promoción y seguimiento, por parte del proyecto curricular, a la aplicación de estrategias y mecanismos que incentiven en los estudiantes la consulta y el uso de textos, bases de datos, materiales y esarrollos recientes, relacionados con las áreas de conocimiento de la profesión o la disciplina.</v>
      </c>
      <c r="E147" s="41"/>
      <c r="F147" s="41"/>
      <c r="G147" s="104" t="s">
        <v>64</v>
      </c>
      <c r="H147" s="41"/>
      <c r="I147" s="104" t="str">
        <f t="shared" si="12"/>
        <v>NA</v>
      </c>
      <c r="J147" s="45" t="str">
        <f t="shared" si="13"/>
        <v>NA</v>
      </c>
      <c r="K147" s="45" t="str">
        <f>J147</f>
        <v>NA</v>
      </c>
      <c r="L147" s="388">
        <f>AVERAGE(K147:K152)</f>
        <v>5</v>
      </c>
      <c r="M147" s="389"/>
    </row>
    <row r="148" spans="1:13" ht="60" hidden="1" x14ac:dyDescent="0.25">
      <c r="A148" s="245">
        <v>4</v>
      </c>
      <c r="B148" s="245">
        <v>24</v>
      </c>
      <c r="C148" s="52" t="str">
        <f>Final!E141</f>
        <v>b</v>
      </c>
      <c r="D148" s="20" t="str">
        <f>Final!F141</f>
        <v>Existencia y aplicación de criterios y políticas institucionales y del proyecto curricular en materia de acceso, adquisición, actualización y aseguramiento de la difusión de material bibliográfico pertinente.</v>
      </c>
      <c r="E148" s="41"/>
      <c r="F148" s="41"/>
      <c r="G148" s="104" t="s">
        <v>64</v>
      </c>
      <c r="H148" s="41"/>
      <c r="I148" s="104" t="str">
        <f t="shared" si="12"/>
        <v>NA</v>
      </c>
      <c r="J148" s="45" t="str">
        <f t="shared" si="13"/>
        <v>NA</v>
      </c>
      <c r="K148" s="45" t="str">
        <f>J148</f>
        <v>NA</v>
      </c>
      <c r="L148" s="389"/>
      <c r="M148" s="389"/>
    </row>
    <row r="149" spans="1:13" ht="90" hidden="1" x14ac:dyDescent="0.25">
      <c r="A149" s="245">
        <v>4</v>
      </c>
      <c r="B149" s="245">
        <v>24</v>
      </c>
      <c r="C149" s="52" t="str">
        <f>Final!E142</f>
        <v>c</v>
      </c>
      <c r="D149" s="20" t="str">
        <f>Final!F142</f>
        <v>Pertinencia, actualización, suficiencia y especializado del material bibliográfico con que cuentan profesores y estudiantes para apoyar el desarrollo de las distintas actividades académicas, de acuerdo con el tipo, modalidad y campo de conocimiento del proyecto curricular.</v>
      </c>
      <c r="E149" s="41"/>
      <c r="F149" s="41"/>
      <c r="G149" s="104" t="s">
        <v>64</v>
      </c>
      <c r="H149" s="41"/>
      <c r="I149" s="104" t="str">
        <f t="shared" si="12"/>
        <v>NA</v>
      </c>
      <c r="J149" s="45" t="str">
        <f t="shared" si="13"/>
        <v>NA</v>
      </c>
      <c r="K149" s="45" t="str">
        <f>J149</f>
        <v>NA</v>
      </c>
      <c r="L149" s="389"/>
      <c r="M149" s="389"/>
    </row>
    <row r="150" spans="1:13" ht="90" hidden="1" x14ac:dyDescent="0.25">
      <c r="A150" s="245">
        <v>4</v>
      </c>
      <c r="B150" s="245">
        <v>24</v>
      </c>
      <c r="C150" s="52" t="str">
        <f>Final!E143</f>
        <v>d</v>
      </c>
      <c r="D150" s="20" t="str">
        <f>Final!F143</f>
        <v>Evidencias de la inversión anual y los incrementos presupuestales en las adquisiciones y actualizaciones de libros, revistas especializadas, bases de datos y suscripciones a publicaciones periódicas, relacionados con el campo de conocimiento del proyecto curricular, ejecutadas en los últimos 5 años.</v>
      </c>
      <c r="E150" s="41"/>
      <c r="F150" s="41"/>
      <c r="G150" s="104" t="s">
        <v>64</v>
      </c>
      <c r="H150" s="41"/>
      <c r="I150" s="104" t="str">
        <f t="shared" si="12"/>
        <v>NA</v>
      </c>
      <c r="J150" s="45" t="str">
        <f t="shared" si="13"/>
        <v>NA</v>
      </c>
      <c r="K150" s="45" t="str">
        <f>J150</f>
        <v>NA</v>
      </c>
      <c r="L150" s="389"/>
      <c r="M150" s="389"/>
    </row>
    <row r="151" spans="1:13" ht="90" hidden="1" x14ac:dyDescent="0.25">
      <c r="A151" s="245">
        <v>4</v>
      </c>
      <c r="B151" s="245">
        <v>24</v>
      </c>
      <c r="C151" s="79" t="str">
        <f>Final!E144</f>
        <v>e</v>
      </c>
      <c r="D151" s="76" t="str">
        <f>Final!F144</f>
        <v>Análisis comparativo de los últimos cinco años, sobre la utilización que profesores y estudiantes del proyecto curricular hacen de los recursos bibliográficos: libros, revistas especializadas y bases de datos, etc., de acuerdo con la naturaleza, el tipo y modalidad del proyecto curricular.</v>
      </c>
      <c r="E151" s="44" t="s">
        <v>600</v>
      </c>
      <c r="F151" s="9"/>
      <c r="G151" s="230" t="s">
        <v>2835</v>
      </c>
      <c r="H151" s="41"/>
      <c r="I151" s="104" t="str">
        <f t="shared" si="12"/>
        <v>SI</v>
      </c>
      <c r="J151" s="45">
        <f t="shared" si="13"/>
        <v>5</v>
      </c>
      <c r="K151" s="45">
        <f>AVERAGE(J151)</f>
        <v>5</v>
      </c>
      <c r="L151" s="389"/>
      <c r="M151" s="389"/>
    </row>
    <row r="152" spans="1:13" ht="60" hidden="1" x14ac:dyDescent="0.25">
      <c r="A152" s="245">
        <v>4</v>
      </c>
      <c r="B152" s="245">
        <v>24</v>
      </c>
      <c r="C152" s="52" t="str">
        <f>Final!E145</f>
        <v>f</v>
      </c>
      <c r="D152" s="20" t="str">
        <f>Final!F145</f>
        <v>Apreciación de directivos, profesores y estudiantes del proyecto curricular sobre la pertinencia, actualización y suficiencia del material bibliográfico con que cuenta el proyecto curricular.</v>
      </c>
      <c r="E152" s="41"/>
      <c r="F152" s="41"/>
      <c r="G152" s="104" t="s">
        <v>64</v>
      </c>
      <c r="H152" s="41"/>
      <c r="I152" s="104" t="str">
        <f t="shared" si="12"/>
        <v>NA</v>
      </c>
      <c r="J152" s="45" t="str">
        <f t="shared" si="13"/>
        <v>NA</v>
      </c>
      <c r="K152" s="45" t="str">
        <f t="shared" ref="K152:K167" si="14">J152</f>
        <v>NA</v>
      </c>
      <c r="L152" s="390"/>
      <c r="M152" s="389"/>
    </row>
    <row r="153" spans="1:13" ht="90" hidden="1" x14ac:dyDescent="0.25">
      <c r="A153" s="245">
        <v>4</v>
      </c>
      <c r="B153" s="245">
        <v>25</v>
      </c>
      <c r="C153" s="52" t="str">
        <f>Final!E146</f>
        <v>a</v>
      </c>
      <c r="D153" s="20" t="str">
        <f>Final!F146</f>
        <v>Existencia y uso de plataformas tecnológicas que garanticen la conectividad, interactividad, acceso a sistemas de información, y apoyo y recursos para el aprendizaje, de acuerdo a los requerimientos del proyecto curricular, de sus espacios académicos y sus necesidades administrativas</v>
      </c>
      <c r="E153" s="41"/>
      <c r="F153" s="41"/>
      <c r="G153" s="104" t="s">
        <v>64</v>
      </c>
      <c r="H153" s="41"/>
      <c r="I153" s="104" t="str">
        <f t="shared" si="12"/>
        <v>NA</v>
      </c>
      <c r="J153" s="45" t="str">
        <f t="shared" si="13"/>
        <v>NA</v>
      </c>
      <c r="K153" s="45" t="str">
        <f t="shared" si="14"/>
        <v>NA</v>
      </c>
      <c r="L153" s="388" t="s">
        <v>64</v>
      </c>
      <c r="M153" s="389"/>
    </row>
    <row r="154" spans="1:13" ht="75" hidden="1" x14ac:dyDescent="0.25">
      <c r="A154" s="245">
        <v>4</v>
      </c>
      <c r="B154" s="245">
        <v>25</v>
      </c>
      <c r="C154" s="52" t="str">
        <f>Final!E147</f>
        <v>b</v>
      </c>
      <c r="D154" s="20" t="str">
        <f>Final!F147</f>
        <v>Aplicación, articulación y divulgación de estrategias y mecanismos orientados a incentivar el uso de recursos informáticos y de comunicación, por parte de los profesores y estudiantes del proyecto curricular.</v>
      </c>
      <c r="E154" s="41"/>
      <c r="F154" s="41"/>
      <c r="G154" s="104" t="s">
        <v>64</v>
      </c>
      <c r="H154" s="41"/>
      <c r="I154" s="104" t="str">
        <f t="shared" si="12"/>
        <v>NA</v>
      </c>
      <c r="J154" s="45" t="str">
        <f t="shared" si="13"/>
        <v>NA</v>
      </c>
      <c r="K154" s="45" t="str">
        <f t="shared" si="14"/>
        <v>NA</v>
      </c>
      <c r="L154" s="389"/>
      <c r="M154" s="389"/>
    </row>
    <row r="155" spans="1:13" ht="105" hidden="1" x14ac:dyDescent="0.25">
      <c r="A155" s="245">
        <v>4</v>
      </c>
      <c r="B155" s="245">
        <v>25</v>
      </c>
      <c r="C155" s="52" t="str">
        <f>Final!E148</f>
        <v>c</v>
      </c>
      <c r="D155" s="20" t="str">
        <f>Final!F148</f>
        <v>Actualización, disponibilidad, accesibilidad y calidad de los recursos informáticos y de comunicaciones requeridas por los docentes, estudiantes, directivos y administrativas, que permita el desarrollo de los procesos académicos y de apoyo necesarios para el desarrollo del proyecto curricular de acuerdo con su naturaleza.</v>
      </c>
      <c r="E155" s="41"/>
      <c r="F155" s="41"/>
      <c r="G155" s="104" t="s">
        <v>64</v>
      </c>
      <c r="H155" s="41"/>
      <c r="I155" s="104" t="str">
        <f t="shared" si="12"/>
        <v>NA</v>
      </c>
      <c r="J155" s="45" t="str">
        <f t="shared" si="13"/>
        <v>NA</v>
      </c>
      <c r="K155" s="45" t="str">
        <f t="shared" si="14"/>
        <v>NA</v>
      </c>
      <c r="L155" s="389"/>
      <c r="M155" s="389"/>
    </row>
    <row r="156" spans="1:13" ht="75" hidden="1" x14ac:dyDescent="0.25">
      <c r="A156" s="245">
        <v>4</v>
      </c>
      <c r="B156" s="245">
        <v>25</v>
      </c>
      <c r="C156" s="52" t="str">
        <f>Final!E149</f>
        <v>d</v>
      </c>
      <c r="D156" s="20" t="str">
        <f>Final!F149</f>
        <v>Aplicación y evaluación de estrategias que garanticen el rendimiento de los equipos, la capacidad de almacenamiento y la seguridad (confidencialidad, disponibilidad e integridad) en el manejo de la información.</v>
      </c>
      <c r="E156" s="41"/>
      <c r="F156" s="41"/>
      <c r="G156" s="104" t="s">
        <v>64</v>
      </c>
      <c r="H156" s="41"/>
      <c r="I156" s="104" t="str">
        <f t="shared" si="12"/>
        <v>NA</v>
      </c>
      <c r="J156" s="45" t="str">
        <f t="shared" si="13"/>
        <v>NA</v>
      </c>
      <c r="K156" s="45" t="str">
        <f t="shared" si="14"/>
        <v>NA</v>
      </c>
      <c r="L156" s="389"/>
      <c r="M156" s="389"/>
    </row>
    <row r="157" spans="1:13" ht="75" hidden="1" x14ac:dyDescent="0.25">
      <c r="A157" s="245">
        <v>4</v>
      </c>
      <c r="B157" s="245">
        <v>25</v>
      </c>
      <c r="C157" s="52" t="str">
        <f>Final!E150</f>
        <v>e</v>
      </c>
      <c r="D157" s="20" t="str">
        <f>Final!F150</f>
        <v>Análisis de la eficiencia, oportunidad y eficacia en cuanto a la actualización y al soporte técnico de la plataforma informática y los equipos computacionales con que cuenta el proyecto curricular</v>
      </c>
      <c r="E157" s="41"/>
      <c r="F157" s="41"/>
      <c r="G157" s="104" t="s">
        <v>64</v>
      </c>
      <c r="H157" s="41"/>
      <c r="I157" s="104" t="str">
        <f t="shared" si="12"/>
        <v>NA</v>
      </c>
      <c r="J157" s="45" t="str">
        <f t="shared" si="13"/>
        <v>NA</v>
      </c>
      <c r="K157" s="45" t="str">
        <f t="shared" si="14"/>
        <v>NA</v>
      </c>
      <c r="L157" s="389"/>
      <c r="M157" s="389"/>
    </row>
    <row r="158" spans="1:13" ht="75" hidden="1" x14ac:dyDescent="0.25">
      <c r="A158" s="245">
        <v>4</v>
      </c>
      <c r="B158" s="245">
        <v>25</v>
      </c>
      <c r="C158" s="52" t="str">
        <f>Final!E151</f>
        <v>f</v>
      </c>
      <c r="D158" s="20" t="str">
        <f>Final!F151</f>
        <v>Apreciación de directivos, profesores y estudiantes del proyecto curricular sobre la pertinencia, correspondencia y suficiencia de los recursos informáticos y de comunicación con que cuenta el proyecto curricular.</v>
      </c>
      <c r="E158" s="41"/>
      <c r="F158" s="41"/>
      <c r="G158" s="104" t="s">
        <v>64</v>
      </c>
      <c r="H158" s="41"/>
      <c r="I158" s="104" t="str">
        <f t="shared" si="12"/>
        <v>NA</v>
      </c>
      <c r="J158" s="45" t="str">
        <f t="shared" si="13"/>
        <v>NA</v>
      </c>
      <c r="K158" s="45" t="str">
        <f t="shared" si="14"/>
        <v>NA</v>
      </c>
      <c r="L158" s="390"/>
      <c r="M158" s="389"/>
    </row>
    <row r="159" spans="1:13" ht="75" hidden="1" x14ac:dyDescent="0.25">
      <c r="A159" s="245">
        <v>4</v>
      </c>
      <c r="B159" s="245">
        <v>26</v>
      </c>
      <c r="C159" s="52" t="str">
        <f>Final!E152</f>
        <v>a</v>
      </c>
      <c r="D159" s="20" t="str">
        <f>Final!F152</f>
        <v>Adecuación de la dotación de equipos, materiales e insumos en los laboratorios y talleres, campos de práctica, prácticas académicas, culturales y artísticas, plantas piloto, etc., según la naturaleza, metodología y exigencias del proyecto curricular.</v>
      </c>
      <c r="E159" s="41"/>
      <c r="F159" s="41"/>
      <c r="G159" s="104" t="s">
        <v>64</v>
      </c>
      <c r="H159" s="41"/>
      <c r="I159" s="104" t="str">
        <f t="shared" si="12"/>
        <v>NA</v>
      </c>
      <c r="J159" s="45" t="str">
        <f t="shared" si="13"/>
        <v>NA</v>
      </c>
      <c r="K159" s="45" t="str">
        <f t="shared" si="14"/>
        <v>NA</v>
      </c>
      <c r="L159" s="388" t="s">
        <v>64</v>
      </c>
      <c r="M159" s="389"/>
    </row>
    <row r="160" spans="1:13" ht="90" hidden="1" x14ac:dyDescent="0.25">
      <c r="A160" s="245">
        <v>4</v>
      </c>
      <c r="B160" s="245">
        <v>26</v>
      </c>
      <c r="C160" s="52" t="str">
        <f>Final!E153</f>
        <v>b</v>
      </c>
      <c r="D160" s="20" t="str">
        <f>Final!F153</f>
        <v>Cumplimiento de las normas sanitarias y de bioseguridad, salud ocupacional, seguridad industrial y manejo de seres vivos, establecidas en las normas nacionales e institucionales vigentes requeridas para el funcionamiento de laboratorios, máquinas y talleres utilizados por el proyecto curricular.</v>
      </c>
      <c r="E160" s="41"/>
      <c r="F160" s="41"/>
      <c r="G160" s="104" t="s">
        <v>64</v>
      </c>
      <c r="H160" s="41"/>
      <c r="I160" s="104" t="str">
        <f t="shared" si="12"/>
        <v>NA</v>
      </c>
      <c r="J160" s="45" t="str">
        <f t="shared" si="13"/>
        <v>NA</v>
      </c>
      <c r="K160" s="45" t="str">
        <f t="shared" si="14"/>
        <v>NA</v>
      </c>
      <c r="L160" s="389"/>
      <c r="M160" s="389"/>
    </row>
    <row r="161" spans="1:13" ht="75" hidden="1" x14ac:dyDescent="0.25">
      <c r="A161" s="245">
        <v>4</v>
      </c>
      <c r="B161" s="245">
        <v>26</v>
      </c>
      <c r="C161" s="52" t="str">
        <f>Final!E154</f>
        <v>c</v>
      </c>
      <c r="D161" s="20" t="str">
        <f>Final!F154</f>
        <v>Adecuación de la dotación, mantenimiento y las medidas de reducción del riesgo tanto delaboratorios, máquinas y talleres como de los equipos y materiales, según la naturaleza, metodología y exigencias del proyecto curricular</v>
      </c>
      <c r="E161" s="41"/>
      <c r="F161" s="41"/>
      <c r="G161" s="104" t="s">
        <v>64</v>
      </c>
      <c r="H161" s="41"/>
      <c r="I161" s="104" t="str">
        <f t="shared" si="12"/>
        <v>NA</v>
      </c>
      <c r="J161" s="45" t="str">
        <f t="shared" si="13"/>
        <v>NA</v>
      </c>
      <c r="K161" s="45" t="str">
        <f t="shared" si="14"/>
        <v>NA</v>
      </c>
      <c r="L161" s="389"/>
      <c r="M161" s="389"/>
    </row>
    <row r="162" spans="1:13" ht="120" hidden="1" x14ac:dyDescent="0.25">
      <c r="A162" s="245">
        <v>4</v>
      </c>
      <c r="B162" s="245">
        <v>26</v>
      </c>
      <c r="C162" s="52" t="str">
        <f>Final!E155</f>
        <v>d</v>
      </c>
      <c r="D162" s="20" t="str">
        <f>Final!F155</f>
        <v>Disponibilidad y capacidad de talleres, laboratorios, equipos, medios audiovisuales, sitios de práctica, espacios para atención a estudiantes, estaciones y granjas experimentales, escenarios de simulación virtual, entre otros, según los requerimientos del proyecto curricular que permitan el óptimo desempeño de la actividad docente, investigativa y de proyección social.</v>
      </c>
      <c r="E162" s="9"/>
      <c r="F162" s="9"/>
      <c r="G162" s="104" t="s">
        <v>64</v>
      </c>
      <c r="H162" s="41"/>
      <c r="I162" s="104" t="str">
        <f t="shared" si="12"/>
        <v>NA</v>
      </c>
      <c r="J162" s="45" t="str">
        <f t="shared" si="13"/>
        <v>NA</v>
      </c>
      <c r="K162" s="45" t="str">
        <f t="shared" si="14"/>
        <v>NA</v>
      </c>
      <c r="L162" s="389"/>
      <c r="M162" s="389"/>
    </row>
    <row r="163" spans="1:13" ht="105" hidden="1" x14ac:dyDescent="0.25">
      <c r="A163" s="245">
        <v>4</v>
      </c>
      <c r="B163" s="245">
        <v>26</v>
      </c>
      <c r="C163" s="52" t="str">
        <f>Final!E156</f>
        <v>e</v>
      </c>
      <c r="D163" s="20" t="str">
        <f>Final!F156</f>
        <v>Descripción de la actividad desplegada, por parte de la comunidad académica, en desarrollo de los convenios de cooperación con centros, instituciones, empresas u organizaciones, que facilitan el uso de otros recursos y escenarios de enseñanza, aprendizaje, investigación y creación artística y cultural, práctica profesional, entre otros.</v>
      </c>
      <c r="E163" s="9"/>
      <c r="F163" s="9"/>
      <c r="G163" s="104" t="s">
        <v>64</v>
      </c>
      <c r="H163" s="41"/>
      <c r="I163" s="104" t="str">
        <f t="shared" si="12"/>
        <v>NA</v>
      </c>
      <c r="J163" s="45" t="str">
        <f t="shared" si="13"/>
        <v>NA</v>
      </c>
      <c r="K163" s="45" t="str">
        <f t="shared" si="14"/>
        <v>NA</v>
      </c>
      <c r="L163" s="389"/>
      <c r="M163" s="389"/>
    </row>
    <row r="164" spans="1:13" ht="120" hidden="1" x14ac:dyDescent="0.25">
      <c r="A164" s="245">
        <v>4</v>
      </c>
      <c r="B164" s="245">
        <v>26</v>
      </c>
      <c r="C164" s="52" t="str">
        <f>Final!E157</f>
        <v>f</v>
      </c>
      <c r="D164" s="20" t="str">
        <f>Final!F157</f>
        <v>Apreciación de profesores, estudiantes, administrativos y auxiliares de laboratorio del proyecto curricular sobre la capacidad, disponibilidad, dotación y cumplimiento de las normas vigentes en laboratorios, talleres, ayudas audiovisuales y campos de práctica, con los que cuenta el proyecto curricular para el desarrollo de sus actividades.</v>
      </c>
      <c r="E164" s="41"/>
      <c r="F164" s="41"/>
      <c r="G164" s="104" t="s">
        <v>64</v>
      </c>
      <c r="H164" s="41"/>
      <c r="I164" s="104" t="str">
        <f t="shared" si="12"/>
        <v>NA</v>
      </c>
      <c r="J164" s="45" t="str">
        <f t="shared" si="13"/>
        <v>NA</v>
      </c>
      <c r="K164" s="45" t="str">
        <f t="shared" si="14"/>
        <v>NA</v>
      </c>
      <c r="L164" s="390"/>
      <c r="M164" s="390"/>
    </row>
    <row r="165" spans="1:13" ht="75" hidden="1" x14ac:dyDescent="0.25">
      <c r="A165" s="245">
        <v>5</v>
      </c>
      <c r="B165" s="245">
        <v>27</v>
      </c>
      <c r="C165" s="52" t="str">
        <f>Final!E158</f>
        <v>a</v>
      </c>
      <c r="D165" s="20" t="str">
        <f>Final!F158</f>
        <v>Existencia, aplicación y seguimiento de políticas institucionales en materia de incorporación de referentes académicos externos, nacionales e internacionales para la revisión y actualización del plan de estudio.</v>
      </c>
      <c r="E165" s="41"/>
      <c r="F165" s="41"/>
      <c r="G165" s="104" t="s">
        <v>64</v>
      </c>
      <c r="H165" s="41"/>
      <c r="I165" s="104" t="str">
        <f t="shared" si="12"/>
        <v>NA</v>
      </c>
      <c r="J165" s="45" t="str">
        <f t="shared" si="13"/>
        <v>NA</v>
      </c>
      <c r="K165" s="45" t="str">
        <f t="shared" si="14"/>
        <v>NA</v>
      </c>
      <c r="L165" s="388">
        <f>AVERAGE(K165:K175)</f>
        <v>5</v>
      </c>
      <c r="M165" s="388">
        <f>(L165*Ponderación!D28)+(L176*Ponderación!D29)</f>
        <v>5</v>
      </c>
    </row>
    <row r="166" spans="1:13" ht="60" hidden="1" x14ac:dyDescent="0.25">
      <c r="A166" s="245">
        <v>5</v>
      </c>
      <c r="B166" s="245">
        <v>27</v>
      </c>
      <c r="C166" s="52" t="str">
        <f>Final!E159</f>
        <v>b</v>
      </c>
      <c r="D166" s="20" t="str">
        <f>Final!F159</f>
        <v>Existencia de propuestas en curso y actividades ejecutadas para la revisión y actualización del plan de estudios, donde se tengan en cuenta referentes académicos externos, nacionales e internacionales.</v>
      </c>
      <c r="E166" s="41"/>
      <c r="F166" s="41"/>
      <c r="G166" s="104" t="s">
        <v>64</v>
      </c>
      <c r="H166" s="41"/>
      <c r="I166" s="104" t="str">
        <f t="shared" si="12"/>
        <v>NA</v>
      </c>
      <c r="J166" s="45" t="str">
        <f t="shared" si="13"/>
        <v>NA</v>
      </c>
      <c r="K166" s="45" t="str">
        <f t="shared" si="14"/>
        <v>NA</v>
      </c>
      <c r="L166" s="389"/>
      <c r="M166" s="389"/>
    </row>
    <row r="167" spans="1:13" ht="75" hidden="1" x14ac:dyDescent="0.25">
      <c r="A167" s="245">
        <v>5</v>
      </c>
      <c r="B167" s="245">
        <v>27</v>
      </c>
      <c r="C167" s="52" t="str">
        <f>Final!E160</f>
        <v>c</v>
      </c>
      <c r="D167" s="20" t="str">
        <f>Final!F160</f>
        <v>Actividades desarrolladas por los proyectos curriculares en las que se discuta y realicen análisis sistemáticos de comparabilidad con otros programas nacionales e internacionales de la misma naturaleza.</v>
      </c>
      <c r="E167" s="41"/>
      <c r="F167" s="41"/>
      <c r="G167" s="104" t="s">
        <v>64</v>
      </c>
      <c r="H167" s="41"/>
      <c r="I167" s="104" t="str">
        <f t="shared" si="12"/>
        <v>NA</v>
      </c>
      <c r="J167" s="45" t="str">
        <f t="shared" si="13"/>
        <v>NA</v>
      </c>
      <c r="K167" s="45" t="str">
        <f t="shared" si="14"/>
        <v>NA</v>
      </c>
      <c r="L167" s="389"/>
      <c r="M167" s="389"/>
    </row>
    <row r="168" spans="1:13" ht="105" hidden="1" x14ac:dyDescent="0.25">
      <c r="A168" s="245">
        <v>5</v>
      </c>
      <c r="B168" s="245">
        <v>27</v>
      </c>
      <c r="C168" s="52" t="str">
        <f>Final!E161</f>
        <v>d</v>
      </c>
      <c r="D168" s="20" t="str">
        <f>Final!F161</f>
        <v>Acuerdos y convenios activos de cooperación académica, establecidos y desarrollados por el proyecto curricular con instituciones y programas de alta calidad y reconocimiento nacional e internacional, o con instituciones reconocidas de diversa índole relacionados con el campo de formación del proyecto curricular.</v>
      </c>
      <c r="E168" s="9" t="s">
        <v>618</v>
      </c>
      <c r="F168" s="9"/>
      <c r="G168" s="9" t="s">
        <v>2836</v>
      </c>
      <c r="H168" s="41"/>
      <c r="I168" s="104" t="str">
        <f t="shared" si="12"/>
        <v>SI</v>
      </c>
      <c r="J168" s="45">
        <f t="shared" si="13"/>
        <v>5</v>
      </c>
      <c r="K168" s="45">
        <f>AVERAGE(J168)</f>
        <v>5</v>
      </c>
      <c r="L168" s="389"/>
      <c r="M168" s="389"/>
    </row>
    <row r="169" spans="1:13" ht="105" hidden="1" x14ac:dyDescent="0.25">
      <c r="A169" s="245">
        <v>5</v>
      </c>
      <c r="B169" s="245">
        <v>27</v>
      </c>
      <c r="C169" s="52" t="str">
        <f>Final!E162</f>
        <v>e</v>
      </c>
      <c r="D169" s="20" t="str">
        <f>Final!F162</f>
        <v>Actividades de cooperación académica desarrolladas por el proyecto curricular con instituciones y programas de alta calidad y(o reconocimiento nacional e internacional, o con instituciones reconocidas de diverso índole, que permitan el desarrollo del campo de conocimiento del proyecto curricular.</v>
      </c>
      <c r="E169" s="44" t="s">
        <v>618</v>
      </c>
      <c r="F169" s="44" t="s">
        <v>2861</v>
      </c>
      <c r="G169" s="72" t="s">
        <v>2860</v>
      </c>
      <c r="H169" s="41"/>
      <c r="I169" s="104" t="str">
        <f t="shared" si="12"/>
        <v>SI</v>
      </c>
      <c r="J169" s="45">
        <f t="shared" si="13"/>
        <v>5</v>
      </c>
      <c r="K169" s="45">
        <f>AVERAGE(J169)</f>
        <v>5</v>
      </c>
      <c r="L169" s="389"/>
      <c r="M169" s="389"/>
    </row>
    <row r="170" spans="1:13" ht="165" hidden="1" x14ac:dyDescent="0.25">
      <c r="A170" s="245">
        <v>5</v>
      </c>
      <c r="B170" s="245">
        <v>27</v>
      </c>
      <c r="C170" s="52" t="str">
        <f>Final!E163</f>
        <v>f</v>
      </c>
      <c r="D170" s="290" t="str">
        <f>Final!F163</f>
        <v>Proyectos de investigación, innovación, creación artística y cultural y/o proyección, desarrollados como producto de la cooperación académica y profesional y realizada por directivos, profesores y estudiantes del proyecto curricular, con miembros de comunidades nacionales e internacionales de reconocido liderazgo en el área del proyecto curricular, o con miembros de comunidades cuyo conocimiento es considerado fundamental y de gran valor dentro del contexto del proyecto curricular y/o la disciplina.</v>
      </c>
      <c r="E170" s="82" t="s">
        <v>620</v>
      </c>
      <c r="F170" s="82"/>
      <c r="G170" s="222" t="s">
        <v>2837</v>
      </c>
      <c r="H170" s="41"/>
      <c r="I170" s="104" t="str">
        <f t="shared" si="12"/>
        <v>SI</v>
      </c>
      <c r="J170" s="45">
        <f t="shared" si="13"/>
        <v>5</v>
      </c>
      <c r="K170" s="45">
        <f>AVERAGE(J170)</f>
        <v>5</v>
      </c>
      <c r="L170" s="389"/>
      <c r="M170" s="389"/>
    </row>
    <row r="171" spans="1:13" ht="120" hidden="1" x14ac:dyDescent="0.25">
      <c r="A171" s="245">
        <v>5</v>
      </c>
      <c r="B171" s="245">
        <v>27</v>
      </c>
      <c r="C171" s="52" t="str">
        <f>Final!E164</f>
        <v>g</v>
      </c>
      <c r="D171" s="20" t="str">
        <f>Final!F164</f>
        <v>Profesores, estudiantes y directivos del proyecto curricular con participación activa en redes u organismos nacionales e internacionales de la que se hayan derivado productos concretos como publicaciones en coautoría, cofinanciación de proyectos, registros y patentes, entre otros, de acuerdo al campo de conocimiento del proyecto curricular.</v>
      </c>
      <c r="E171" s="82" t="s">
        <v>621</v>
      </c>
      <c r="F171" s="82"/>
      <c r="G171" s="222" t="s">
        <v>2839</v>
      </c>
      <c r="H171" s="41"/>
      <c r="I171" s="104" t="str">
        <f t="shared" si="12"/>
        <v>SI</v>
      </c>
      <c r="J171" s="45">
        <f t="shared" si="13"/>
        <v>5</v>
      </c>
      <c r="K171" s="45">
        <f>AVERAGE(J171)</f>
        <v>5</v>
      </c>
      <c r="L171" s="389"/>
      <c r="M171" s="389"/>
    </row>
    <row r="172" spans="1:13" ht="60" hidden="1" x14ac:dyDescent="0.25">
      <c r="A172" s="245">
        <v>5</v>
      </c>
      <c r="B172" s="245">
        <v>27</v>
      </c>
      <c r="C172" s="52" t="str">
        <f>Final!E165</f>
        <v>h</v>
      </c>
      <c r="D172" s="20" t="str">
        <f>Final!F165</f>
        <v>Existencia de estudios o iniciativas en curso, sobre posibilidades de doble titulación con otras instituciones, de acuerdo con el tipo y naturaleza del proyecto curricular.</v>
      </c>
      <c r="E172" s="41"/>
      <c r="F172" s="41"/>
      <c r="G172" s="104" t="s">
        <v>64</v>
      </c>
      <c r="H172" s="41"/>
      <c r="I172" s="104" t="str">
        <f t="shared" si="12"/>
        <v>NA</v>
      </c>
      <c r="J172" s="45" t="str">
        <f t="shared" si="13"/>
        <v>NA</v>
      </c>
      <c r="K172" s="45" t="str">
        <f>J172</f>
        <v>NA</v>
      </c>
      <c r="L172" s="389"/>
      <c r="M172" s="389"/>
    </row>
    <row r="173" spans="1:13" ht="75" hidden="1" x14ac:dyDescent="0.25">
      <c r="A173" s="245">
        <v>5</v>
      </c>
      <c r="B173" s="245">
        <v>27</v>
      </c>
      <c r="C173" s="52" t="str">
        <f>Final!E166</f>
        <v>i</v>
      </c>
      <c r="D173" s="20" t="str">
        <f>Final!F166</f>
        <v>Introducción de modificaciones y ajustes en el plan de estudios surgidos a partir de la interacción con comunidades académicas nacionales e internacionales y evaluación del impacto de dichas modificaciones.</v>
      </c>
      <c r="E173" s="41"/>
      <c r="F173" s="41"/>
      <c r="G173" s="104" t="s">
        <v>64</v>
      </c>
      <c r="H173" s="41"/>
      <c r="I173" s="104" t="str">
        <f t="shared" si="12"/>
        <v>NA</v>
      </c>
      <c r="J173" s="45" t="str">
        <f t="shared" si="13"/>
        <v>NA</v>
      </c>
      <c r="K173" s="45" t="str">
        <f>J173</f>
        <v>NA</v>
      </c>
      <c r="L173" s="389"/>
      <c r="M173" s="389"/>
    </row>
    <row r="174" spans="1:13" ht="90" hidden="1" x14ac:dyDescent="0.25">
      <c r="A174" s="245">
        <v>5</v>
      </c>
      <c r="B174" s="245">
        <v>27</v>
      </c>
      <c r="C174" s="52" t="str">
        <f>Final!E167</f>
        <v>j</v>
      </c>
      <c r="D174" s="20" t="str">
        <f>Final!F167</f>
        <v>Evidencias del impacto social que ha generado la inserción del proyecto curricular en contextos académicos o profesionales nacionales e internacionales relacionados con el campo de formación, de acuerdo a su naturaleza y sus objetivos de formación.</v>
      </c>
      <c r="E174" s="41"/>
      <c r="F174" s="41"/>
      <c r="G174" s="104" t="s">
        <v>64</v>
      </c>
      <c r="H174" s="41"/>
      <c r="I174" s="104" t="str">
        <f t="shared" si="12"/>
        <v>NA</v>
      </c>
      <c r="J174" s="45" t="str">
        <f t="shared" si="13"/>
        <v>NA</v>
      </c>
      <c r="K174" s="45" t="str">
        <f>J174</f>
        <v>NA</v>
      </c>
      <c r="L174" s="389"/>
      <c r="M174" s="389"/>
    </row>
    <row r="175" spans="1:13" ht="45" hidden="1" x14ac:dyDescent="0.25">
      <c r="A175" s="245">
        <v>5</v>
      </c>
      <c r="B175" s="245">
        <v>27</v>
      </c>
      <c r="C175" s="52" t="str">
        <f>Final!E168</f>
        <v>k</v>
      </c>
      <c r="D175" s="20" t="str">
        <f>Final!F168</f>
        <v>Inversión efectivamente realizada por la institución para los fines de internacionalización del currículo del proyecto curricular, en los últimos cinco años.</v>
      </c>
      <c r="E175" s="41"/>
      <c r="F175" s="41"/>
      <c r="G175" s="104" t="s">
        <v>64</v>
      </c>
      <c r="H175" s="41"/>
      <c r="I175" s="104" t="str">
        <f t="shared" si="12"/>
        <v>NA</v>
      </c>
      <c r="J175" s="45" t="str">
        <f t="shared" si="13"/>
        <v>NA</v>
      </c>
      <c r="K175" s="45" t="str">
        <f>J175</f>
        <v>NA</v>
      </c>
      <c r="L175" s="390"/>
      <c r="M175" s="389"/>
    </row>
    <row r="176" spans="1:13" ht="30" hidden="1" x14ac:dyDescent="0.25">
      <c r="A176" s="245">
        <v>5</v>
      </c>
      <c r="B176" s="245">
        <v>28</v>
      </c>
      <c r="C176" s="52" t="str">
        <f>Final!E169</f>
        <v>a</v>
      </c>
      <c r="D176" s="20" t="str">
        <f>Final!F169</f>
        <v>Convenios activos de intercambio con universidades nacionales y extranjeras.</v>
      </c>
      <c r="E176" s="9" t="s">
        <v>623</v>
      </c>
      <c r="F176" s="9"/>
      <c r="G176" s="9" t="s">
        <v>2838</v>
      </c>
      <c r="H176" s="41"/>
      <c r="I176" s="104" t="str">
        <f t="shared" si="12"/>
        <v>SI</v>
      </c>
      <c r="J176" s="45">
        <f t="shared" si="13"/>
        <v>5</v>
      </c>
      <c r="K176" s="45">
        <f>AVERAGE(J176)</f>
        <v>5</v>
      </c>
      <c r="L176" s="388">
        <f>AVERAGE(K176:K183)</f>
        <v>5</v>
      </c>
      <c r="M176" s="389"/>
    </row>
    <row r="177" spans="1:13" ht="30" hidden="1" x14ac:dyDescent="0.25">
      <c r="A177" s="245">
        <v>5</v>
      </c>
      <c r="B177" s="245">
        <v>28</v>
      </c>
      <c r="C177" s="52" t="str">
        <f>Final!E170</f>
        <v>b</v>
      </c>
      <c r="D177" s="20" t="str">
        <f>Final!F170</f>
        <v>Número de estudiantes extranjeros en el proyecto curricular en los últimos 5 años.</v>
      </c>
      <c r="E177" s="41"/>
      <c r="F177" s="41"/>
      <c r="G177" s="104" t="s">
        <v>64</v>
      </c>
      <c r="H177" s="41"/>
      <c r="I177" s="104" t="str">
        <f t="shared" si="12"/>
        <v>NA</v>
      </c>
      <c r="J177" s="45" t="str">
        <f t="shared" si="13"/>
        <v>NA</v>
      </c>
      <c r="K177" s="45" t="str">
        <f>J177</f>
        <v>NA</v>
      </c>
      <c r="L177" s="389"/>
      <c r="M177" s="389"/>
    </row>
    <row r="178" spans="1:13" ht="30" hidden="1" x14ac:dyDescent="0.25">
      <c r="A178" s="245">
        <v>5</v>
      </c>
      <c r="B178" s="245">
        <v>28</v>
      </c>
      <c r="C178" s="52" t="str">
        <f>Final!E171</f>
        <v>c</v>
      </c>
      <c r="D178" s="20" t="str">
        <f>Final!F171</f>
        <v>Experiencias de homologación de cursos realizados en otros programas nacionales o extranjeros.</v>
      </c>
      <c r="E178" s="41"/>
      <c r="F178" s="41"/>
      <c r="G178" s="104" t="s">
        <v>64</v>
      </c>
      <c r="H178" s="41"/>
      <c r="I178" s="104" t="str">
        <f t="shared" si="12"/>
        <v>NA</v>
      </c>
      <c r="J178" s="45" t="str">
        <f t="shared" si="13"/>
        <v>NA</v>
      </c>
      <c r="K178" s="45" t="str">
        <f>J178</f>
        <v>NA</v>
      </c>
      <c r="L178" s="389"/>
      <c r="M178" s="389"/>
    </row>
    <row r="179" spans="1:13" ht="60" hidden="1" x14ac:dyDescent="0.25">
      <c r="A179" s="245">
        <v>5</v>
      </c>
      <c r="B179" s="245">
        <v>28</v>
      </c>
      <c r="C179" s="52" t="str">
        <f>Final!E172</f>
        <v>d</v>
      </c>
      <c r="D179" s="20" t="str">
        <f>Final!F172</f>
        <v>Profesores o expertos visitantes nacionales y extranjeros que ha recibido el proyecto curricular en los últimos cinco años (objetivos, duración y resultados de su estadía).</v>
      </c>
      <c r="E179" s="41"/>
      <c r="F179" s="41"/>
      <c r="G179" s="104" t="s">
        <v>64</v>
      </c>
      <c r="H179" s="41"/>
      <c r="I179" s="104" t="str">
        <f t="shared" si="12"/>
        <v>NA</v>
      </c>
      <c r="J179" s="45" t="str">
        <f t="shared" si="13"/>
        <v>NA</v>
      </c>
      <c r="K179" s="45" t="str">
        <f>J179</f>
        <v>NA</v>
      </c>
      <c r="L179" s="389"/>
      <c r="M179" s="389"/>
    </row>
    <row r="180" spans="1:13" ht="210" hidden="1" x14ac:dyDescent="0.25">
      <c r="A180" s="245">
        <v>5</v>
      </c>
      <c r="B180" s="245">
        <v>28</v>
      </c>
      <c r="C180" s="52" t="str">
        <f>Final!E173</f>
        <v>e</v>
      </c>
      <c r="D180" s="20" t="str">
        <f>Final!F173</f>
        <v>Profesores y estudiantes adscritos al proyecto curricular que en los últimos cinco años han participado en actividades de cooperación académica y profesional con programas nacionales e internacionales de reconocido liderazgo en el área (semestre académico de intercambio, pasantía o práctica, rotación médica, curso corto, misión, profesor visitante/conferencia, estancia de investigación, estudios de postgrado, profesor en programa de pregrado y/o postgrado, congresos, foros, seminarios, simposios, educación continuada, par académico, parques tecnológicos, incubadoras de empresas, mesas y ruedas de negociación económica y tecnológica, entre otros).</v>
      </c>
      <c r="E180" s="9" t="s">
        <v>583</v>
      </c>
      <c r="F180" s="9"/>
      <c r="G180" s="222" t="s">
        <v>2839</v>
      </c>
      <c r="H180" s="41"/>
      <c r="I180" s="104" t="str">
        <f t="shared" si="12"/>
        <v>SI</v>
      </c>
      <c r="J180" s="45">
        <f t="shared" si="13"/>
        <v>5</v>
      </c>
      <c r="K180" s="45">
        <f>AVERAGE(J180)</f>
        <v>5</v>
      </c>
      <c r="L180" s="389"/>
      <c r="M180" s="389"/>
    </row>
    <row r="181" spans="1:13" ht="45" hidden="1" x14ac:dyDescent="0.25">
      <c r="A181" s="245">
        <v>5</v>
      </c>
      <c r="B181" s="245">
        <v>28</v>
      </c>
      <c r="C181" s="52" t="str">
        <f>Final!E174</f>
        <v>f</v>
      </c>
      <c r="D181" s="20" t="str">
        <f>Final!F174</f>
        <v>Resultados efectivos de la participación de profesores y estudiantes adscritos al proyecto curricular en actividades de cooperación académica.</v>
      </c>
      <c r="E181" s="41"/>
      <c r="F181" s="41"/>
      <c r="G181" s="104" t="s">
        <v>64</v>
      </c>
      <c r="H181" s="41"/>
      <c r="I181" s="104" t="str">
        <f t="shared" si="12"/>
        <v>NA</v>
      </c>
      <c r="J181" s="45" t="str">
        <f t="shared" si="13"/>
        <v>NA</v>
      </c>
      <c r="K181" s="45" t="str">
        <f>J181</f>
        <v>NA</v>
      </c>
      <c r="L181" s="389"/>
      <c r="M181" s="389"/>
    </row>
    <row r="182" spans="1:13" ht="75" hidden="1" x14ac:dyDescent="0.25">
      <c r="A182" s="245">
        <v>5</v>
      </c>
      <c r="B182" s="245">
        <v>28</v>
      </c>
      <c r="C182" s="52" t="str">
        <f>Final!E175</f>
        <v>g</v>
      </c>
      <c r="D182" s="20" t="str">
        <f>Final!F175</f>
        <v>Participación de profesores adscritos al proyecto curricular en redes académicas, culturales, artísticas, científicas, técnicas y tecnológicas, económicas, a nivel nacional e internacional, de acuerdo con el tipo y modalidad del proyecto curricular.</v>
      </c>
      <c r="E182" s="41"/>
      <c r="F182" s="41"/>
      <c r="G182" s="104" t="s">
        <v>64</v>
      </c>
      <c r="H182" s="41"/>
      <c r="I182" s="104" t="str">
        <f t="shared" si="12"/>
        <v>NA</v>
      </c>
      <c r="J182" s="45" t="str">
        <f t="shared" si="13"/>
        <v>NA</v>
      </c>
      <c r="K182" s="45" t="str">
        <f>J182</f>
        <v>NA</v>
      </c>
      <c r="L182" s="389"/>
      <c r="M182" s="389"/>
    </row>
    <row r="183" spans="1:13" ht="75" hidden="1" x14ac:dyDescent="0.25">
      <c r="A183" s="245">
        <v>5</v>
      </c>
      <c r="B183" s="245">
        <v>28</v>
      </c>
      <c r="C183" s="52" t="str">
        <f>Final!E176</f>
        <v>h</v>
      </c>
      <c r="D183" s="20" t="str">
        <f>Final!F176</f>
        <v>Inversión efectiva (directa o indirecta) destinada por la Universidad Distrital para financiar los proyectos de movilidad en doble vía, realizados por los estudiantes y profesores adscritos al proyecto curricular en los últimos cinco años.</v>
      </c>
      <c r="E183" s="41"/>
      <c r="F183" s="41"/>
      <c r="G183" s="104" t="s">
        <v>64</v>
      </c>
      <c r="H183" s="41"/>
      <c r="I183" s="104" t="str">
        <f t="shared" si="12"/>
        <v>NA</v>
      </c>
      <c r="J183" s="45" t="str">
        <f t="shared" si="13"/>
        <v>NA</v>
      </c>
      <c r="K183" s="45" t="str">
        <f>J183</f>
        <v>NA</v>
      </c>
      <c r="L183" s="390"/>
      <c r="M183" s="390"/>
    </row>
    <row r="184" spans="1:13" ht="60" x14ac:dyDescent="0.25">
      <c r="A184" s="245">
        <v>6</v>
      </c>
      <c r="B184" s="245">
        <v>29</v>
      </c>
      <c r="C184" s="52" t="str">
        <f>Final!E177</f>
        <v>a</v>
      </c>
      <c r="D184" s="20" t="str">
        <f>Final!F177</f>
        <v>Criterios, estrategias y actividades del programa orientado a promover la capacidad de indagación y búsqueda, y la formación de un espíritu investigativo, creativo e innovador en los estudiantes.</v>
      </c>
      <c r="E184" s="41"/>
      <c r="F184" s="41"/>
      <c r="G184" s="104" t="s">
        <v>64</v>
      </c>
      <c r="H184" s="41"/>
      <c r="I184" s="104" t="str">
        <f t="shared" si="12"/>
        <v>NA</v>
      </c>
      <c r="J184" s="45" t="str">
        <f t="shared" si="13"/>
        <v>NA</v>
      </c>
      <c r="K184" s="45" t="str">
        <f>J184</f>
        <v>NA</v>
      </c>
      <c r="L184" s="396">
        <f>AVERAGE(K184:K194)</f>
        <v>3.9285714285714284</v>
      </c>
      <c r="M184" s="396">
        <f>(L184*Ponderación!D30)+(L195*Ponderación!D31)</f>
        <v>4.1472222222222221</v>
      </c>
    </row>
    <row r="185" spans="1:13" ht="105" x14ac:dyDescent="0.25">
      <c r="A185" s="245">
        <v>6</v>
      </c>
      <c r="B185" s="245">
        <v>29</v>
      </c>
      <c r="C185" s="52" t="str">
        <f>Final!E178</f>
        <v>b</v>
      </c>
      <c r="D185" s="20" t="str">
        <f>Final!F178</f>
        <v>Existencia y utilización de mecanismos por parte de los profesores adscritos al programa para incentivar en los estudiantes la generación de ideas y problemas de investigación, la identificación de problemas en el ámbito empresarial susceptibles de resolver mediante la aplicación del conocimiento y la innovación.</v>
      </c>
      <c r="E185" s="41"/>
      <c r="F185" s="41"/>
      <c r="G185" s="104" t="s">
        <v>64</v>
      </c>
      <c r="H185" s="41"/>
      <c r="I185" s="104" t="str">
        <f t="shared" si="12"/>
        <v>NA</v>
      </c>
      <c r="J185" s="45" t="str">
        <f t="shared" si="13"/>
        <v>NA</v>
      </c>
      <c r="K185" s="45" t="str">
        <f>J185</f>
        <v>NA</v>
      </c>
      <c r="L185" s="397"/>
      <c r="M185" s="397"/>
    </row>
    <row r="186" spans="1:13" ht="30" x14ac:dyDescent="0.25">
      <c r="A186" s="245">
        <v>6</v>
      </c>
      <c r="B186" s="245">
        <v>29</v>
      </c>
      <c r="C186" s="367" t="str">
        <f>Final!E179</f>
        <v>c</v>
      </c>
      <c r="D186" s="362" t="str">
        <f>Final!F179</f>
        <v>Estudiantes que están vinculados como monitores, auxiliares de investigación e integrantes de semilleros y/o grupos de investigación.</v>
      </c>
      <c r="E186" s="82" t="s">
        <v>631</v>
      </c>
      <c r="F186" s="82"/>
      <c r="G186" s="82" t="s">
        <v>664</v>
      </c>
      <c r="H186" s="41"/>
      <c r="I186" s="104" t="str">
        <f t="shared" si="12"/>
        <v>SI</v>
      </c>
      <c r="J186" s="45">
        <f t="shared" si="13"/>
        <v>5</v>
      </c>
      <c r="K186" s="388">
        <f>AVERAGE(J186:J187)</f>
        <v>2.5</v>
      </c>
      <c r="L186" s="397"/>
      <c r="M186" s="397"/>
    </row>
    <row r="187" spans="1:13" x14ac:dyDescent="0.25">
      <c r="A187" s="245">
        <v>6</v>
      </c>
      <c r="B187" s="245">
        <v>29</v>
      </c>
      <c r="C187" s="368"/>
      <c r="D187" s="363"/>
      <c r="E187" s="82" t="s">
        <v>632</v>
      </c>
      <c r="F187" s="82"/>
      <c r="G187" s="82"/>
      <c r="H187" s="41"/>
      <c r="I187" s="104" t="str">
        <f t="shared" si="12"/>
        <v>NO</v>
      </c>
      <c r="J187" s="45">
        <f t="shared" si="13"/>
        <v>0</v>
      </c>
      <c r="K187" s="390"/>
      <c r="L187" s="397"/>
      <c r="M187" s="397"/>
    </row>
    <row r="188" spans="1:13" ht="45" x14ac:dyDescent="0.25">
      <c r="A188" s="245">
        <v>6</v>
      </c>
      <c r="B188" s="245">
        <v>29</v>
      </c>
      <c r="C188" s="52" t="str">
        <f>Final!E180</f>
        <v>d</v>
      </c>
      <c r="D188" s="20" t="str">
        <f>Final!F180</f>
        <v>Grupos y semilleros de investigación del programa en los que participan estudiantes de acuerdo con su tipo y modalidad.</v>
      </c>
      <c r="E188" s="20" t="s">
        <v>633</v>
      </c>
      <c r="F188" s="20"/>
      <c r="G188" s="20" t="s">
        <v>664</v>
      </c>
      <c r="H188" s="41"/>
      <c r="I188" s="104" t="str">
        <f t="shared" si="12"/>
        <v>SI</v>
      </c>
      <c r="J188" s="45">
        <f t="shared" si="13"/>
        <v>5</v>
      </c>
      <c r="K188" s="45">
        <f>AVERAGE(J188)</f>
        <v>5</v>
      </c>
      <c r="L188" s="397"/>
      <c r="M188" s="397"/>
    </row>
    <row r="189" spans="1:13" ht="59.25" customHeight="1" x14ac:dyDescent="0.25">
      <c r="A189" s="245">
        <v>6</v>
      </c>
      <c r="B189" s="245">
        <v>29</v>
      </c>
      <c r="C189" s="52" t="str">
        <f>Final!E181</f>
        <v>e</v>
      </c>
      <c r="D189" s="290" t="str">
        <f>Final!F181</f>
        <v>Actividades académicas –cursos electivos, seminarios, pasantías, eventos– derivados de líneas de investigación y/o de espacios académicos vinculados a la investigación en los últimos cinco años.</v>
      </c>
      <c r="E189" s="290" t="s">
        <v>634</v>
      </c>
      <c r="F189" s="20"/>
      <c r="G189" s="20"/>
      <c r="H189" s="41"/>
      <c r="I189" s="104" t="str">
        <f t="shared" si="12"/>
        <v>NO</v>
      </c>
      <c r="J189" s="45">
        <f t="shared" si="13"/>
        <v>0</v>
      </c>
      <c r="K189" s="45">
        <f>AVERAGE(J189)</f>
        <v>0</v>
      </c>
      <c r="L189" s="397"/>
      <c r="M189" s="397"/>
    </row>
    <row r="190" spans="1:13" ht="75" x14ac:dyDescent="0.25">
      <c r="A190" s="245">
        <v>6</v>
      </c>
      <c r="B190" s="245">
        <v>29</v>
      </c>
      <c r="C190" s="52" t="str">
        <f>Final!E182</f>
        <v>f</v>
      </c>
      <c r="D190" s="20" t="str">
        <f>Final!F182</f>
        <v>Actividades académicas – pasantías, talleres, actividades conjuntas- relacionadas con la realidad profesional en diversos ámbitos, organizadas desde los primeros semestres con una lógica enfocada en la comprensión de los grados de complejidad.</v>
      </c>
      <c r="E190" s="82" t="s">
        <v>635</v>
      </c>
      <c r="F190" s="82"/>
      <c r="G190" s="82" t="s">
        <v>2840</v>
      </c>
      <c r="H190" s="41"/>
      <c r="I190" s="104" t="str">
        <f t="shared" si="12"/>
        <v>SI</v>
      </c>
      <c r="J190" s="45">
        <f t="shared" si="13"/>
        <v>5</v>
      </c>
      <c r="K190" s="45">
        <f>AVERAGE(J190)</f>
        <v>5</v>
      </c>
      <c r="L190" s="397"/>
      <c r="M190" s="397"/>
    </row>
    <row r="191" spans="1:13" ht="135" x14ac:dyDescent="0.25">
      <c r="A191" s="245">
        <v>6</v>
      </c>
      <c r="B191" s="245">
        <v>29</v>
      </c>
      <c r="C191" s="52" t="str">
        <f>Final!E183</f>
        <v>g</v>
      </c>
      <c r="D191" s="20" t="str">
        <f>Final!F183</f>
        <v>Existencia dentro del plan de estudios de espacios académicos y de vinculación con el sector productivo o con ámbitos de desarrollo y desempeño profesional según naturaleza del programa donde se analiza la naturaleza de la investigación científica, técnica y tecnológica, la innovación, sus objetos de indagación, sus problemas, oportunidades y sus resultados y soluciones.</v>
      </c>
      <c r="E191" s="41"/>
      <c r="F191" s="41"/>
      <c r="G191" s="104" t="s">
        <v>64</v>
      </c>
      <c r="H191" s="41"/>
      <c r="I191" s="104" t="str">
        <f t="shared" si="12"/>
        <v>NA</v>
      </c>
      <c r="J191" s="45" t="str">
        <f t="shared" si="13"/>
        <v>NA</v>
      </c>
      <c r="K191" s="45" t="str">
        <f>J191</f>
        <v>NA</v>
      </c>
      <c r="L191" s="397"/>
      <c r="M191" s="397"/>
    </row>
    <row r="192" spans="1:13" ht="75" x14ac:dyDescent="0.25">
      <c r="A192" s="245">
        <v>6</v>
      </c>
      <c r="B192" s="245">
        <v>29</v>
      </c>
      <c r="C192" s="52" t="str">
        <f>Final!E184</f>
        <v>h</v>
      </c>
      <c r="D192" s="82" t="str">
        <f>Final!F184</f>
        <v>Participación de los estudiantes en los programas institucionales de jóvenes investigadores.</v>
      </c>
      <c r="E192" s="221" t="s">
        <v>2828</v>
      </c>
      <c r="F192" s="20"/>
      <c r="G192" s="20" t="s">
        <v>2841</v>
      </c>
      <c r="H192" s="41"/>
      <c r="I192" s="104" t="str">
        <f t="shared" si="12"/>
        <v>SI</v>
      </c>
      <c r="J192" s="45">
        <f t="shared" si="13"/>
        <v>5</v>
      </c>
      <c r="K192" s="45">
        <f>AVERAGE(J192)</f>
        <v>5</v>
      </c>
      <c r="L192" s="397"/>
      <c r="M192" s="397"/>
    </row>
    <row r="193" spans="1:13" ht="75" x14ac:dyDescent="0.25">
      <c r="A193" s="245">
        <v>6</v>
      </c>
      <c r="B193" s="245">
        <v>29</v>
      </c>
      <c r="C193" s="52" t="str">
        <f>Final!E185</f>
        <v>i</v>
      </c>
      <c r="D193" s="82" t="str">
        <f>Final!F185</f>
        <v>Participación de los estudiantes en proyectos Universidad Empresa Estado que adelante la Institución.</v>
      </c>
      <c r="E193" s="20" t="s">
        <v>637</v>
      </c>
      <c r="F193" s="20"/>
      <c r="G193" s="20" t="s">
        <v>2826</v>
      </c>
      <c r="H193" s="41"/>
      <c r="I193" s="104" t="str">
        <f t="shared" si="12"/>
        <v>SI</v>
      </c>
      <c r="J193" s="45">
        <f t="shared" si="13"/>
        <v>5</v>
      </c>
      <c r="K193" s="45">
        <f>AVERAGE(J193)</f>
        <v>5</v>
      </c>
      <c r="L193" s="397"/>
      <c r="M193" s="397"/>
    </row>
    <row r="194" spans="1:13" ht="60" x14ac:dyDescent="0.25">
      <c r="A194" s="245">
        <v>6</v>
      </c>
      <c r="B194" s="245">
        <v>29</v>
      </c>
      <c r="C194" s="52" t="str">
        <f>Final!E186</f>
        <v>j</v>
      </c>
      <c r="D194" s="82" t="str">
        <f>Final!F186</f>
        <v>Participación de los estudiantes en programas de innovación como: transferencia de conocimiento, emprendimiento y creatividad.</v>
      </c>
      <c r="E194" s="20" t="s">
        <v>638</v>
      </c>
      <c r="F194" s="20"/>
      <c r="G194" s="20" t="s">
        <v>2842</v>
      </c>
      <c r="H194" s="41"/>
      <c r="I194" s="104" t="str">
        <f t="shared" si="12"/>
        <v>SI</v>
      </c>
      <c r="J194" s="45">
        <f t="shared" si="13"/>
        <v>5</v>
      </c>
      <c r="K194" s="45">
        <f>AVERAGE(J194)</f>
        <v>5</v>
      </c>
      <c r="L194" s="398"/>
      <c r="M194" s="397"/>
    </row>
    <row r="195" spans="1:13" ht="120" x14ac:dyDescent="0.25">
      <c r="A195" s="245">
        <v>6</v>
      </c>
      <c r="B195" s="245">
        <v>30</v>
      </c>
      <c r="C195" s="52" t="str">
        <f>Final!E187</f>
        <v>a</v>
      </c>
      <c r="D195" s="20" t="str">
        <f>Final!F187</f>
        <v xml:space="preserve">Criterios, estrategias y políticas institucionales en materia de investigación, innovación y creación artística y cultural que se evidencie en mecanismos efectivos que estimulen el desarrollo de los procesos investigativos, de innovación y creativos, y establezcan criterios de evaluación de su calidad y pertinencia, ampliamente difundidos y aceptados por la comunidad académica. </v>
      </c>
      <c r="E195" s="41"/>
      <c r="F195" s="41"/>
      <c r="G195" s="104" t="s">
        <v>64</v>
      </c>
      <c r="H195" s="41"/>
      <c r="I195" s="104" t="str">
        <f t="shared" ref="I195:I258" si="15">IF((LEN(G195)=$P$5)*OR(LEN(H195)=$P$5),$O$5,IF(EXACT(G195,$O$6),$O$6,$O$4))</f>
        <v>NA</v>
      </c>
      <c r="J195" s="45" t="str">
        <f t="shared" ref="J195:J258" si="16">IF(EXACT(I195,$O$4),$P$4,IF(EXACT(I195,$O$6),$O$6,$P$5))</f>
        <v>NA</v>
      </c>
      <c r="K195" s="45" t="str">
        <f>J195</f>
        <v>NA</v>
      </c>
      <c r="L195" s="396">
        <f>AVERAGE(K195:K206)</f>
        <v>4.3055555555555562</v>
      </c>
      <c r="M195" s="397"/>
    </row>
    <row r="196" spans="1:13" ht="30" x14ac:dyDescent="0.25">
      <c r="A196" s="245">
        <v>6</v>
      </c>
      <c r="B196" s="245">
        <v>30</v>
      </c>
      <c r="C196" s="367" t="str">
        <f>Final!E188</f>
        <v>b</v>
      </c>
      <c r="D196" s="362" t="str">
        <f>Final!F188</f>
        <v>Correspondencia entre el número y el nivel de formación de los profesores adscritos al proyecto curricular con la intensidad de la actividad investigativa y de innovación y creación artística y cultural.</v>
      </c>
      <c r="E196" s="82" t="s">
        <v>642</v>
      </c>
      <c r="F196" s="82"/>
      <c r="G196" s="82"/>
      <c r="H196" s="41"/>
      <c r="I196" s="104" t="str">
        <f t="shared" si="15"/>
        <v>NO</v>
      </c>
      <c r="J196" s="45">
        <f t="shared" si="16"/>
        <v>0</v>
      </c>
      <c r="K196" s="388">
        <f>AVERAGE(J196:J197)</f>
        <v>2.5</v>
      </c>
      <c r="L196" s="397"/>
      <c r="M196" s="397"/>
    </row>
    <row r="197" spans="1:13" ht="45" x14ac:dyDescent="0.25">
      <c r="A197" s="245">
        <v>6</v>
      </c>
      <c r="B197" s="245">
        <v>30</v>
      </c>
      <c r="C197" s="368"/>
      <c r="D197" s="363"/>
      <c r="E197" s="82" t="s">
        <v>643</v>
      </c>
      <c r="F197" s="82"/>
      <c r="G197" s="82" t="s">
        <v>2843</v>
      </c>
      <c r="H197" s="41"/>
      <c r="I197" s="104" t="str">
        <f t="shared" si="15"/>
        <v>SI</v>
      </c>
      <c r="J197" s="45">
        <f t="shared" si="16"/>
        <v>5</v>
      </c>
      <c r="K197" s="390"/>
      <c r="L197" s="397"/>
      <c r="M197" s="397"/>
    </row>
    <row r="198" spans="1:13" ht="30" x14ac:dyDescent="0.25">
      <c r="A198" s="245">
        <v>6</v>
      </c>
      <c r="B198" s="245">
        <v>30</v>
      </c>
      <c r="C198" s="367" t="str">
        <f>Final!E189</f>
        <v>c</v>
      </c>
      <c r="D198" s="362" t="str">
        <f>Final!F189</f>
        <v>Talento humano y recursos logísticos y financieros con que cuenta el proyecto curricular, asociados a proyectos y a otras actividades de investigación, innovación y creación artística y cultural.</v>
      </c>
      <c r="E198" s="82" t="s">
        <v>644</v>
      </c>
      <c r="F198" s="82"/>
      <c r="G198" s="82" t="s">
        <v>2844</v>
      </c>
      <c r="H198" s="41"/>
      <c r="I198" s="104" t="str">
        <f t="shared" si="15"/>
        <v>SI</v>
      </c>
      <c r="J198" s="45">
        <f t="shared" si="16"/>
        <v>5</v>
      </c>
      <c r="K198" s="388">
        <f>AVERAGE(J198:J199)</f>
        <v>5</v>
      </c>
      <c r="L198" s="397"/>
      <c r="M198" s="397"/>
    </row>
    <row r="199" spans="1:13" ht="30" x14ac:dyDescent="0.25">
      <c r="A199" s="245">
        <v>6</v>
      </c>
      <c r="B199" s="245">
        <v>30</v>
      </c>
      <c r="C199" s="368"/>
      <c r="D199" s="363"/>
      <c r="E199" s="82" t="s">
        <v>645</v>
      </c>
      <c r="F199" s="82"/>
      <c r="G199" s="82" t="s">
        <v>2845</v>
      </c>
      <c r="H199" s="41"/>
      <c r="I199" s="104" t="str">
        <f t="shared" si="15"/>
        <v>SI</v>
      </c>
      <c r="J199" s="45">
        <f t="shared" si="16"/>
        <v>5</v>
      </c>
      <c r="K199" s="390"/>
      <c r="L199" s="397"/>
      <c r="M199" s="397"/>
    </row>
    <row r="200" spans="1:13" ht="60" customHeight="1" x14ac:dyDescent="0.25">
      <c r="A200" s="245">
        <v>6</v>
      </c>
      <c r="B200" s="245">
        <v>30</v>
      </c>
      <c r="C200" s="367" t="str">
        <f>Final!E190</f>
        <v>d</v>
      </c>
      <c r="D200" s="362" t="str">
        <f>Final!F190</f>
        <v>Grupos de investigación conformados por profesores y estudiantes adscritos al proyecto curricular reconocidos por COLCIENCIAS o por otra entidad reconocida.</v>
      </c>
      <c r="E200" s="82" t="s">
        <v>646</v>
      </c>
      <c r="F200" s="82"/>
      <c r="G200" s="82" t="s">
        <v>2846</v>
      </c>
      <c r="H200" s="41"/>
      <c r="I200" s="104" t="str">
        <f t="shared" si="15"/>
        <v>SI</v>
      </c>
      <c r="J200" s="45">
        <f t="shared" si="16"/>
        <v>5</v>
      </c>
      <c r="K200" s="388">
        <f>AVERAGE(J200:J202)</f>
        <v>3.3333333333333335</v>
      </c>
      <c r="L200" s="397"/>
      <c r="M200" s="397"/>
    </row>
    <row r="201" spans="1:13" ht="30" x14ac:dyDescent="0.25">
      <c r="A201" s="245">
        <v>6</v>
      </c>
      <c r="B201" s="245">
        <v>30</v>
      </c>
      <c r="C201" s="402"/>
      <c r="D201" s="364"/>
      <c r="E201" s="82" t="s">
        <v>647</v>
      </c>
      <c r="F201" s="82"/>
      <c r="G201" s="82" t="s">
        <v>2846</v>
      </c>
      <c r="H201" s="41"/>
      <c r="I201" s="104" t="str">
        <f t="shared" si="15"/>
        <v>SI</v>
      </c>
      <c r="J201" s="45">
        <f t="shared" si="16"/>
        <v>5</v>
      </c>
      <c r="K201" s="389"/>
      <c r="L201" s="397"/>
      <c r="M201" s="397"/>
    </row>
    <row r="202" spans="1:13" x14ac:dyDescent="0.25">
      <c r="A202" s="245">
        <v>6</v>
      </c>
      <c r="B202" s="245">
        <v>30</v>
      </c>
      <c r="C202" s="368"/>
      <c r="D202" s="363"/>
      <c r="E202" s="82" t="s">
        <v>648</v>
      </c>
      <c r="F202" s="82"/>
      <c r="G202" s="82"/>
      <c r="H202" s="41"/>
      <c r="I202" s="104" t="str">
        <f t="shared" si="15"/>
        <v>NO</v>
      </c>
      <c r="J202" s="45">
        <f t="shared" si="16"/>
        <v>0</v>
      </c>
      <c r="K202" s="390"/>
      <c r="L202" s="397"/>
      <c r="M202" s="397"/>
    </row>
    <row r="203" spans="1:13" ht="60" x14ac:dyDescent="0.25">
      <c r="A203" s="245">
        <v>6</v>
      </c>
      <c r="B203" s="245">
        <v>30</v>
      </c>
      <c r="C203" s="52" t="str">
        <f>Final!E191</f>
        <v>e</v>
      </c>
      <c r="D203" s="20" t="str">
        <f>Final!F191</f>
        <v>Impacto a nivel regional, nacional e internacional de la investigación, la innovación y la creación artística y cultural del proyecto curricular, de acuerdo con su naturaleza.</v>
      </c>
      <c r="E203" s="20"/>
      <c r="F203" s="20"/>
      <c r="G203" s="104" t="s">
        <v>64</v>
      </c>
      <c r="H203" s="41"/>
      <c r="I203" s="104" t="str">
        <f t="shared" si="15"/>
        <v>NA</v>
      </c>
      <c r="J203" s="45" t="str">
        <f t="shared" si="16"/>
        <v>NA</v>
      </c>
      <c r="K203" s="45" t="str">
        <f>J203</f>
        <v>NA</v>
      </c>
      <c r="L203" s="397"/>
      <c r="M203" s="397"/>
    </row>
    <row r="204" spans="1:13" ht="195" x14ac:dyDescent="0.25">
      <c r="A204" s="245">
        <v>6</v>
      </c>
      <c r="B204" s="245">
        <v>30</v>
      </c>
      <c r="C204" s="52" t="str">
        <f>Final!E192</f>
        <v>f</v>
      </c>
      <c r="D204" s="20" t="str">
        <f>Final!F192</f>
        <v>Publicaciones en revistas indexadas y especializadas nacionales e internacionales, innovaciones, patentes, productos o procesos técnicos y tecnológicos patentables o no patentables o protegidas por secreto industrial, libros, capítulos de libros, dirección de trabajos de grado de maestría y doctorado, paquetes tecnológicos, normas resultado de investigación, producción artística y cultural, productos de apropiación social del conocimiento, productos asociados a servicios técnicos o consultoría cualificada, elaborados por profesores adscritos al proyecto curricular, de acuerdo con su tipo y naturaleza.</v>
      </c>
      <c r="E204" s="82" t="s">
        <v>652</v>
      </c>
      <c r="F204" s="82"/>
      <c r="G204" s="82" t="s">
        <v>2847</v>
      </c>
      <c r="H204" s="41"/>
      <c r="I204" s="104" t="str">
        <f t="shared" si="15"/>
        <v>SI</v>
      </c>
      <c r="J204" s="45">
        <f t="shared" si="16"/>
        <v>5</v>
      </c>
      <c r="K204" s="45">
        <f>AVERAGE(J204)</f>
        <v>5</v>
      </c>
      <c r="L204" s="397"/>
      <c r="M204" s="397"/>
    </row>
    <row r="205" spans="1:13" ht="120" x14ac:dyDescent="0.25">
      <c r="A205" s="245">
        <v>6</v>
      </c>
      <c r="B205" s="245">
        <v>30</v>
      </c>
      <c r="C205" s="52" t="str">
        <f>Final!E193</f>
        <v>g</v>
      </c>
      <c r="D205" s="20" t="str">
        <f>Final!F193</f>
        <v>En el caso de las artes, los reconocimientos en libros de arte y revistas especializadas, presentación, exposición o ejecución de obras en instituciones de reconocido prestigio, participación en eventos organizados por comunidades artísticas y académicas. Cuando existen productos literarios, publicación por editoriales reconocidas en el ámbito literario e incluidas en antologías, entre otras.</v>
      </c>
      <c r="E205" s="82" t="s">
        <v>653</v>
      </c>
      <c r="F205" s="82"/>
      <c r="G205" s="82" t="s">
        <v>2848</v>
      </c>
      <c r="H205" s="41"/>
      <c r="I205" s="104" t="str">
        <f t="shared" si="15"/>
        <v>SI</v>
      </c>
      <c r="J205" s="45">
        <f t="shared" si="16"/>
        <v>5</v>
      </c>
      <c r="K205" s="45">
        <f>AVERAGE(J205)</f>
        <v>5</v>
      </c>
      <c r="L205" s="397"/>
      <c r="M205" s="397"/>
    </row>
    <row r="206" spans="1:13" ht="210" x14ac:dyDescent="0.25">
      <c r="A206" s="245">
        <v>6</v>
      </c>
      <c r="B206" s="245">
        <v>30</v>
      </c>
      <c r="C206" s="52" t="str">
        <f>Final!E194</f>
        <v>h</v>
      </c>
      <c r="D206" s="20" t="str">
        <f>Final!F194</f>
        <v>Apoyo administrativo, formativo y financiero para el desarrollo y gestión de la investigación, la gestión del conocimiento (vigilancia tecnológica), la creación de empresas y de planes de negocios (como los centros de incubación y financiación empresarial, oficinas de transferencia de resultados de investigación, centros de investigación y desarrollo tecnológico, entre otros), proyectos de innovación en conjunto con empresas o entidades que promuevan el desarrollo de proyectos o iniciativas y la creación artística y cultural, la gestión y producción artística y cultural, y la investigación-creación de acuerdo con la naturaleza del proyecto curricular.</v>
      </c>
      <c r="E206" s="82" t="s">
        <v>656</v>
      </c>
      <c r="F206" s="82"/>
      <c r="G206" s="82" t="s">
        <v>2849</v>
      </c>
      <c r="H206" s="41"/>
      <c r="I206" s="104" t="str">
        <f t="shared" si="15"/>
        <v>SI</v>
      </c>
      <c r="J206" s="45">
        <f t="shared" si="16"/>
        <v>5</v>
      </c>
      <c r="K206" s="45">
        <f>AVERAGE(J206)</f>
        <v>5</v>
      </c>
      <c r="L206" s="398"/>
      <c r="M206" s="398"/>
    </row>
    <row r="207" spans="1:13" ht="75" hidden="1" x14ac:dyDescent="0.25">
      <c r="A207" s="245">
        <v>7</v>
      </c>
      <c r="B207" s="245">
        <v>31</v>
      </c>
      <c r="C207" s="52" t="str">
        <f>Final!E195</f>
        <v>a</v>
      </c>
      <c r="D207" s="20" t="str">
        <f>Final!F195</f>
        <v>Existencia y aplicación de las políticas sobre bienestar institucional suficientemente conocidas que propician el desarrollo integral de la comunidad institucional, reconocen el valor y la diversidad y orientan la prestación de los servicios de bienestar.</v>
      </c>
      <c r="E207" s="41"/>
      <c r="F207" s="41"/>
      <c r="G207" s="104" t="s">
        <v>64</v>
      </c>
      <c r="H207" s="41"/>
      <c r="I207" s="104" t="str">
        <f t="shared" si="15"/>
        <v>NA</v>
      </c>
      <c r="J207" s="45" t="str">
        <f t="shared" si="16"/>
        <v>NA</v>
      </c>
      <c r="K207" s="45" t="str">
        <f>J207</f>
        <v>NA</v>
      </c>
      <c r="L207" s="388">
        <f>AVERAGE(K207:K215)</f>
        <v>5</v>
      </c>
      <c r="M207" s="388">
        <f>(L207*Ponderación!D32)+(L216*Ponderación!D32)</f>
        <v>4.2</v>
      </c>
    </row>
    <row r="208" spans="1:13" ht="60" hidden="1" x14ac:dyDescent="0.25">
      <c r="A208" s="245">
        <v>7</v>
      </c>
      <c r="B208" s="245">
        <v>31</v>
      </c>
      <c r="C208" s="52" t="str">
        <f>Final!E196</f>
        <v>b</v>
      </c>
      <c r="D208" s="20" t="str">
        <f>Final!F196</f>
        <v xml:space="preserve">Estrategias que propicien un clima institucional adecuado que favorezca el desarrollo humano y promueva una cultura que reconozca el valor de la diversidad. </v>
      </c>
      <c r="E208" s="41"/>
      <c r="F208" s="41"/>
      <c r="G208" s="104" t="s">
        <v>64</v>
      </c>
      <c r="H208" s="41"/>
      <c r="I208" s="104" t="str">
        <f t="shared" si="15"/>
        <v>NA</v>
      </c>
      <c r="J208" s="45" t="str">
        <f t="shared" si="16"/>
        <v>NA</v>
      </c>
      <c r="K208" s="45" t="str">
        <f>J208</f>
        <v>NA</v>
      </c>
      <c r="L208" s="389"/>
      <c r="M208" s="389"/>
    </row>
    <row r="209" spans="1:13" ht="45" hidden="1" x14ac:dyDescent="0.25">
      <c r="A209" s="245">
        <v>7</v>
      </c>
      <c r="B209" s="245">
        <v>31</v>
      </c>
      <c r="C209" s="52" t="str">
        <f>Final!E197</f>
        <v>c</v>
      </c>
      <c r="D209" s="20" t="str">
        <f>Final!F197</f>
        <v>Programas, servicios y actividades de bienestar dirigidos a los profesores, estudiantes y personal administrativo del proyecto curricular.</v>
      </c>
      <c r="E209" s="41"/>
      <c r="F209" s="41"/>
      <c r="G209" s="104" t="s">
        <v>64</v>
      </c>
      <c r="H209" s="41"/>
      <c r="I209" s="104" t="str">
        <f t="shared" si="15"/>
        <v>NA</v>
      </c>
      <c r="J209" s="45" t="str">
        <f t="shared" si="16"/>
        <v>NA</v>
      </c>
      <c r="K209" s="45" t="str">
        <f>J209</f>
        <v>NA</v>
      </c>
      <c r="L209" s="389"/>
      <c r="M209" s="389"/>
    </row>
    <row r="210" spans="1:13" ht="60" hidden="1" x14ac:dyDescent="0.25">
      <c r="A210" s="245">
        <v>7</v>
      </c>
      <c r="B210" s="245">
        <v>31</v>
      </c>
      <c r="C210" s="52" t="str">
        <f>Final!E198</f>
        <v>d</v>
      </c>
      <c r="D210" s="20" t="str">
        <f>Final!F198</f>
        <v>Participación de directivos, profesores, estudiantes y personal administrativo del proyecto curricular en los programas, los servicios y las actividades de bienestar institucional.</v>
      </c>
      <c r="E210" s="51" t="s">
        <v>661</v>
      </c>
      <c r="F210" s="41"/>
      <c r="G210" s="41" t="s">
        <v>2850</v>
      </c>
      <c r="H210" s="41"/>
      <c r="I210" s="104" t="str">
        <f t="shared" si="15"/>
        <v>SI</v>
      </c>
      <c r="J210" s="45">
        <f t="shared" si="16"/>
        <v>5</v>
      </c>
      <c r="K210" s="45">
        <f>AVERAGE(J210)</f>
        <v>5</v>
      </c>
      <c r="L210" s="389"/>
      <c r="M210" s="389"/>
    </row>
    <row r="211" spans="1:13" ht="75" hidden="1" x14ac:dyDescent="0.25">
      <c r="A211" s="245">
        <v>7</v>
      </c>
      <c r="B211" s="245">
        <v>31</v>
      </c>
      <c r="C211" s="52" t="str">
        <f>Final!E199</f>
        <v>e</v>
      </c>
      <c r="D211" s="20" t="str">
        <f>Final!F199</f>
        <v>Apreciación de directivos, profesores, estudiantes y personal administrativo del proyecto curricular sobre la calidad y pertinencia de los servicios y las actividades de bienestar y sobre su contribución a su desarrollo personal.</v>
      </c>
      <c r="E211" s="41"/>
      <c r="F211" s="41"/>
      <c r="G211" s="104" t="s">
        <v>64</v>
      </c>
      <c r="H211" s="41"/>
      <c r="I211" s="104" t="str">
        <f t="shared" si="15"/>
        <v>NA</v>
      </c>
      <c r="J211" s="45" t="str">
        <f t="shared" si="16"/>
        <v>NA</v>
      </c>
      <c r="K211" s="45" t="str">
        <f>J211</f>
        <v>NA</v>
      </c>
      <c r="L211" s="389"/>
      <c r="M211" s="389"/>
    </row>
    <row r="212" spans="1:13" ht="60" hidden="1" x14ac:dyDescent="0.25">
      <c r="A212" s="245">
        <v>7</v>
      </c>
      <c r="B212" s="245">
        <v>31</v>
      </c>
      <c r="C212" s="52" t="str">
        <f>Final!E200</f>
        <v>f</v>
      </c>
      <c r="D212" s="20" t="str">
        <f>Final!F200</f>
        <v>Programas y estrategias de seguimiento integral a la comunidad institucional y acciones derivadas que conduzcan al desarrollo humano y el respeto a la diferencia.</v>
      </c>
      <c r="E212" s="41"/>
      <c r="F212" s="41"/>
      <c r="G212" s="104" t="s">
        <v>64</v>
      </c>
      <c r="H212" s="41"/>
      <c r="I212" s="104" t="str">
        <f t="shared" si="15"/>
        <v>NA</v>
      </c>
      <c r="J212" s="45" t="str">
        <f t="shared" si="16"/>
        <v>NA</v>
      </c>
      <c r="K212" s="45" t="str">
        <f>J212</f>
        <v>NA</v>
      </c>
      <c r="L212" s="389"/>
      <c r="M212" s="389"/>
    </row>
    <row r="213" spans="1:13" ht="30" hidden="1" x14ac:dyDescent="0.25">
      <c r="A213" s="245">
        <v>7</v>
      </c>
      <c r="B213" s="245">
        <v>31</v>
      </c>
      <c r="C213" s="52" t="str">
        <f>Final!E201</f>
        <v>g</v>
      </c>
      <c r="D213" s="20" t="str">
        <f>Final!F201</f>
        <v>Investigación permanente de la problemática social del entorno que incide en la comunidad institucional.</v>
      </c>
      <c r="E213" s="41"/>
      <c r="F213" s="41"/>
      <c r="G213" s="104" t="s">
        <v>64</v>
      </c>
      <c r="H213" s="41"/>
      <c r="I213" s="104" t="str">
        <f t="shared" si="15"/>
        <v>NA</v>
      </c>
      <c r="J213" s="45" t="str">
        <f t="shared" si="16"/>
        <v>NA</v>
      </c>
      <c r="K213" s="45" t="str">
        <f>J213</f>
        <v>NA</v>
      </c>
      <c r="L213" s="389"/>
      <c r="M213" s="389"/>
    </row>
    <row r="214" spans="1:13" ht="45" hidden="1" x14ac:dyDescent="0.25">
      <c r="A214" s="245">
        <v>7</v>
      </c>
      <c r="B214" s="245">
        <v>31</v>
      </c>
      <c r="C214" s="52" t="str">
        <f>Final!E202</f>
        <v>h</v>
      </c>
      <c r="D214" s="20" t="str">
        <f>Final!F202</f>
        <v>Estrategias que permitan a los estudiantes vincularse a redes de apoyo orientadas a contrarrestar las situaciones de vulnerabilidad.</v>
      </c>
      <c r="E214" s="82" t="s">
        <v>666</v>
      </c>
      <c r="F214" s="41"/>
      <c r="G214" s="41" t="s">
        <v>2851</v>
      </c>
      <c r="H214" s="41"/>
      <c r="I214" s="104" t="str">
        <f t="shared" si="15"/>
        <v>SI</v>
      </c>
      <c r="J214" s="45">
        <f t="shared" si="16"/>
        <v>5</v>
      </c>
      <c r="K214" s="45">
        <f>AVERAGE(J214)</f>
        <v>5</v>
      </c>
      <c r="L214" s="389"/>
      <c r="M214" s="389"/>
    </row>
    <row r="215" spans="1:13" ht="60" hidden="1" x14ac:dyDescent="0.25">
      <c r="A215" s="245">
        <v>7</v>
      </c>
      <c r="B215" s="245">
        <v>31</v>
      </c>
      <c r="C215" s="52" t="str">
        <f>Final!E203</f>
        <v>i</v>
      </c>
      <c r="D215" s="20" t="str">
        <f>Final!F203</f>
        <v>En los programas de salud, donde sea pertinente, evidenciar estrategias de bienestar adecuadas para los estudiantes en prácticas (lockers, camarotes, dormitorios) entre otros-.</v>
      </c>
      <c r="E215" s="41"/>
      <c r="F215" s="41"/>
      <c r="G215" s="104" t="s">
        <v>64</v>
      </c>
      <c r="H215" s="41"/>
      <c r="I215" s="104" t="str">
        <f t="shared" si="15"/>
        <v>NA</v>
      </c>
      <c r="J215" s="45" t="str">
        <f t="shared" si="16"/>
        <v>NA</v>
      </c>
      <c r="K215" s="45" t="str">
        <f>J215</f>
        <v>NA</v>
      </c>
      <c r="L215" s="390"/>
      <c r="M215" s="389"/>
    </row>
    <row r="216" spans="1:13" ht="60" hidden="1" x14ac:dyDescent="0.25">
      <c r="A216" s="245">
        <v>7</v>
      </c>
      <c r="B216" s="245">
        <v>32</v>
      </c>
      <c r="C216" s="52" t="str">
        <f>Final!E204</f>
        <v>a</v>
      </c>
      <c r="D216" s="20" t="str">
        <f>Final!F204</f>
        <v>Tasas de deserción estudiantil acumulada y por períodos académicos, acorde con los reportes efectuados al Sistema para la Prevención de la Deserción de la Educación Superior – SPADIES–.</v>
      </c>
      <c r="E216" s="51" t="s">
        <v>669</v>
      </c>
      <c r="F216" s="41"/>
      <c r="G216" s="41" t="s">
        <v>2827</v>
      </c>
      <c r="H216" s="41"/>
      <c r="I216" s="104" t="str">
        <f t="shared" si="15"/>
        <v>SI</v>
      </c>
      <c r="J216" s="45">
        <f t="shared" si="16"/>
        <v>5</v>
      </c>
      <c r="K216" s="45">
        <f>AVERAGE(J216)</f>
        <v>5</v>
      </c>
      <c r="L216" s="388">
        <f>AVERAGE(K216:K218)</f>
        <v>5</v>
      </c>
      <c r="M216" s="389"/>
    </row>
    <row r="217" spans="1:13" ht="45" hidden="1" x14ac:dyDescent="0.25">
      <c r="A217" s="245">
        <v>7</v>
      </c>
      <c r="B217" s="245">
        <v>32</v>
      </c>
      <c r="C217" s="52" t="str">
        <f>Final!E205</f>
        <v>b</v>
      </c>
      <c r="D217" s="20" t="str">
        <f>Final!F205</f>
        <v>Registros periódicos de la caracterización de los estudiantes teniendo en cuenta variables de vulnerabilidad.</v>
      </c>
      <c r="E217" s="41"/>
      <c r="F217" s="41"/>
      <c r="G217" s="104" t="s">
        <v>64</v>
      </c>
      <c r="H217" s="41"/>
      <c r="I217" s="104" t="str">
        <f t="shared" si="15"/>
        <v>NA</v>
      </c>
      <c r="J217" s="45" t="str">
        <f t="shared" si="16"/>
        <v>NA</v>
      </c>
      <c r="K217" s="45" t="str">
        <f>J217</f>
        <v>NA</v>
      </c>
      <c r="L217" s="389"/>
      <c r="M217" s="389"/>
    </row>
    <row r="218" spans="1:13" ht="90" hidden="1" x14ac:dyDescent="0.25">
      <c r="A218" s="245">
        <v>7</v>
      </c>
      <c r="B218" s="245">
        <v>32</v>
      </c>
      <c r="C218" s="52" t="str">
        <f>Final!E206</f>
        <v>c</v>
      </c>
      <c r="D218" s="228" t="str">
        <f>Final!F206</f>
        <v>Existencia de proyectos que establezcan estrategias pedagógicas y actividades extracurriculares  orientadas a optimizar las tasas de retención y de graduación de estudiantes en los tiempos previstos, manteniendo la calidad académica del proyecto curricular.</v>
      </c>
      <c r="E218" s="229" t="s">
        <v>673</v>
      </c>
      <c r="F218" s="41"/>
      <c r="G218" s="41" t="s">
        <v>2852</v>
      </c>
      <c r="H218" s="41"/>
      <c r="I218" s="104" t="str">
        <f t="shared" si="15"/>
        <v>SI</v>
      </c>
      <c r="J218" s="45">
        <f t="shared" si="16"/>
        <v>5</v>
      </c>
      <c r="K218" s="45">
        <f>AVERAGE(J218)</f>
        <v>5</v>
      </c>
      <c r="L218" s="390"/>
      <c r="M218" s="390"/>
    </row>
    <row r="219" spans="1:13" ht="72" hidden="1" customHeight="1" x14ac:dyDescent="0.25">
      <c r="A219" s="245">
        <v>8</v>
      </c>
      <c r="B219" s="245">
        <v>33</v>
      </c>
      <c r="C219" s="81" t="str">
        <f>Final!E207</f>
        <v>a</v>
      </c>
      <c r="D219" s="80" t="str">
        <f>Final!F207</f>
        <v>Correspondencia entre la organización, administración y gestión del proyecto curricular, y los fines de la docencia, la investigación, la innovación o creación artística y cultural, la extensión o proyección social y la cooperación nacional e internacional.</v>
      </c>
      <c r="E219" s="82"/>
      <c r="F219" s="41"/>
      <c r="G219" s="104" t="s">
        <v>64</v>
      </c>
      <c r="H219" s="41"/>
      <c r="I219" s="104" t="str">
        <f t="shared" si="15"/>
        <v>NA</v>
      </c>
      <c r="J219" s="45" t="str">
        <f t="shared" si="16"/>
        <v>NA</v>
      </c>
      <c r="K219" s="45" t="str">
        <f t="shared" ref="K219:K239" si="17">J219</f>
        <v>NA</v>
      </c>
      <c r="L219" s="388" t="s">
        <v>64</v>
      </c>
      <c r="M219" s="388" t="s">
        <v>64</v>
      </c>
    </row>
    <row r="220" spans="1:13" ht="60" hidden="1" x14ac:dyDescent="0.25">
      <c r="A220" s="245">
        <v>8</v>
      </c>
      <c r="B220" s="245">
        <v>33</v>
      </c>
      <c r="C220" s="81" t="str">
        <f>Final!E208</f>
        <v>b</v>
      </c>
      <c r="D220" s="80" t="str">
        <f>Final!F208</f>
        <v>Correspondencia entre la organización, administración y gestión del proyecto curricular y los objetivos definidos en sus planes de desarrollo y mejoramiento</v>
      </c>
      <c r="E220" s="20"/>
      <c r="F220" s="41"/>
      <c r="G220" s="104" t="s">
        <v>64</v>
      </c>
      <c r="H220" s="41"/>
      <c r="I220" s="104" t="str">
        <f t="shared" si="15"/>
        <v>NA</v>
      </c>
      <c r="J220" s="45" t="str">
        <f t="shared" si="16"/>
        <v>NA</v>
      </c>
      <c r="K220" s="45" t="str">
        <f t="shared" si="17"/>
        <v>NA</v>
      </c>
      <c r="L220" s="389"/>
      <c r="M220" s="389"/>
    </row>
    <row r="221" spans="1:13" ht="45" hidden="1" x14ac:dyDescent="0.25">
      <c r="A221" s="245">
        <v>8</v>
      </c>
      <c r="B221" s="245">
        <v>33</v>
      </c>
      <c r="C221" s="52" t="str">
        <f>Final!E209</f>
        <v>c1</v>
      </c>
      <c r="D221" s="20" t="str">
        <f>Final!F209</f>
        <v>Información verificable sobre mecanismos orientados al mejoramiento de la calidad de los procesos en el proyecto curricular.</v>
      </c>
      <c r="E221" s="41"/>
      <c r="F221" s="41"/>
      <c r="G221" s="104" t="s">
        <v>64</v>
      </c>
      <c r="H221" s="41"/>
      <c r="I221" s="104" t="str">
        <f t="shared" si="15"/>
        <v>NA</v>
      </c>
      <c r="J221" s="45" t="str">
        <f t="shared" si="16"/>
        <v>NA</v>
      </c>
      <c r="K221" s="45" t="str">
        <f t="shared" si="17"/>
        <v>NA</v>
      </c>
      <c r="L221" s="389"/>
      <c r="M221" s="389"/>
    </row>
    <row r="222" spans="1:13" ht="75" hidden="1" x14ac:dyDescent="0.25">
      <c r="A222" s="245">
        <v>8</v>
      </c>
      <c r="B222" s="245">
        <v>33</v>
      </c>
      <c r="C222" s="52" t="str">
        <f>Final!E210</f>
        <v>c2</v>
      </c>
      <c r="D222" s="20" t="str">
        <f>Final!F210</f>
        <v>Criterios institucionales para la toma de decisiones sobre asignación de cargos, responsabilidades y procedimientos en los diferentes proyectos curriculares. Evidencia sobre la aplicación de estos criterios.</v>
      </c>
      <c r="E222" s="41"/>
      <c r="F222" s="41"/>
      <c r="G222" s="104" t="s">
        <v>64</v>
      </c>
      <c r="H222" s="41"/>
      <c r="I222" s="104" t="str">
        <f t="shared" si="15"/>
        <v>NA</v>
      </c>
      <c r="J222" s="45" t="str">
        <f t="shared" si="16"/>
        <v>NA</v>
      </c>
      <c r="K222" s="45" t="str">
        <f t="shared" si="17"/>
        <v>NA</v>
      </c>
      <c r="L222" s="389"/>
      <c r="M222" s="389"/>
    </row>
    <row r="223" spans="1:13" ht="30" hidden="1" x14ac:dyDescent="0.25">
      <c r="A223" s="245">
        <v>8</v>
      </c>
      <c r="B223" s="245">
        <v>33</v>
      </c>
      <c r="C223" s="52" t="str">
        <f>Final!E211</f>
        <v>d</v>
      </c>
      <c r="D223" s="20" t="str">
        <f>Final!F211</f>
        <v>Cantidad y dedicación del talento humano para cubrir las necesidades del proyecto curricular.</v>
      </c>
      <c r="E223" s="41"/>
      <c r="F223" s="41"/>
      <c r="G223" s="104" t="s">
        <v>64</v>
      </c>
      <c r="H223" s="41"/>
      <c r="I223" s="104" t="str">
        <f t="shared" si="15"/>
        <v>NA</v>
      </c>
      <c r="J223" s="45" t="str">
        <f t="shared" si="16"/>
        <v>NA</v>
      </c>
      <c r="K223" s="45" t="str">
        <f t="shared" si="17"/>
        <v>NA</v>
      </c>
      <c r="L223" s="389"/>
      <c r="M223" s="389"/>
    </row>
    <row r="224" spans="1:13" ht="30" hidden="1" x14ac:dyDescent="0.25">
      <c r="A224" s="245">
        <v>8</v>
      </c>
      <c r="B224" s="245">
        <v>33</v>
      </c>
      <c r="C224" s="52" t="str">
        <f>Final!E212</f>
        <v>e</v>
      </c>
      <c r="D224" s="20" t="str">
        <f>Final!F212</f>
        <v>Formación y experiencia de quienes orientan la administración del programa.</v>
      </c>
      <c r="E224" s="41"/>
      <c r="F224" s="41"/>
      <c r="G224" s="104" t="s">
        <v>64</v>
      </c>
      <c r="H224" s="41"/>
      <c r="I224" s="104" t="str">
        <f t="shared" si="15"/>
        <v>NA</v>
      </c>
      <c r="J224" s="45" t="str">
        <f t="shared" si="16"/>
        <v>NA</v>
      </c>
      <c r="K224" s="45" t="str">
        <f t="shared" si="17"/>
        <v>NA</v>
      </c>
      <c r="L224" s="389"/>
      <c r="M224" s="389"/>
    </row>
    <row r="225" spans="1:13" ht="75" hidden="1" x14ac:dyDescent="0.25">
      <c r="A225" s="245">
        <v>8</v>
      </c>
      <c r="B225" s="245">
        <v>33</v>
      </c>
      <c r="C225" s="52" t="str">
        <f>Final!E213</f>
        <v>f</v>
      </c>
      <c r="D225" s="20" t="str">
        <f>Final!F213</f>
        <v>Apreciación del personal administrativo del proyecto curricular sobre la claridad de las funciones encomendadas, y sobre la articulación de sus tareas con las necesidades y objetivos del proyecto curricular.</v>
      </c>
      <c r="E225" s="41"/>
      <c r="F225" s="41"/>
      <c r="G225" s="104" t="s">
        <v>64</v>
      </c>
      <c r="H225" s="41"/>
      <c r="I225" s="104" t="str">
        <f t="shared" si="15"/>
        <v>NA</v>
      </c>
      <c r="J225" s="45" t="str">
        <f t="shared" si="16"/>
        <v>NA</v>
      </c>
      <c r="K225" s="45" t="str">
        <f t="shared" si="17"/>
        <v>NA</v>
      </c>
      <c r="L225" s="389"/>
      <c r="M225" s="389"/>
    </row>
    <row r="226" spans="1:13" ht="60" hidden="1" x14ac:dyDescent="0.25">
      <c r="A226" s="245">
        <v>8</v>
      </c>
      <c r="B226" s="245">
        <v>33</v>
      </c>
      <c r="C226" s="52" t="str">
        <f>Final!E214</f>
        <v>g</v>
      </c>
      <c r="D226" s="20" t="str">
        <f>Final!F214</f>
        <v>Apreciación de profesores y estudiantes adscritos al proyecto curricular sobre la eficiencia, eficacia y orientación de los procesos administrativos hacia el desarrollo de las funciones misionales.</v>
      </c>
      <c r="E226" s="41"/>
      <c r="F226" s="41"/>
      <c r="G226" s="104" t="s">
        <v>64</v>
      </c>
      <c r="H226" s="41"/>
      <c r="I226" s="104" t="str">
        <f t="shared" si="15"/>
        <v>NA</v>
      </c>
      <c r="J226" s="45" t="str">
        <f t="shared" si="16"/>
        <v>NA</v>
      </c>
      <c r="K226" s="45" t="str">
        <f t="shared" si="17"/>
        <v>NA</v>
      </c>
      <c r="L226" s="390"/>
      <c r="M226" s="389"/>
    </row>
    <row r="227" spans="1:13" ht="60" hidden="1" x14ac:dyDescent="0.25">
      <c r="A227" s="245">
        <v>8</v>
      </c>
      <c r="B227" s="245">
        <v>34</v>
      </c>
      <c r="C227" s="52" t="str">
        <f>Final!E215</f>
        <v>a</v>
      </c>
      <c r="D227" s="20" t="str">
        <f>Final!F215</f>
        <v>Existencia y utilización de sistemas de información integrados y mecanismos eficaces que faciliten la comunicación interna y externa el proyecto curricular.</v>
      </c>
      <c r="E227" s="41"/>
      <c r="F227" s="41"/>
      <c r="G227" s="104" t="s">
        <v>64</v>
      </c>
      <c r="H227" s="41"/>
      <c r="I227" s="104" t="str">
        <f t="shared" si="15"/>
        <v>NA</v>
      </c>
      <c r="J227" s="45" t="str">
        <f t="shared" si="16"/>
        <v>NA</v>
      </c>
      <c r="K227" s="45" t="str">
        <f t="shared" si="17"/>
        <v>NA</v>
      </c>
      <c r="L227" s="388" t="s">
        <v>64</v>
      </c>
      <c r="M227" s="389"/>
    </row>
    <row r="228" spans="1:13" ht="75" hidden="1" x14ac:dyDescent="0.25">
      <c r="A228" s="245">
        <v>8</v>
      </c>
      <c r="B228" s="245">
        <v>34</v>
      </c>
      <c r="C228" s="52" t="str">
        <f>Final!E216</f>
        <v>b</v>
      </c>
      <c r="D228" s="20" t="str">
        <f>Final!F216</f>
        <v>Existencia y efectividad de la página web institucional debidamente actualizada para mantener informados a los usuarios sobre los temas de interés institucional y facilitar la comunicación académica y administrativa.</v>
      </c>
      <c r="E228" s="41"/>
      <c r="F228" s="41"/>
      <c r="G228" s="104" t="s">
        <v>64</v>
      </c>
      <c r="H228" s="41"/>
      <c r="I228" s="104" t="str">
        <f t="shared" si="15"/>
        <v>NA</v>
      </c>
      <c r="J228" s="45" t="str">
        <f t="shared" si="16"/>
        <v>NA</v>
      </c>
      <c r="K228" s="45" t="str">
        <f t="shared" si="17"/>
        <v>NA</v>
      </c>
      <c r="L228" s="389"/>
      <c r="M228" s="389"/>
    </row>
    <row r="229" spans="1:13" ht="60" hidden="1" x14ac:dyDescent="0.25">
      <c r="A229" s="245">
        <v>8</v>
      </c>
      <c r="B229" s="245">
        <v>34</v>
      </c>
      <c r="C229" s="52" t="str">
        <f>Final!E217</f>
        <v>c</v>
      </c>
      <c r="D229" s="20" t="str">
        <f>Final!F217</f>
        <v>La página web institucional incluye información detallada y actualizada sobre el currículo y los profesores adscritos al proyecto curricular, incluyendo su formación y trayectoria.</v>
      </c>
      <c r="E229" s="41"/>
      <c r="F229" s="41"/>
      <c r="G229" s="104" t="s">
        <v>64</v>
      </c>
      <c r="H229" s="41"/>
      <c r="I229" s="104" t="str">
        <f t="shared" si="15"/>
        <v>NA</v>
      </c>
      <c r="J229" s="45" t="str">
        <f t="shared" si="16"/>
        <v>NA</v>
      </c>
      <c r="K229" s="45" t="str">
        <f t="shared" si="17"/>
        <v>NA</v>
      </c>
      <c r="L229" s="389"/>
      <c r="M229" s="389"/>
    </row>
    <row r="230" spans="1:13" ht="45" hidden="1" x14ac:dyDescent="0.25">
      <c r="A230" s="245">
        <v>8</v>
      </c>
      <c r="B230" s="245">
        <v>34</v>
      </c>
      <c r="C230" s="52" t="str">
        <f>Final!E218</f>
        <v>d</v>
      </c>
      <c r="D230" s="20" t="str">
        <f>Final!F218</f>
        <v>Sistemas de consulta, registro y archivo de la información académica de los estudiantes y los profesores adscritos al proyecto curricular.</v>
      </c>
      <c r="E230" s="41"/>
      <c r="F230" s="41"/>
      <c r="G230" s="104" t="s">
        <v>64</v>
      </c>
      <c r="H230" s="41"/>
      <c r="I230" s="104" t="str">
        <f t="shared" si="15"/>
        <v>NA</v>
      </c>
      <c r="J230" s="45" t="str">
        <f t="shared" si="16"/>
        <v>NA</v>
      </c>
      <c r="K230" s="45" t="str">
        <f t="shared" si="17"/>
        <v>NA</v>
      </c>
      <c r="L230" s="389"/>
      <c r="M230" s="389"/>
    </row>
    <row r="231" spans="1:13" ht="60" hidden="1" x14ac:dyDescent="0.25">
      <c r="A231" s="245">
        <v>8</v>
      </c>
      <c r="B231" s="245">
        <v>34</v>
      </c>
      <c r="C231" s="52" t="str">
        <f>Final!E219</f>
        <v>e</v>
      </c>
      <c r="D231" s="20" t="str">
        <f>Final!F219</f>
        <v>Mecanismos de gestión documental, organización, actualización y seguridad de los registros y archivos académicos de estudiantes, profesores, personal directivo y administrativo.</v>
      </c>
      <c r="E231" s="41"/>
      <c r="F231" s="41"/>
      <c r="G231" s="104" t="s">
        <v>64</v>
      </c>
      <c r="H231" s="41"/>
      <c r="I231" s="104" t="str">
        <f t="shared" si="15"/>
        <v>NA</v>
      </c>
      <c r="J231" s="45" t="str">
        <f t="shared" si="16"/>
        <v>NA</v>
      </c>
      <c r="K231" s="45" t="str">
        <f t="shared" si="17"/>
        <v>NA</v>
      </c>
      <c r="L231" s="389"/>
      <c r="M231" s="389"/>
    </row>
    <row r="232" spans="1:13" ht="75" hidden="1" x14ac:dyDescent="0.25">
      <c r="A232" s="245">
        <v>8</v>
      </c>
      <c r="B232" s="245">
        <v>34</v>
      </c>
      <c r="C232" s="52" t="str">
        <f>Final!E220</f>
        <v>f</v>
      </c>
      <c r="D232" s="20" t="str">
        <f>Final!F220</f>
        <v>Apreciación de directivos, profesores, estudiantes y personal administrativo sobre la eficacia de los sistemas de información académica y de los mecanismos de comunicación del proyecto curricular.</v>
      </c>
      <c r="E232" s="41"/>
      <c r="F232" s="41"/>
      <c r="G232" s="104" t="s">
        <v>64</v>
      </c>
      <c r="H232" s="41"/>
      <c r="I232" s="104" t="str">
        <f t="shared" si="15"/>
        <v>NA</v>
      </c>
      <c r="J232" s="45" t="str">
        <f t="shared" si="16"/>
        <v>NA</v>
      </c>
      <c r="K232" s="45" t="str">
        <f t="shared" si="17"/>
        <v>NA</v>
      </c>
      <c r="L232" s="389"/>
      <c r="M232" s="389"/>
    </row>
    <row r="233" spans="1:13" ht="45" hidden="1" x14ac:dyDescent="0.25">
      <c r="A233" s="245">
        <v>8</v>
      </c>
      <c r="B233" s="245">
        <v>34</v>
      </c>
      <c r="C233" s="52" t="str">
        <f>Final!E221</f>
        <v>g</v>
      </c>
      <c r="D233" s="20" t="str">
        <f>Final!F221</f>
        <v>Profesores, administrativos y estudiantes que confirman el acceso con calidad a los sistemas de comunicación e información mediados por las TIC.</v>
      </c>
      <c r="E233" s="41"/>
      <c r="F233" s="41"/>
      <c r="G233" s="104" t="s">
        <v>64</v>
      </c>
      <c r="H233" s="41"/>
      <c r="I233" s="104" t="str">
        <f t="shared" si="15"/>
        <v>NA</v>
      </c>
      <c r="J233" s="45" t="str">
        <f t="shared" si="16"/>
        <v>NA</v>
      </c>
      <c r="K233" s="45" t="str">
        <f t="shared" si="17"/>
        <v>NA</v>
      </c>
      <c r="L233" s="389"/>
      <c r="M233" s="389"/>
    </row>
    <row r="234" spans="1:13" ht="60" hidden="1" x14ac:dyDescent="0.25">
      <c r="A234" s="245">
        <v>8</v>
      </c>
      <c r="B234" s="245">
        <v>34</v>
      </c>
      <c r="C234" s="52" t="str">
        <f>Final!E222</f>
        <v>h</v>
      </c>
      <c r="D234" s="20" t="str">
        <f>Final!F222</f>
        <v>Existencia de estrategias que garanticen la conectividad a los miembros de la comunidad académica del proyecto curricular, de acuerdo con la modalidad en que éste es ofrecido.</v>
      </c>
      <c r="E234" s="41"/>
      <c r="F234" s="41"/>
      <c r="G234" s="104" t="s">
        <v>64</v>
      </c>
      <c r="H234" s="41"/>
      <c r="I234" s="104" t="str">
        <f t="shared" si="15"/>
        <v>NA</v>
      </c>
      <c r="J234" s="45" t="str">
        <f t="shared" si="16"/>
        <v>NA</v>
      </c>
      <c r="K234" s="45" t="str">
        <f t="shared" si="17"/>
        <v>NA</v>
      </c>
      <c r="L234" s="389"/>
      <c r="M234" s="389"/>
    </row>
    <row r="235" spans="1:13" ht="45" hidden="1" x14ac:dyDescent="0.25">
      <c r="A235" s="245">
        <v>8</v>
      </c>
      <c r="B235" s="245">
        <v>34</v>
      </c>
      <c r="C235" s="52" t="str">
        <f>Final!E223</f>
        <v>i</v>
      </c>
      <c r="D235" s="20" t="str">
        <f>Final!F223</f>
        <v>Mecanismos de comunicación para facilitar que la población estudiantil en toda su diversidad tenga acceso a la información.</v>
      </c>
      <c r="E235" s="41"/>
      <c r="F235" s="41"/>
      <c r="G235" s="104" t="s">
        <v>64</v>
      </c>
      <c r="H235" s="41"/>
      <c r="I235" s="104" t="str">
        <f t="shared" si="15"/>
        <v>NA</v>
      </c>
      <c r="J235" s="45" t="str">
        <f t="shared" si="16"/>
        <v>NA</v>
      </c>
      <c r="K235" s="45" t="str">
        <f t="shared" si="17"/>
        <v>NA</v>
      </c>
      <c r="L235" s="390"/>
      <c r="M235" s="389"/>
    </row>
    <row r="236" spans="1:13" ht="60" hidden="1" x14ac:dyDescent="0.25">
      <c r="A236" s="245">
        <v>8</v>
      </c>
      <c r="B236" s="245">
        <v>35</v>
      </c>
      <c r="C236" s="52" t="str">
        <f>Final!E224</f>
        <v>a</v>
      </c>
      <c r="D236" s="20" t="str">
        <f>Final!F224</f>
        <v>Apreciación de profesores y estudiantes adscritos al proyecto curricular sobre la orientación académica que imparten los directivos del mismo y sobre el liderazgo que ejercen.</v>
      </c>
      <c r="E236" s="41"/>
      <c r="F236" s="41"/>
      <c r="G236" s="104" t="s">
        <v>64</v>
      </c>
      <c r="H236" s="41"/>
      <c r="I236" s="104" t="str">
        <f t="shared" si="15"/>
        <v>NA</v>
      </c>
      <c r="J236" s="45" t="str">
        <f t="shared" si="16"/>
        <v>NA</v>
      </c>
      <c r="K236" s="45" t="str">
        <f t="shared" si="17"/>
        <v>NA</v>
      </c>
      <c r="L236" s="388" t="s">
        <v>64</v>
      </c>
      <c r="M236" s="389"/>
    </row>
    <row r="237" spans="1:13" ht="60" hidden="1" x14ac:dyDescent="0.25">
      <c r="A237" s="245">
        <v>8</v>
      </c>
      <c r="B237" s="245">
        <v>35</v>
      </c>
      <c r="C237" s="52" t="str">
        <f>Final!E225</f>
        <v>b</v>
      </c>
      <c r="D237" s="20" t="str">
        <f>Final!F225</f>
        <v>Lineamientos y políticas que orientan la gestión del proyecto curricular, debidamente divulgados y apropiados por los directivos, profesores y personal administrativo del mismo.</v>
      </c>
      <c r="E237" s="41"/>
      <c r="F237" s="41"/>
      <c r="G237" s="104" t="s">
        <v>64</v>
      </c>
      <c r="H237" s="41"/>
      <c r="I237" s="104" t="str">
        <f t="shared" si="15"/>
        <v>NA</v>
      </c>
      <c r="J237" s="45" t="str">
        <f t="shared" si="16"/>
        <v>NA</v>
      </c>
      <c r="K237" s="45" t="str">
        <f t="shared" si="17"/>
        <v>NA</v>
      </c>
      <c r="L237" s="389"/>
      <c r="M237" s="389"/>
    </row>
    <row r="238" spans="1:13" ht="60" hidden="1" x14ac:dyDescent="0.25">
      <c r="A238" s="245">
        <v>8</v>
      </c>
      <c r="B238" s="245">
        <v>35</v>
      </c>
      <c r="C238" s="52" t="str">
        <f>Final!E226</f>
        <v>c</v>
      </c>
      <c r="D238" s="20" t="str">
        <f>Final!F226</f>
        <v>Documentos institucionales que establecen la forma de operación (procesos y procedimientos) de las distintas instancias relacionadas con la gestión del proyecto curricular.</v>
      </c>
      <c r="E238" s="41"/>
      <c r="F238" s="41"/>
      <c r="G238" s="104" t="s">
        <v>64</v>
      </c>
      <c r="H238" s="41"/>
      <c r="I238" s="104" t="str">
        <f t="shared" si="15"/>
        <v>NA</v>
      </c>
      <c r="J238" s="45" t="str">
        <f t="shared" si="16"/>
        <v>NA</v>
      </c>
      <c r="K238" s="45" t="str">
        <f t="shared" si="17"/>
        <v>NA</v>
      </c>
      <c r="L238" s="389"/>
      <c r="M238" s="389"/>
    </row>
    <row r="239" spans="1:13" ht="45" hidden="1" x14ac:dyDescent="0.25">
      <c r="A239" s="245">
        <v>8</v>
      </c>
      <c r="B239" s="245">
        <v>35</v>
      </c>
      <c r="C239" s="52" t="str">
        <f>Final!E227</f>
        <v>d</v>
      </c>
      <c r="D239" s="20" t="str">
        <f>Final!F227</f>
        <v>Mecanismos eficientes de participación de la comunidad académica en la gestión del proyecto curricular.</v>
      </c>
      <c r="E239" s="41"/>
      <c r="F239" s="41"/>
      <c r="G239" s="104" t="s">
        <v>64</v>
      </c>
      <c r="H239" s="41"/>
      <c r="I239" s="104" t="str">
        <f t="shared" si="15"/>
        <v>NA</v>
      </c>
      <c r="J239" s="45" t="str">
        <f t="shared" si="16"/>
        <v>NA</v>
      </c>
      <c r="K239" s="45" t="str">
        <f t="shared" si="17"/>
        <v>NA</v>
      </c>
      <c r="L239" s="390"/>
      <c r="M239" s="390"/>
    </row>
    <row r="240" spans="1:13" ht="45" hidden="1" x14ac:dyDescent="0.25">
      <c r="A240" s="245">
        <v>9</v>
      </c>
      <c r="B240" s="245">
        <v>36</v>
      </c>
      <c r="C240" s="52" t="str">
        <f>Final!E228</f>
        <v>a</v>
      </c>
      <c r="D240" s="224" t="str">
        <f>Final!F228</f>
        <v>Existencia de registros actualizados sobre ocupación y ubicación profesional de los egresados del proyecto curricular.</v>
      </c>
      <c r="E240" s="82" t="s">
        <v>713</v>
      </c>
      <c r="F240" s="41"/>
      <c r="G240" s="41" t="s">
        <v>2853</v>
      </c>
      <c r="H240" s="41"/>
      <c r="I240" s="104" t="str">
        <f t="shared" si="15"/>
        <v>SI</v>
      </c>
      <c r="J240" s="45">
        <f t="shared" si="16"/>
        <v>5</v>
      </c>
      <c r="K240" s="45">
        <f>AVERAGE(J240)</f>
        <v>5</v>
      </c>
      <c r="L240" s="388">
        <f>AVERAGE(K240:K247)</f>
        <v>5</v>
      </c>
      <c r="M240" s="388">
        <f>(L240*Ponderación!D37)+(L248*Ponderación!D38)</f>
        <v>4.2555555555555564</v>
      </c>
    </row>
    <row r="241" spans="1:13" ht="45" hidden="1" x14ac:dyDescent="0.25">
      <c r="A241" s="245">
        <v>9</v>
      </c>
      <c r="B241" s="245">
        <v>36</v>
      </c>
      <c r="C241" s="52" t="str">
        <f>Final!E229</f>
        <v>b</v>
      </c>
      <c r="D241" s="20" t="str">
        <f>Final!F229</f>
        <v>Correspondencia entre la ocupación y ubicación profesional de los egresados y el perfil de formación del proyecto curricular.</v>
      </c>
      <c r="E241" s="41"/>
      <c r="F241" s="41"/>
      <c r="G241" s="104" t="s">
        <v>64</v>
      </c>
      <c r="H241" s="41"/>
      <c r="I241" s="104" t="str">
        <f t="shared" si="15"/>
        <v>NA</v>
      </c>
      <c r="J241" s="45" t="str">
        <f t="shared" si="16"/>
        <v>NA</v>
      </c>
      <c r="K241" s="45" t="str">
        <f t="shared" ref="K241:K247" si="18">J241</f>
        <v>NA</v>
      </c>
      <c r="L241" s="389"/>
      <c r="M241" s="389"/>
    </row>
    <row r="242" spans="1:13" ht="45" hidden="1" x14ac:dyDescent="0.25">
      <c r="A242" s="245">
        <v>9</v>
      </c>
      <c r="B242" s="245">
        <v>36</v>
      </c>
      <c r="C242" s="52" t="str">
        <f>Final!E230</f>
        <v>c</v>
      </c>
      <c r="D242" s="20" t="str">
        <f>Final!F230</f>
        <v>Apreciación de los egresados, empleadores y usuarios externos sobre la calidad de la formación dada por el proyecto curricular.</v>
      </c>
      <c r="E242" s="41"/>
      <c r="F242" s="41"/>
      <c r="G242" s="104" t="s">
        <v>64</v>
      </c>
      <c r="H242" s="41"/>
      <c r="I242" s="104" t="str">
        <f t="shared" si="15"/>
        <v>NA</v>
      </c>
      <c r="J242" s="45" t="str">
        <f t="shared" si="16"/>
        <v>NA</v>
      </c>
      <c r="K242" s="45" t="str">
        <f t="shared" si="18"/>
        <v>NA</v>
      </c>
      <c r="L242" s="389"/>
      <c r="M242" s="389"/>
    </row>
    <row r="243" spans="1:13" ht="45" hidden="1" x14ac:dyDescent="0.25">
      <c r="A243" s="245">
        <v>9</v>
      </c>
      <c r="B243" s="245">
        <v>36</v>
      </c>
      <c r="C243" s="52" t="str">
        <f>Final!E231</f>
        <v>d</v>
      </c>
      <c r="D243" s="20" t="str">
        <f>Final!F231</f>
        <v>Apreciación de los egresados acerca de la forma como el proyecto curricular favorece el desarrollo del proyecto de vida.</v>
      </c>
      <c r="E243" s="41"/>
      <c r="F243" s="41"/>
      <c r="G243" s="104" t="s">
        <v>64</v>
      </c>
      <c r="H243" s="41"/>
      <c r="I243" s="104" t="str">
        <f t="shared" si="15"/>
        <v>NA</v>
      </c>
      <c r="J243" s="45" t="str">
        <f t="shared" si="16"/>
        <v>NA</v>
      </c>
      <c r="K243" s="45" t="str">
        <f t="shared" si="18"/>
        <v>NA</v>
      </c>
      <c r="L243" s="389"/>
      <c r="M243" s="389"/>
    </row>
    <row r="244" spans="1:13" ht="60" hidden="1" x14ac:dyDescent="0.25">
      <c r="A244" s="245">
        <v>9</v>
      </c>
      <c r="B244" s="245">
        <v>36</v>
      </c>
      <c r="C244" s="52" t="str">
        <f>Final!E232</f>
        <v>e</v>
      </c>
      <c r="D244" s="20" t="str">
        <f>Final!F232</f>
        <v>Utilización de la información contenida en el Observatorio Laboral para la Educación, como insumo para estudiar la pertinencia del proyecto curricular.</v>
      </c>
      <c r="E244" s="41"/>
      <c r="F244" s="41"/>
      <c r="G244" s="104" t="s">
        <v>64</v>
      </c>
      <c r="H244" s="41"/>
      <c r="I244" s="104" t="str">
        <f t="shared" si="15"/>
        <v>NA</v>
      </c>
      <c r="J244" s="45" t="str">
        <f t="shared" si="16"/>
        <v>NA</v>
      </c>
      <c r="K244" s="45" t="str">
        <f t="shared" si="18"/>
        <v>NA</v>
      </c>
      <c r="L244" s="389"/>
      <c r="M244" s="389"/>
    </row>
    <row r="245" spans="1:13" ht="30" hidden="1" x14ac:dyDescent="0.25">
      <c r="A245" s="245">
        <v>9</v>
      </c>
      <c r="B245" s="245">
        <v>36</v>
      </c>
      <c r="C245" s="52" t="str">
        <f>Final!E233</f>
        <v>f</v>
      </c>
      <c r="D245" s="20" t="str">
        <f>Final!F233</f>
        <v>Evidencia de los procesos de análisis de la situación de los egresados.</v>
      </c>
      <c r="E245" s="41"/>
      <c r="F245" s="41"/>
      <c r="G245" s="104" t="s">
        <v>64</v>
      </c>
      <c r="H245" s="41"/>
      <c r="I245" s="104" t="str">
        <f t="shared" si="15"/>
        <v>NA</v>
      </c>
      <c r="J245" s="45" t="str">
        <f t="shared" si="16"/>
        <v>NA</v>
      </c>
      <c r="K245" s="45" t="str">
        <f t="shared" si="18"/>
        <v>NA</v>
      </c>
      <c r="L245" s="389"/>
      <c r="M245" s="389"/>
    </row>
    <row r="246" spans="1:13" ht="60" hidden="1" x14ac:dyDescent="0.25">
      <c r="A246" s="245">
        <v>9</v>
      </c>
      <c r="B246" s="245">
        <v>36</v>
      </c>
      <c r="C246" s="52" t="str">
        <f>Final!E234</f>
        <v>g</v>
      </c>
      <c r="D246" s="20" t="str">
        <f>Final!F234</f>
        <v>Mecanismos y estrategias para efectuar ajustes al proyecto curricular en atención a las necesidades del entorno, evidenciados a través del seguimiento de los egresados.</v>
      </c>
      <c r="E246" s="41"/>
      <c r="F246" s="41"/>
      <c r="G246" s="104" t="s">
        <v>64</v>
      </c>
      <c r="H246" s="41"/>
      <c r="I246" s="104" t="str">
        <f t="shared" si="15"/>
        <v>NA</v>
      </c>
      <c r="J246" s="45" t="str">
        <f t="shared" si="16"/>
        <v>NA</v>
      </c>
      <c r="K246" s="45" t="str">
        <f t="shared" si="18"/>
        <v>NA</v>
      </c>
      <c r="L246" s="389"/>
      <c r="M246" s="389"/>
    </row>
    <row r="247" spans="1:13" ht="30" hidden="1" x14ac:dyDescent="0.25">
      <c r="A247" s="245">
        <v>9</v>
      </c>
      <c r="B247" s="245">
        <v>36</v>
      </c>
      <c r="C247" s="52" t="str">
        <f>Final!E235</f>
        <v>h</v>
      </c>
      <c r="D247" s="20" t="str">
        <f>Final!F235</f>
        <v>Estrategias que faciliten el paso del estudiante al mundo laboral.</v>
      </c>
      <c r="E247" s="41"/>
      <c r="F247" s="41"/>
      <c r="G247" s="104" t="s">
        <v>64</v>
      </c>
      <c r="H247" s="41"/>
      <c r="I247" s="104" t="str">
        <f t="shared" si="15"/>
        <v>NA</v>
      </c>
      <c r="J247" s="45" t="str">
        <f t="shared" si="16"/>
        <v>NA</v>
      </c>
      <c r="K247" s="45" t="str">
        <f t="shared" si="18"/>
        <v>NA</v>
      </c>
      <c r="L247" s="390"/>
      <c r="M247" s="389"/>
    </row>
    <row r="248" spans="1:13" ht="30" hidden="1" x14ac:dyDescent="0.25">
      <c r="A248" s="245">
        <v>9</v>
      </c>
      <c r="B248" s="245">
        <v>37</v>
      </c>
      <c r="C248" s="52" t="str">
        <f>Final!E236</f>
        <v>a</v>
      </c>
      <c r="D248" s="224" t="str">
        <f>Final!F236</f>
        <v>Índice de empleo entre los egresados del proyecto curricular.</v>
      </c>
      <c r="E248" s="20" t="s">
        <v>729</v>
      </c>
      <c r="F248" s="41"/>
      <c r="G248" s="41" t="s">
        <v>2854</v>
      </c>
      <c r="H248" s="41"/>
      <c r="I248" s="104" t="str">
        <f t="shared" si="15"/>
        <v>SI</v>
      </c>
      <c r="J248" s="45">
        <f t="shared" si="16"/>
        <v>5</v>
      </c>
      <c r="K248" s="45">
        <f>AVERAGE(J248)</f>
        <v>5</v>
      </c>
      <c r="L248" s="388">
        <f>AVERAGE(K248:K253)</f>
        <v>3.8888888888888893</v>
      </c>
      <c r="M248" s="389"/>
    </row>
    <row r="249" spans="1:13" ht="30" hidden="1" x14ac:dyDescent="0.25">
      <c r="A249" s="245">
        <v>9</v>
      </c>
      <c r="B249" s="245">
        <v>37</v>
      </c>
      <c r="C249" s="367" t="str">
        <f>Final!E237</f>
        <v>b</v>
      </c>
      <c r="D249" s="404" t="str">
        <f>Final!F237</f>
        <v>Egresados del proyecto curricular que forman parte de comunidades académicas reconocidas, de asociaciones científicas, profesionales, tecnológicas, técnicas o artísticas, y del sector productivo y financiero, en el ámbito nacional o internacional.</v>
      </c>
      <c r="E249" s="82" t="s">
        <v>730</v>
      </c>
      <c r="F249" s="41"/>
      <c r="G249" s="41" t="s">
        <v>2855</v>
      </c>
      <c r="H249" s="41"/>
      <c r="I249" s="104" t="str">
        <f t="shared" si="15"/>
        <v>SI</v>
      </c>
      <c r="J249" s="45">
        <f t="shared" si="16"/>
        <v>5</v>
      </c>
      <c r="K249" s="388">
        <f>AVERAGE(J249:J251)</f>
        <v>1.6666666666666667</v>
      </c>
      <c r="L249" s="389"/>
      <c r="M249" s="389"/>
    </row>
    <row r="250" spans="1:13" ht="45" hidden="1" x14ac:dyDescent="0.25">
      <c r="A250" s="245">
        <v>9</v>
      </c>
      <c r="B250" s="245">
        <v>37</v>
      </c>
      <c r="C250" s="402"/>
      <c r="D250" s="405"/>
      <c r="E250" s="82" t="s">
        <v>731</v>
      </c>
      <c r="F250" s="41"/>
      <c r="G250" s="41"/>
      <c r="H250" s="41"/>
      <c r="I250" s="104" t="str">
        <f t="shared" si="15"/>
        <v>NO</v>
      </c>
      <c r="J250" s="45">
        <f t="shared" si="16"/>
        <v>0</v>
      </c>
      <c r="K250" s="389"/>
      <c r="L250" s="389"/>
      <c r="M250" s="389"/>
    </row>
    <row r="251" spans="1:13" ht="30" hidden="1" x14ac:dyDescent="0.25">
      <c r="A251" s="245">
        <v>9</v>
      </c>
      <c r="B251" s="245">
        <v>37</v>
      </c>
      <c r="C251" s="368"/>
      <c r="D251" s="406"/>
      <c r="E251" s="82" t="s">
        <v>732</v>
      </c>
      <c r="F251" s="41"/>
      <c r="G251" s="41"/>
      <c r="H251" s="41"/>
      <c r="I251" s="104" t="str">
        <f t="shared" si="15"/>
        <v>NO</v>
      </c>
      <c r="J251" s="45">
        <f t="shared" si="16"/>
        <v>0</v>
      </c>
      <c r="K251" s="390"/>
      <c r="L251" s="389"/>
      <c r="M251" s="389"/>
    </row>
    <row r="252" spans="1:13" ht="60" hidden="1" x14ac:dyDescent="0.25">
      <c r="A252" s="245">
        <v>9</v>
      </c>
      <c r="B252" s="245">
        <v>37</v>
      </c>
      <c r="C252" s="52" t="str">
        <f>Final!E238</f>
        <v>c</v>
      </c>
      <c r="D252" s="224" t="str">
        <f>Final!F238</f>
        <v>Egresados del proyecto curricular que han recibido distinciones y reconocimientos significativos por su desempeño en la disciplina, profesión, ocupación u oficio correspondiente.</v>
      </c>
      <c r="E252" s="82" t="s">
        <v>734</v>
      </c>
      <c r="F252" s="41"/>
      <c r="G252" s="41" t="s">
        <v>2856</v>
      </c>
      <c r="H252" s="41"/>
      <c r="I252" s="104" t="str">
        <f t="shared" si="15"/>
        <v>SI</v>
      </c>
      <c r="J252" s="45">
        <f t="shared" si="16"/>
        <v>5</v>
      </c>
      <c r="K252" s="45">
        <f>AVERAGE(J252)</f>
        <v>5</v>
      </c>
      <c r="L252" s="389"/>
      <c r="M252" s="389"/>
    </row>
    <row r="253" spans="1:13" ht="45" hidden="1" x14ac:dyDescent="0.25">
      <c r="A253" s="245">
        <v>9</v>
      </c>
      <c r="B253" s="245">
        <v>37</v>
      </c>
      <c r="C253" s="52" t="str">
        <f>Final!E239</f>
        <v>d</v>
      </c>
      <c r="D253" s="20" t="str">
        <f>Final!F239</f>
        <v>Apreciación de empleadores sobre la calidad de la formación y el desempeño de los egresados del proyecto curricular.</v>
      </c>
      <c r="E253" s="41"/>
      <c r="F253" s="41"/>
      <c r="G253" s="104" t="s">
        <v>64</v>
      </c>
      <c r="H253" s="41"/>
      <c r="I253" s="104" t="str">
        <f t="shared" si="15"/>
        <v>NA</v>
      </c>
      <c r="J253" s="45" t="str">
        <f t="shared" si="16"/>
        <v>NA</v>
      </c>
      <c r="K253" s="45" t="str">
        <f>J253</f>
        <v>NA</v>
      </c>
      <c r="L253" s="390"/>
      <c r="M253" s="390"/>
    </row>
    <row r="254" spans="1:13" ht="60" hidden="1" x14ac:dyDescent="0.25">
      <c r="A254" s="245">
        <v>10</v>
      </c>
      <c r="B254" s="245">
        <v>38</v>
      </c>
      <c r="C254" s="52" t="str">
        <f>Final!E240</f>
        <v>a</v>
      </c>
      <c r="D254" s="20" t="str">
        <f>Final!F240</f>
        <v>Espacios que se destinan al desarrollo de cada una de las funciones de docencia, investigación y extensión a las que se dedica el proyecto curricular y de las áreas destinadas al bienestar institucional.</v>
      </c>
      <c r="E254" s="20" t="s">
        <v>512</v>
      </c>
      <c r="F254" s="41"/>
      <c r="G254" s="41" t="s">
        <v>2857</v>
      </c>
      <c r="H254" s="41" t="s">
        <v>738</v>
      </c>
      <c r="I254" s="104" t="str">
        <f t="shared" si="15"/>
        <v>SI</v>
      </c>
      <c r="J254" s="45">
        <f t="shared" si="16"/>
        <v>5</v>
      </c>
      <c r="K254" s="45">
        <f>AVERAGE(J254)</f>
        <v>5</v>
      </c>
      <c r="L254" s="388">
        <f>AVERAGE(K254:K258)</f>
        <v>5</v>
      </c>
      <c r="M254" s="388">
        <f>(L254*Ponderación!D39)</f>
        <v>2.1</v>
      </c>
    </row>
    <row r="255" spans="1:13" ht="120" hidden="1" x14ac:dyDescent="0.25">
      <c r="A255" s="245">
        <v>10</v>
      </c>
      <c r="B255" s="245">
        <v>38</v>
      </c>
      <c r="C255" s="52" t="str">
        <f>Final!E241</f>
        <v>b</v>
      </c>
      <c r="D255" s="20" t="str">
        <f>Final!F241</f>
        <v>Existencia y uso adecuado de aulas, laboratorios, talleres, sitios de estudio para los alumnos, salas de cómputo, oficinas de profesores, sitios para la creación artística y cultural, auditorios y salas de conferencias, oficinas administrativas, cafeterías, baños, servicios, campos de juego, espacios libres, zonas verdes y demás espacios destinados al bienestar en general.</v>
      </c>
      <c r="E255" s="20" t="s">
        <v>512</v>
      </c>
      <c r="F255" s="41"/>
      <c r="G255" s="41" t="s">
        <v>2857</v>
      </c>
      <c r="H255" s="41" t="s">
        <v>739</v>
      </c>
      <c r="I255" s="104" t="str">
        <f t="shared" si="15"/>
        <v>SI</v>
      </c>
      <c r="J255" s="45">
        <f t="shared" si="16"/>
        <v>5</v>
      </c>
      <c r="K255" s="45">
        <f>AVERAGE(J255)</f>
        <v>5</v>
      </c>
      <c r="L255" s="389"/>
      <c r="M255" s="389"/>
    </row>
    <row r="256" spans="1:13" ht="60" hidden="1" x14ac:dyDescent="0.25">
      <c r="A256" s="245">
        <v>10</v>
      </c>
      <c r="B256" s="245">
        <v>38</v>
      </c>
      <c r="C256" s="52" t="str">
        <f>Final!E242</f>
        <v>c</v>
      </c>
      <c r="D256" s="20" t="str">
        <f>Final!F242</f>
        <v xml:space="preserve">Existencia de planes y proyectos en ejecución para la conservación, expansión, mejoras y mantenimiento de la planta física para el proyecto curricular, de acuerdo con las normas técnicas respectivas. </v>
      </c>
      <c r="E256" s="41"/>
      <c r="F256" s="41"/>
      <c r="G256" s="104" t="s">
        <v>64</v>
      </c>
      <c r="H256" s="41"/>
      <c r="I256" s="104" t="str">
        <f t="shared" si="15"/>
        <v>NA</v>
      </c>
      <c r="J256" s="45" t="str">
        <f t="shared" si="16"/>
        <v>NA</v>
      </c>
      <c r="K256" s="45" t="str">
        <f>J256</f>
        <v>NA</v>
      </c>
      <c r="L256" s="389"/>
      <c r="M256" s="389"/>
    </row>
    <row r="257" spans="1:13" ht="90" hidden="1" x14ac:dyDescent="0.25">
      <c r="A257" s="245">
        <v>10</v>
      </c>
      <c r="B257" s="245">
        <v>38</v>
      </c>
      <c r="C257" s="52" t="str">
        <f>Final!E243</f>
        <v>d</v>
      </c>
      <c r="D257" s="20" t="str">
        <f>Final!F243</f>
        <v>Apreciación de directivos, profesores, estudiantes y personal administrativo del proyecto curricular sobre las características de la planta física, desde el punto de vista de su accesibilidad, diseño, capacidad, iluminación, ventilación y condiciones de seguridad e higiene.</v>
      </c>
      <c r="E257" s="41"/>
      <c r="F257" s="41"/>
      <c r="G257" s="104" t="s">
        <v>64</v>
      </c>
      <c r="H257" s="41"/>
      <c r="I257" s="104" t="str">
        <f t="shared" si="15"/>
        <v>NA</v>
      </c>
      <c r="J257" s="45" t="str">
        <f t="shared" si="16"/>
        <v>NA</v>
      </c>
      <c r="K257" s="45" t="str">
        <f>J257</f>
        <v>NA</v>
      </c>
      <c r="L257" s="389"/>
      <c r="M257" s="389"/>
    </row>
    <row r="258" spans="1:13" ht="60" hidden="1" x14ac:dyDescent="0.25">
      <c r="A258" s="245">
        <v>10</v>
      </c>
      <c r="B258" s="245">
        <v>38</v>
      </c>
      <c r="C258" s="52" t="str">
        <f>Final!E244</f>
        <v>e</v>
      </c>
      <c r="D258" s="20" t="str">
        <f>Final!F244</f>
        <v xml:space="preserve">Disponibilidad de infraestructura física para atender las necesidades académicas, administrativas y de bienestar, que sea coherente con la modalidad en que se ofrece el proyecto curricular </v>
      </c>
      <c r="E258" s="82" t="s">
        <v>742</v>
      </c>
      <c r="F258" s="41"/>
      <c r="G258" s="41" t="s">
        <v>2857</v>
      </c>
      <c r="H258" s="41"/>
      <c r="I258" s="104" t="str">
        <f t="shared" si="15"/>
        <v>SI</v>
      </c>
      <c r="J258" s="45">
        <f t="shared" si="16"/>
        <v>5</v>
      </c>
      <c r="K258" s="45">
        <f>AVERAGE(J258)</f>
        <v>5</v>
      </c>
      <c r="L258" s="390"/>
      <c r="M258" s="389"/>
    </row>
    <row r="259" spans="1:13" ht="30" hidden="1" x14ac:dyDescent="0.25">
      <c r="A259" s="245">
        <v>10</v>
      </c>
      <c r="B259" s="245">
        <v>39</v>
      </c>
      <c r="C259" s="52" t="str">
        <f>Final!E245</f>
        <v>a</v>
      </c>
      <c r="D259" s="20" t="str">
        <f>Final!F245</f>
        <v>Origen, monto y distribución de los recursos presupuestales destinados al proyecto curricular.</v>
      </c>
      <c r="E259" s="41"/>
      <c r="F259" s="41"/>
      <c r="G259" s="104" t="s">
        <v>64</v>
      </c>
      <c r="H259" s="41"/>
      <c r="I259" s="104" t="str">
        <f t="shared" ref="I259:I271" si="19">IF((LEN(G259)=$P$5)*OR(LEN(H259)=$P$5),$O$5,IF(EXACT(G259,$O$6),$O$6,$O$4))</f>
        <v>NA</v>
      </c>
      <c r="J259" s="45" t="str">
        <f t="shared" ref="J259:J271" si="20">IF(EXACT(I259,$O$4),$P$4,IF(EXACT(I259,$O$6),$O$6,$P$5))</f>
        <v>NA</v>
      </c>
      <c r="K259" s="45" t="str">
        <f t="shared" ref="K259:K271" si="21">J259</f>
        <v>NA</v>
      </c>
      <c r="L259" s="388" t="s">
        <v>64</v>
      </c>
      <c r="M259" s="389"/>
    </row>
    <row r="260" spans="1:13" ht="45" hidden="1" x14ac:dyDescent="0.25">
      <c r="A260" s="245">
        <v>10</v>
      </c>
      <c r="B260" s="245">
        <v>39</v>
      </c>
      <c r="C260" s="52" t="str">
        <f>Final!E246</f>
        <v>b</v>
      </c>
      <c r="D260" s="20" t="str">
        <f>Final!F246</f>
        <v>Mecanismos de seguimiento y verificación a la ejecución presupuestal del proyecto curricular con base en planes de mejoramiento y mantenimiento.</v>
      </c>
      <c r="E260" s="41"/>
      <c r="F260" s="41"/>
      <c r="G260" s="104" t="s">
        <v>64</v>
      </c>
      <c r="H260" s="41"/>
      <c r="I260" s="104" t="str">
        <f t="shared" si="19"/>
        <v>NA</v>
      </c>
      <c r="J260" s="45" t="str">
        <f t="shared" si="20"/>
        <v>NA</v>
      </c>
      <c r="K260" s="45" t="str">
        <f t="shared" si="21"/>
        <v>NA</v>
      </c>
      <c r="L260" s="389"/>
      <c r="M260" s="389"/>
    </row>
    <row r="261" spans="1:13" ht="90" hidden="1" x14ac:dyDescent="0.25">
      <c r="A261" s="245">
        <v>10</v>
      </c>
      <c r="B261" s="245">
        <v>39</v>
      </c>
      <c r="C261" s="52" t="str">
        <f>Final!E247</f>
        <v>c</v>
      </c>
      <c r="D261" s="20" t="str">
        <f>Final!F247</f>
        <v>Distribución de la asignación presupuestal para actividades de docencia, investigación, creación artística y cultural, proyección social, bienestar institucional e internacionalización que en forma directa o indirecta se reflejen en el proyecto curricular.</v>
      </c>
      <c r="E261" s="41"/>
      <c r="F261" s="41"/>
      <c r="G261" s="104" t="s">
        <v>64</v>
      </c>
      <c r="H261" s="41"/>
      <c r="I261" s="104" t="str">
        <f t="shared" si="19"/>
        <v>NA</v>
      </c>
      <c r="J261" s="45" t="str">
        <f t="shared" si="20"/>
        <v>NA</v>
      </c>
      <c r="K261" s="45" t="str">
        <f t="shared" si="21"/>
        <v>NA</v>
      </c>
      <c r="L261" s="389"/>
      <c r="M261" s="389"/>
    </row>
    <row r="262" spans="1:13" ht="30" hidden="1" x14ac:dyDescent="0.25">
      <c r="A262" s="245">
        <v>10</v>
      </c>
      <c r="B262" s="245">
        <v>39</v>
      </c>
      <c r="C262" s="52" t="str">
        <f>Final!E248</f>
        <v>d</v>
      </c>
      <c r="D262" s="20" t="str">
        <f>Final!F248</f>
        <v>Porcentaje de los ingresos que la Institución dedica a la inversión en el proyecto curricular.</v>
      </c>
      <c r="E262" s="41"/>
      <c r="F262" s="41"/>
      <c r="G262" s="104" t="s">
        <v>64</v>
      </c>
      <c r="H262" s="41"/>
      <c r="I262" s="104" t="str">
        <f t="shared" si="19"/>
        <v>NA</v>
      </c>
      <c r="J262" s="45" t="str">
        <f t="shared" si="20"/>
        <v>NA</v>
      </c>
      <c r="K262" s="45" t="str">
        <f t="shared" si="21"/>
        <v>NA</v>
      </c>
      <c r="L262" s="389"/>
      <c r="M262" s="389"/>
    </row>
    <row r="263" spans="1:13" ht="45" hidden="1" x14ac:dyDescent="0.25">
      <c r="A263" s="245">
        <v>10</v>
      </c>
      <c r="B263" s="245">
        <v>39</v>
      </c>
      <c r="C263" s="52" t="str">
        <f>Final!E249</f>
        <v>e</v>
      </c>
      <c r="D263" s="20" t="str">
        <f>Final!F249</f>
        <v>Capacidad del proyecto curricular para generar recursos externos para el apoyo a sus funciones misionales.</v>
      </c>
      <c r="E263" s="41"/>
      <c r="F263" s="41"/>
      <c r="G263" s="104" t="s">
        <v>64</v>
      </c>
      <c r="H263" s="41"/>
      <c r="I263" s="104" t="str">
        <f t="shared" si="19"/>
        <v>NA</v>
      </c>
      <c r="J263" s="45" t="str">
        <f t="shared" si="20"/>
        <v>NA</v>
      </c>
      <c r="K263" s="45" t="str">
        <f t="shared" si="21"/>
        <v>NA</v>
      </c>
      <c r="L263" s="389"/>
      <c r="M263" s="389"/>
    </row>
    <row r="264" spans="1:13" ht="60" hidden="1" x14ac:dyDescent="0.25">
      <c r="A264" s="245">
        <v>10</v>
      </c>
      <c r="B264" s="245">
        <v>39</v>
      </c>
      <c r="C264" s="52" t="str">
        <f>Final!E250</f>
        <v>f</v>
      </c>
      <c r="D264" s="20" t="str">
        <f>Final!F250</f>
        <v>Apreciación de directivos y profesores adscritos al proyecto curricular sobre la suficiencia de los recursos presupuestales de que se dispone en el mismo y sobre la ejecución presupuestal.</v>
      </c>
      <c r="E264" s="41"/>
      <c r="F264" s="41"/>
      <c r="G264" s="104" t="s">
        <v>64</v>
      </c>
      <c r="H264" s="41"/>
      <c r="I264" s="104" t="str">
        <f t="shared" si="19"/>
        <v>NA</v>
      </c>
      <c r="J264" s="45" t="str">
        <f t="shared" si="20"/>
        <v>NA</v>
      </c>
      <c r="K264" s="45" t="str">
        <f t="shared" si="21"/>
        <v>NA</v>
      </c>
      <c r="L264" s="389"/>
      <c r="M264" s="389"/>
    </row>
    <row r="265" spans="1:13" ht="60" hidden="1" x14ac:dyDescent="0.25">
      <c r="A265" s="245">
        <v>10</v>
      </c>
      <c r="B265" s="245">
        <v>39</v>
      </c>
      <c r="C265" s="52" t="str">
        <f>Final!E251</f>
        <v>g</v>
      </c>
      <c r="D265" s="20" t="str">
        <f>Final!F251</f>
        <v>Existencia de estudio de viabilidad financiera del proyecto curricular, que incluya un plan básico de inversión orientado a la consolidación del Proyecto Educativo.</v>
      </c>
      <c r="E265" s="41"/>
      <c r="F265" s="41"/>
      <c r="G265" s="104" t="s">
        <v>64</v>
      </c>
      <c r="H265" s="41"/>
      <c r="I265" s="104" t="str">
        <f t="shared" si="19"/>
        <v>NA</v>
      </c>
      <c r="J265" s="45" t="str">
        <f t="shared" si="20"/>
        <v>NA</v>
      </c>
      <c r="K265" s="45" t="str">
        <f t="shared" si="21"/>
        <v>NA</v>
      </c>
      <c r="L265" s="389"/>
      <c r="M265" s="389"/>
    </row>
    <row r="266" spans="1:13" ht="45" hidden="1" x14ac:dyDescent="0.25">
      <c r="A266" s="245">
        <v>10</v>
      </c>
      <c r="B266" s="245">
        <v>39</v>
      </c>
      <c r="C266" s="52" t="str">
        <f>Final!E252</f>
        <v>h</v>
      </c>
      <c r="D266" s="20" t="str">
        <f>Final!F252</f>
        <v>Los planes de mejoramiento del proyecto curricular se soportan en un presupuesto de apropiación programada.</v>
      </c>
      <c r="E266" s="41"/>
      <c r="F266" s="41"/>
      <c r="G266" s="104" t="s">
        <v>64</v>
      </c>
      <c r="H266" s="41"/>
      <c r="I266" s="104" t="str">
        <f t="shared" si="19"/>
        <v>NA</v>
      </c>
      <c r="J266" s="45" t="str">
        <f t="shared" si="20"/>
        <v>NA</v>
      </c>
      <c r="K266" s="45" t="str">
        <f t="shared" si="21"/>
        <v>NA</v>
      </c>
      <c r="L266" s="390"/>
      <c r="M266" s="389"/>
    </row>
    <row r="267" spans="1:13" ht="75" hidden="1" x14ac:dyDescent="0.25">
      <c r="A267" s="245">
        <v>10</v>
      </c>
      <c r="B267" s="245">
        <v>40</v>
      </c>
      <c r="C267" s="52" t="str">
        <f>Final!E253</f>
        <v>a</v>
      </c>
      <c r="D267" s="20" t="str">
        <f>Final!F253</f>
        <v>Manejo de los recursos físicos y financieros, en concordancia con los planes de desarrollo, los planes de mejoramiento y el tamaño y la complejidad de la institución y del proyecto curricular.</v>
      </c>
      <c r="E267" s="41"/>
      <c r="F267" s="41"/>
      <c r="G267" s="104" t="s">
        <v>64</v>
      </c>
      <c r="H267" s="41"/>
      <c r="I267" s="104" t="str">
        <f t="shared" si="19"/>
        <v>NA</v>
      </c>
      <c r="J267" s="45" t="str">
        <f t="shared" si="20"/>
        <v>NA</v>
      </c>
      <c r="K267" s="45" t="str">
        <f t="shared" si="21"/>
        <v>NA</v>
      </c>
      <c r="L267" s="388" t="s">
        <v>64</v>
      </c>
      <c r="M267" s="389"/>
    </row>
    <row r="268" spans="1:13" ht="60" hidden="1" x14ac:dyDescent="0.25">
      <c r="A268" s="245">
        <v>10</v>
      </c>
      <c r="B268" s="245">
        <v>40</v>
      </c>
      <c r="C268" s="52" t="str">
        <f>Final!E254</f>
        <v>b</v>
      </c>
      <c r="D268" s="20" t="str">
        <f>Final!F254</f>
        <v>Criterios y mecanismos para la elaboración, ejecución y seguimiento del presupuesto y para la asignación de recursos físicos y financieros para el proyecto curricular.</v>
      </c>
      <c r="E268" s="41"/>
      <c r="F268" s="41"/>
      <c r="G268" s="104" t="s">
        <v>64</v>
      </c>
      <c r="H268" s="41"/>
      <c r="I268" s="104" t="str">
        <f t="shared" si="19"/>
        <v>NA</v>
      </c>
      <c r="J268" s="45" t="str">
        <f t="shared" si="20"/>
        <v>NA</v>
      </c>
      <c r="K268" s="45" t="str">
        <f t="shared" si="21"/>
        <v>NA</v>
      </c>
      <c r="L268" s="389"/>
      <c r="M268" s="389"/>
    </row>
    <row r="269" spans="1:13" ht="30" hidden="1" x14ac:dyDescent="0.25">
      <c r="A269" s="245">
        <v>10</v>
      </c>
      <c r="B269" s="245">
        <v>40</v>
      </c>
      <c r="C269" s="52" t="str">
        <f>Final!E255</f>
        <v>c</v>
      </c>
      <c r="D269" s="20" t="str">
        <f>Final!F255</f>
        <v>Evidencias de los controles legales y administrativos para asegurar el manejo transparente de los recursos.</v>
      </c>
      <c r="E269" s="41"/>
      <c r="F269" s="41"/>
      <c r="G269" s="104" t="s">
        <v>64</v>
      </c>
      <c r="H269" s="41"/>
      <c r="I269" s="104" t="str">
        <f t="shared" si="19"/>
        <v>NA</v>
      </c>
      <c r="J269" s="45" t="str">
        <f t="shared" si="20"/>
        <v>NA</v>
      </c>
      <c r="K269" s="45" t="str">
        <f t="shared" si="21"/>
        <v>NA</v>
      </c>
      <c r="L269" s="389"/>
      <c r="M269" s="389"/>
    </row>
    <row r="270" spans="1:13" ht="60" hidden="1" x14ac:dyDescent="0.25">
      <c r="A270" s="245">
        <v>10</v>
      </c>
      <c r="B270" s="245">
        <v>40</v>
      </c>
      <c r="C270" s="52" t="str">
        <f>Final!E256</f>
        <v>d</v>
      </c>
      <c r="D270" s="20" t="str">
        <f>Final!F256</f>
        <v>Apreciación de directivos y profesores adscritos al proyecto curricular sobre la equidad en la asignación de recursos físicos y financieros para el proyecto curricular.</v>
      </c>
      <c r="E270" s="41"/>
      <c r="F270" s="41"/>
      <c r="G270" s="104" t="s">
        <v>64</v>
      </c>
      <c r="H270" s="41"/>
      <c r="I270" s="104" t="str">
        <f t="shared" si="19"/>
        <v>NA</v>
      </c>
      <c r="J270" s="45" t="str">
        <f t="shared" si="20"/>
        <v>NA</v>
      </c>
      <c r="K270" s="45" t="str">
        <f t="shared" si="21"/>
        <v>NA</v>
      </c>
      <c r="L270" s="389"/>
      <c r="M270" s="389"/>
    </row>
    <row r="271" spans="1:13" ht="90" hidden="1" x14ac:dyDescent="0.25">
      <c r="A271" s="245">
        <v>10</v>
      </c>
      <c r="B271" s="245">
        <v>40</v>
      </c>
      <c r="C271" s="52" t="str">
        <f>Final!E257</f>
        <v>e</v>
      </c>
      <c r="D271" s="20" t="str">
        <f>Final!F257</f>
        <v>En los programas de salud, donde sea pertinente, evidencia las dinámicas de administración compartida entre las Institución de Educación Superior y el Hospital Universitario o la IPS, en cuanto a convenios docentes-asistenciales y escenarios de prácticas, entre otros.</v>
      </c>
      <c r="E271" s="41"/>
      <c r="F271" s="41"/>
      <c r="G271" s="104" t="s">
        <v>64</v>
      </c>
      <c r="H271" s="41"/>
      <c r="I271" s="104" t="str">
        <f t="shared" si="19"/>
        <v>NA</v>
      </c>
      <c r="J271" s="45" t="str">
        <f t="shared" si="20"/>
        <v>NA</v>
      </c>
      <c r="K271" s="45" t="str">
        <f t="shared" si="21"/>
        <v>NA</v>
      </c>
      <c r="L271" s="390"/>
      <c r="M271" s="390"/>
    </row>
  </sheetData>
  <autoFilter ref="A2:M271">
    <filterColumn colId="0">
      <filters>
        <filter val="6"/>
      </filters>
    </filterColumn>
  </autoFilter>
  <mergeCells count="81">
    <mergeCell ref="D249:D251"/>
    <mergeCell ref="C249:C251"/>
    <mergeCell ref="D200:D202"/>
    <mergeCell ref="C200:C202"/>
    <mergeCell ref="D186:D187"/>
    <mergeCell ref="C186:C187"/>
    <mergeCell ref="D196:D197"/>
    <mergeCell ref="C196:C197"/>
    <mergeCell ref="D198:D199"/>
    <mergeCell ref="C198:C199"/>
    <mergeCell ref="A1:M1"/>
    <mergeCell ref="C50:C51"/>
    <mergeCell ref="D52:D53"/>
    <mergeCell ref="C52:C53"/>
    <mergeCell ref="D3:D4"/>
    <mergeCell ref="C3:C4"/>
    <mergeCell ref="K3:K4"/>
    <mergeCell ref="D55:D57"/>
    <mergeCell ref="C55:C57"/>
    <mergeCell ref="D90:D91"/>
    <mergeCell ref="C90:C91"/>
    <mergeCell ref="D50:D51"/>
    <mergeCell ref="K90:K91"/>
    <mergeCell ref="K55:K57"/>
    <mergeCell ref="K52:K53"/>
    <mergeCell ref="K50:K51"/>
    <mergeCell ref="K186:K187"/>
    <mergeCell ref="K196:K197"/>
    <mergeCell ref="K198:K199"/>
    <mergeCell ref="K200:K202"/>
    <mergeCell ref="K249:K251"/>
    <mergeCell ref="L3:L9"/>
    <mergeCell ref="L10:L13"/>
    <mergeCell ref="L14:L22"/>
    <mergeCell ref="L23:L26"/>
    <mergeCell ref="L27:L29"/>
    <mergeCell ref="L30:L33"/>
    <mergeCell ref="L34:L38"/>
    <mergeCell ref="L39:L41"/>
    <mergeCell ref="L42:L47"/>
    <mergeCell ref="L48:L59"/>
    <mergeCell ref="L60:L65"/>
    <mergeCell ref="L66:L68"/>
    <mergeCell ref="L69:L72"/>
    <mergeCell ref="L73:L75"/>
    <mergeCell ref="L76:L80"/>
    <mergeCell ref="L81:L95"/>
    <mergeCell ref="L96:L105"/>
    <mergeCell ref="L106:L108"/>
    <mergeCell ref="L109:L123"/>
    <mergeCell ref="L124:L129"/>
    <mergeCell ref="L130:L134"/>
    <mergeCell ref="L135:L138"/>
    <mergeCell ref="L139:L146"/>
    <mergeCell ref="L147:L152"/>
    <mergeCell ref="L153:L158"/>
    <mergeCell ref="L159:L164"/>
    <mergeCell ref="L165:L175"/>
    <mergeCell ref="L240:L247"/>
    <mergeCell ref="L248:L253"/>
    <mergeCell ref="L176:L183"/>
    <mergeCell ref="L184:L194"/>
    <mergeCell ref="L195:L206"/>
    <mergeCell ref="L207:L215"/>
    <mergeCell ref="L216:L218"/>
    <mergeCell ref="L254:L258"/>
    <mergeCell ref="L259:L266"/>
    <mergeCell ref="L267:L271"/>
    <mergeCell ref="M3:M22"/>
    <mergeCell ref="M23:M38"/>
    <mergeCell ref="M39:M80"/>
    <mergeCell ref="M81:M164"/>
    <mergeCell ref="M165:M183"/>
    <mergeCell ref="M184:M206"/>
    <mergeCell ref="M207:M218"/>
    <mergeCell ref="M219:M239"/>
    <mergeCell ref="M240:M253"/>
    <mergeCell ref="M254:M271"/>
    <mergeCell ref="L219:L226"/>
    <mergeCell ref="L227:L235"/>
    <mergeCell ref="L236:L239"/>
  </mergeCells>
  <hyperlinks>
    <hyperlink ref="E24" r:id="rId1" location="ESTADISTICAS!Estudiantes_Admitidos"/>
    <hyperlink ref="E29" r:id="rId2" location="ESTADISTICAS!TASA_DE_ABSORCION"/>
    <hyperlink ref="E39" r:id="rId3" location="'profesores formación Vs Dedicac'!A1" display="Docentes\3. Profesores Electrica.xlsx - 'profesores formación Vs Dedicac'!A1"/>
    <hyperlink ref="E49" r:id="rId4" location="'profesores formación Vs Dedicac'!A1"/>
    <hyperlink ref="E51" r:id="rId5" location="'Resumen x Actividad'!A1"/>
    <hyperlink ref="E53" r:id="rId6" location="'aCTIVIDADES '!Tutorias_Academicas"/>
    <hyperlink ref="E50" r:id="rId7" location="'aCTIVIDADES '!A1"/>
    <hyperlink ref="E23" r:id="rId8"/>
    <hyperlink ref="E66" r:id="rId9" location="RECONOCIMIENTOS!A1" display="Docentes\Informacion Docentes publicaciones, estimulos, reconocim, titulos, exp lab.xlsx - RECONOCIMIENTOS!A1"/>
    <hyperlink ref="E102" r:id="rId10"/>
    <hyperlink ref="G102" r:id="rId11"/>
    <hyperlink ref="E103" r:id="rId12"/>
    <hyperlink ref="E92" r:id="rId13" location="'GRAL ICFES'!Resultados_Icfes_Por_Estudiante"/>
    <hyperlink ref="E48" r:id="rId14"/>
    <hyperlink ref="E54" r:id="rId15" location="'Experiencia laboral'!A1"/>
    <hyperlink ref="E145" r:id="rId16"/>
    <hyperlink ref="E106" r:id="rId17"/>
    <hyperlink ref="E192" r:id="rId18"/>
    <hyperlink ref="E101" r:id="rId19"/>
    <hyperlink ref="E90" r:id="rId20"/>
    <hyperlink ref="E91" r:id="rId21" location="'GRAL ICFES'!Resultados_Icfes_Por_Estudiante"/>
    <hyperlink ref="E104" r:id="rId22"/>
    <hyperlink ref="E140" r:id="rId23"/>
    <hyperlink ref="E146" r:id="rId24"/>
    <hyperlink ref="E151" r:id="rId25"/>
    <hyperlink ref="E169" r:id="rId26"/>
    <hyperlink ref="G169" r:id="rId27" display="convenios con las universidades, CERI ver la pagina estan publicados,"/>
    <hyperlink ref="F169" r:id="rId28"/>
    <hyperlink ref="H4" r:id="rId29"/>
    <hyperlink ref="H3" r:id="rId30"/>
    <hyperlink ref="H7" r:id="rId31"/>
    <hyperlink ref="E67" r:id="rId32"/>
    <hyperlink ref="G101" r:id="rId33"/>
    <hyperlink ref="E107" r:id="rId34"/>
  </hyperlinks>
  <pageMargins left="0.7" right="0.7" top="0.75" bottom="0.75" header="0.3" footer="0.3"/>
  <pageSetup orientation="portrait"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7"/>
  <sheetViews>
    <sheetView tabSelected="1" zoomScaleNormal="100" zoomScalePageLayoutView="85" workbookViewId="0">
      <pane xSplit="5" ySplit="1" topLeftCell="F240" activePane="bottomRight" state="frozen"/>
      <selection pane="topRight" activeCell="F1" sqref="F1"/>
      <selection pane="bottomLeft" activeCell="Q2" sqref="Q2:Q257"/>
      <selection pane="bottomRight" activeCell="F243" sqref="F243"/>
    </sheetView>
  </sheetViews>
  <sheetFormatPr baseColWidth="10" defaultColWidth="11.42578125" defaultRowHeight="15" x14ac:dyDescent="0.25"/>
  <cols>
    <col min="1" max="1" width="3.140625" style="39" bestFit="1" customWidth="1"/>
    <col min="2" max="2" width="31.42578125" style="39" customWidth="1"/>
    <col min="3" max="3" width="3.85546875" style="39" bestFit="1" customWidth="1"/>
    <col min="4" max="4" width="21.7109375" style="39" customWidth="1"/>
    <col min="5" max="5" width="3.42578125" style="39" bestFit="1" customWidth="1"/>
    <col min="6" max="6" width="78.42578125" style="39" bestFit="1" customWidth="1"/>
    <col min="7" max="7" width="11.28515625" style="39" customWidth="1"/>
    <col min="8" max="8" width="13.28515625" style="39" customWidth="1"/>
    <col min="9" max="9" width="11.7109375" style="39" bestFit="1" customWidth="1"/>
    <col min="10" max="10" width="10.7109375" style="39" bestFit="1" customWidth="1"/>
    <col min="11" max="11" width="7.42578125" style="39" bestFit="1" customWidth="1"/>
    <col min="12" max="12" width="6.42578125" style="39" customWidth="1"/>
    <col min="13" max="13" width="6.42578125" style="39" bestFit="1" customWidth="1"/>
    <col min="14" max="14" width="9.42578125" style="39" bestFit="1" customWidth="1"/>
    <col min="15" max="16" width="6.42578125" style="39" bestFit="1" customWidth="1"/>
    <col min="17" max="17" width="7.85546875" style="39" customWidth="1"/>
    <col min="18" max="18" width="11.140625" style="39" customWidth="1"/>
    <col min="19" max="19" width="13.42578125" style="39" customWidth="1"/>
    <col min="20" max="20" width="17.42578125" style="39" bestFit="1" customWidth="1"/>
    <col min="21" max="21" width="14.85546875" style="39" customWidth="1"/>
    <col min="22" max="22" width="11.42578125" style="39" customWidth="1"/>
    <col min="23" max="23" width="11.42578125" style="39"/>
    <col min="24" max="24" width="26.140625" style="39" bestFit="1" customWidth="1"/>
    <col min="25" max="25" width="12.85546875" style="39" bestFit="1" customWidth="1"/>
    <col min="26" max="26" width="12.28515625" style="39" customWidth="1"/>
    <col min="27" max="16384" width="11.42578125" style="39"/>
  </cols>
  <sheetData>
    <row r="1" spans="1:27" ht="88.5" customHeight="1" x14ac:dyDescent="0.25">
      <c r="A1" s="35" t="s">
        <v>63</v>
      </c>
      <c r="B1" s="35" t="s">
        <v>61</v>
      </c>
      <c r="C1" s="49" t="s">
        <v>59</v>
      </c>
      <c r="D1" s="35" t="s">
        <v>57</v>
      </c>
      <c r="E1" s="35" t="s">
        <v>58</v>
      </c>
      <c r="F1" s="22" t="s">
        <v>13</v>
      </c>
      <c r="G1" s="22" t="s">
        <v>10</v>
      </c>
      <c r="H1" s="22" t="s">
        <v>835</v>
      </c>
      <c r="I1" s="22" t="s">
        <v>836</v>
      </c>
      <c r="J1" s="46" t="s">
        <v>69</v>
      </c>
      <c r="K1" s="46" t="s">
        <v>69</v>
      </c>
      <c r="L1" s="46" t="s">
        <v>73</v>
      </c>
      <c r="M1" s="46" t="s">
        <v>70</v>
      </c>
      <c r="N1" s="46" t="s">
        <v>73</v>
      </c>
      <c r="O1" s="46" t="s">
        <v>70</v>
      </c>
      <c r="P1" s="46" t="s">
        <v>796</v>
      </c>
      <c r="Q1" s="46" t="s">
        <v>796</v>
      </c>
    </row>
    <row r="2" spans="1:27" ht="30.75" customHeight="1" thickBot="1" x14ac:dyDescent="0.3">
      <c r="A2" s="237">
        <v>1</v>
      </c>
      <c r="B2" s="408" t="s">
        <v>62</v>
      </c>
      <c r="C2" s="237">
        <v>1</v>
      </c>
      <c r="D2" s="323" t="s">
        <v>60</v>
      </c>
      <c r="E2" s="52" t="s">
        <v>55</v>
      </c>
      <c r="F2" s="53" t="s">
        <v>9</v>
      </c>
      <c r="G2" s="213">
        <f>'Integración Apreciación '!O4</f>
        <v>4.2453975745932784</v>
      </c>
      <c r="H2" s="213">
        <f>'Integración Documental'!J3</f>
        <v>5</v>
      </c>
      <c r="I2" s="45">
        <f>Estadistica!K3</f>
        <v>5</v>
      </c>
      <c r="J2" s="213">
        <f>IF(OR(EXACT(G2,$Y$9),EXACT(H2,$Y$9),EXACT(I2,$Y$9)),AVERAGE(G2:I2),((G2*$U$6)+(H2*$U$4)+(I2*$U$5)))</f>
        <v>4.8490795149186559</v>
      </c>
      <c r="K2" s="17" t="str">
        <f>IF(((J2&gt;=$Z$4)*AND(J2&lt;=$AA$4)),$Y$4,IF(((J2&gt;$AA$4)*AND(J2&lt;=$AA$5)),$Y$5,IF(((J2&gt;$AA$5)*AND(J2&lt;=$AA$6)),$Y$6,IF(((J2&gt;$AA$6)*AND(J2&lt;=$AA$7)),$Y$7,IF(((J2&gt;$AA$7)*AND(J2&lt;=$AA$8)),$Y$8,IF(EXACT(J2,$Y$9),$Z$9))))))</f>
        <v>A</v>
      </c>
      <c r="L2" s="396">
        <f>AVERAGE(J2:J7)</f>
        <v>4.9748465858197761</v>
      </c>
      <c r="M2" s="396">
        <f>(L2*Ponderación!D2)+(L8*Ponderación!D3)+(L12*Ponderación!D4)</f>
        <v>4.3728757698031879</v>
      </c>
      <c r="N2" s="327" t="str">
        <f>IF(((L2&gt;=$Z$4)*AND(L2&lt;=$AA$4)),$Y$4,IF(((L2&gt;$AA$4)*AND(L2&lt;=$AA$5)),$Y$5,IF(((L2&gt;$AA$5)*AND(L2&lt;=$AA$6)),$Y$6,IF(((L2&gt;$AA$6)*AND(L2&lt;=$AA$7)),$Y$7,IF(((L2&gt;$AA$7)*AND(L2&lt;=$AA$8)),$Y$8,IF(EXACT(L2,$Y$9),$Z$9))))))</f>
        <v>A</v>
      </c>
      <c r="O2" s="327" t="str">
        <f>IF(((M2&gt;=$Z$4)*AND(M2&lt;=$AA$4)),$Y$4,IF(((M2&gt;$AA$4)*AND(M2&lt;=$AA$5)),$Y$5,IF(((M2&gt;$AA$5)*AND(M2&lt;=$AA$6)),$Y$6,IF(((M2&gt;$AA$6)*AND(M2&lt;=$AA$7)),$Y$7,IF(((M2&gt;$AA$7)*AND(M2&lt;=$AA$8)),$Y$8,IF(EXACT(M2,$Y$9),$Z$9))))))</f>
        <v>B</v>
      </c>
      <c r="P2" s="396">
        <f>(Ponderación!B2*Final!M2)+(Ponderación!B5*Final!M21)+(Ponderación!B9*Final!M37)+(Ponderación!B17*Final!M75)+(Ponderación!B28*Final!M158)+(Ponderación!B30*Final!M177)+(Ponderación!B32*Final!M195)+(Ponderación!B34*Final!M207)+(Ponderación!B37*Final!M228)+(Ponderación!B39*Final!M240)</f>
        <v>4.1805205746949916</v>
      </c>
      <c r="Q2" s="327" t="str">
        <f>IF(((P2&gt;=$Z$4)*AND(P2&lt;=$AA$4)),$Y$4,IF(((P2&gt;$AA$4)*AND(P2&lt;=$AA$5)),$Y$5,IF(((P2&gt;$AA$5)*AND(P2&lt;=$AA$6)),$Y$6,IF(((P2&gt;$AA$6)*AND(P2&lt;=$AA$7)),$Y$7,IF(((P2&gt;$AA$7)*AND(P2&lt;=$AA$8)),$Y$8,IF(EXACT(P2,$Y$9),$Z$9))))))</f>
        <v>B</v>
      </c>
    </row>
    <row r="3" spans="1:27" ht="30.75" thickBot="1" x14ac:dyDescent="0.3">
      <c r="A3" s="237">
        <v>1</v>
      </c>
      <c r="B3" s="409"/>
      <c r="C3" s="237">
        <v>1</v>
      </c>
      <c r="D3" s="411"/>
      <c r="E3" s="52" t="s">
        <v>56</v>
      </c>
      <c r="F3" s="42" t="s">
        <v>14</v>
      </c>
      <c r="G3" s="97" t="str">
        <f>'Integración Apreciación '!O19</f>
        <v>NA</v>
      </c>
      <c r="H3" s="213">
        <f>'Integración Documental'!J9</f>
        <v>5</v>
      </c>
      <c r="I3" s="45" t="str">
        <f>Estadistica!K5</f>
        <v>NA</v>
      </c>
      <c r="J3" s="213">
        <f t="shared" ref="J3:J66" si="0">IF(OR(EXACT(G3,$Y$9),EXACT(H3,$Y$9),EXACT(I3,$Y$9)),AVERAGE(G3:I3),((G3*$U$6)+(H3*$U$4)+(I3*$U$5)))</f>
        <v>5</v>
      </c>
      <c r="K3" s="17" t="str">
        <f t="shared" ref="K3:K66" si="1">IF(((J3&gt;=$Z$4)*AND(J3&lt;=$AA$4)),$Y$4,IF(((J3&gt;$AA$4)*AND(J3&lt;=$AA$5)),$Y$5,IF(((J3&gt;$AA$5)*AND(J3&lt;=$AA$6)),$Y$6,IF(((J3&gt;$AA$6)*AND(J3&lt;=$AA$7)),$Y$7,IF(((J3&gt;$AA$7)*AND(J3&lt;=$AA$8)),$Y$8,IF(EXACT(J3,$Y$9),$Z$9))))))</f>
        <v>A</v>
      </c>
      <c r="L3" s="397"/>
      <c r="M3" s="397"/>
      <c r="N3" s="328"/>
      <c r="O3" s="328"/>
      <c r="P3" s="397"/>
      <c r="Q3" s="328"/>
      <c r="T3" s="26" t="s">
        <v>834</v>
      </c>
      <c r="U3" s="111" t="s">
        <v>785</v>
      </c>
      <c r="X3" s="26" t="s">
        <v>42</v>
      </c>
      <c r="Y3" s="27" t="s">
        <v>41</v>
      </c>
      <c r="Z3" s="356" t="s">
        <v>43</v>
      </c>
      <c r="AA3" s="357"/>
    </row>
    <row r="4" spans="1:27" ht="60" x14ac:dyDescent="0.25">
      <c r="A4" s="237">
        <v>1</v>
      </c>
      <c r="B4" s="409"/>
      <c r="C4" s="237">
        <v>1</v>
      </c>
      <c r="D4" s="411"/>
      <c r="E4" s="52" t="s">
        <v>80</v>
      </c>
      <c r="F4" s="42" t="s">
        <v>365</v>
      </c>
      <c r="G4" s="97" t="str">
        <f>'Integración Apreciación '!O20</f>
        <v>NA</v>
      </c>
      <c r="H4" s="213">
        <f>'Integración Documental'!J18</f>
        <v>5</v>
      </c>
      <c r="I4" s="45" t="str">
        <f>Estadistica!K6</f>
        <v>NA</v>
      </c>
      <c r="J4" s="213">
        <f t="shared" si="0"/>
        <v>5</v>
      </c>
      <c r="K4" s="17" t="str">
        <f t="shared" si="1"/>
        <v>A</v>
      </c>
      <c r="L4" s="397"/>
      <c r="M4" s="397"/>
      <c r="N4" s="328"/>
      <c r="O4" s="328"/>
      <c r="P4" s="397"/>
      <c r="Q4" s="328"/>
      <c r="T4" s="112" t="s">
        <v>835</v>
      </c>
      <c r="U4" s="114">
        <v>0.4</v>
      </c>
      <c r="X4" s="25" t="s">
        <v>44</v>
      </c>
      <c r="Y4" s="33" t="s">
        <v>38</v>
      </c>
      <c r="Z4" s="28">
        <v>0</v>
      </c>
      <c r="AA4" s="30">
        <v>2.4</v>
      </c>
    </row>
    <row r="5" spans="1:27" ht="45" x14ac:dyDescent="0.25">
      <c r="A5" s="237">
        <v>1</v>
      </c>
      <c r="B5" s="409"/>
      <c r="C5" s="237">
        <v>1</v>
      </c>
      <c r="D5" s="411"/>
      <c r="E5" s="52" t="s">
        <v>81</v>
      </c>
      <c r="F5" s="42" t="s">
        <v>52</v>
      </c>
      <c r="G5" s="97" t="str">
        <f>'Integración Apreciación '!O21</f>
        <v>NA</v>
      </c>
      <c r="H5" s="213">
        <f>'Integración Documental'!J25</f>
        <v>5</v>
      </c>
      <c r="I5" s="45">
        <f>Estadistica!K7</f>
        <v>5</v>
      </c>
      <c r="J5" s="213">
        <f t="shared" si="0"/>
        <v>5</v>
      </c>
      <c r="K5" s="17" t="str">
        <f t="shared" si="1"/>
        <v>A</v>
      </c>
      <c r="L5" s="397"/>
      <c r="M5" s="397"/>
      <c r="N5" s="328"/>
      <c r="O5" s="328"/>
      <c r="P5" s="397"/>
      <c r="Q5" s="328"/>
      <c r="T5" s="112" t="s">
        <v>836</v>
      </c>
      <c r="U5" s="115">
        <v>0.4</v>
      </c>
      <c r="X5" s="23" t="s">
        <v>45</v>
      </c>
      <c r="Y5" s="48" t="s">
        <v>39</v>
      </c>
      <c r="Z5" s="19">
        <v>2.5</v>
      </c>
      <c r="AA5" s="31">
        <v>3.4</v>
      </c>
    </row>
    <row r="6" spans="1:27" ht="45.75" thickBot="1" x14ac:dyDescent="0.3">
      <c r="A6" s="237">
        <v>1</v>
      </c>
      <c r="B6" s="409"/>
      <c r="C6" s="237">
        <v>1</v>
      </c>
      <c r="D6" s="411"/>
      <c r="E6" s="52" t="s">
        <v>87</v>
      </c>
      <c r="F6" s="42" t="s">
        <v>53</v>
      </c>
      <c r="G6" s="97" t="str">
        <f>'Integración Apreciación '!O22</f>
        <v>NA</v>
      </c>
      <c r="H6" s="213">
        <f>'Integración Documental'!J35</f>
        <v>5</v>
      </c>
      <c r="I6" s="45" t="str">
        <f>Estadistica!K8</f>
        <v>NA</v>
      </c>
      <c r="J6" s="213">
        <f t="shared" si="0"/>
        <v>5</v>
      </c>
      <c r="K6" s="17" t="str">
        <f t="shared" si="1"/>
        <v>A</v>
      </c>
      <c r="L6" s="397"/>
      <c r="M6" s="397"/>
      <c r="N6" s="328"/>
      <c r="O6" s="328"/>
      <c r="P6" s="397"/>
      <c r="Q6" s="328"/>
      <c r="T6" s="113" t="s">
        <v>10</v>
      </c>
      <c r="U6" s="116">
        <v>0.2</v>
      </c>
      <c r="X6" s="23" t="s">
        <v>46</v>
      </c>
      <c r="Y6" s="33" t="s">
        <v>40</v>
      </c>
      <c r="Z6" s="19">
        <v>3.5</v>
      </c>
      <c r="AA6" s="31">
        <v>3.9</v>
      </c>
    </row>
    <row r="7" spans="1:27" ht="45" x14ac:dyDescent="0.25">
      <c r="A7" s="237">
        <v>1</v>
      </c>
      <c r="B7" s="409"/>
      <c r="C7" s="237">
        <v>1</v>
      </c>
      <c r="D7" s="411"/>
      <c r="E7" s="52" t="s">
        <v>88</v>
      </c>
      <c r="F7" s="42" t="s">
        <v>54</v>
      </c>
      <c r="G7" s="97" t="str">
        <f>'Integración Apreciación '!O23</f>
        <v>NA</v>
      </c>
      <c r="H7" s="213">
        <f>'Integración Documental'!J43</f>
        <v>5</v>
      </c>
      <c r="I7" s="45" t="str">
        <f>Estadistica!K9</f>
        <v>NA</v>
      </c>
      <c r="J7" s="213">
        <f t="shared" si="0"/>
        <v>5</v>
      </c>
      <c r="K7" s="17" t="str">
        <f t="shared" si="1"/>
        <v>A</v>
      </c>
      <c r="L7" s="398"/>
      <c r="M7" s="397"/>
      <c r="N7" s="329"/>
      <c r="O7" s="328"/>
      <c r="P7" s="397"/>
      <c r="Q7" s="328"/>
      <c r="X7" s="23" t="s">
        <v>47</v>
      </c>
      <c r="Y7" s="33" t="s">
        <v>37</v>
      </c>
      <c r="Z7" s="19">
        <v>4</v>
      </c>
      <c r="AA7" s="31">
        <v>4.4000000000000004</v>
      </c>
    </row>
    <row r="8" spans="1:27" ht="30.75" thickBot="1" x14ac:dyDescent="0.3">
      <c r="A8" s="237">
        <v>1</v>
      </c>
      <c r="B8" s="409"/>
      <c r="C8" s="237">
        <v>2</v>
      </c>
      <c r="D8" s="323" t="s">
        <v>96</v>
      </c>
      <c r="E8" s="52" t="s">
        <v>55</v>
      </c>
      <c r="F8" s="42" t="s">
        <v>97</v>
      </c>
      <c r="G8" s="97" t="str">
        <f>'Integración Apreciación '!O24</f>
        <v>NA</v>
      </c>
      <c r="H8" s="213">
        <f>'Integración Documental'!J47</f>
        <v>5</v>
      </c>
      <c r="I8" s="45" t="str">
        <f>Estadistica!K10</f>
        <v>NA</v>
      </c>
      <c r="J8" s="213">
        <f t="shared" si="0"/>
        <v>5</v>
      </c>
      <c r="K8" s="17" t="str">
        <f t="shared" si="1"/>
        <v>A</v>
      </c>
      <c r="L8" s="396">
        <f>AVERAGE(J8:J11)</f>
        <v>4.8336950198044457</v>
      </c>
      <c r="M8" s="397"/>
      <c r="N8" s="327" t="str">
        <f>IF(((L8&gt;=$Z$4)*AND(L8&lt;=$AA$4)),$Y$4,IF(((L8&gt;$AA$4)*AND(L8&lt;=$AA$5)),$Y$5,IF(((L8&gt;$AA$5)*AND(L8&lt;=$AA$6)),$Y$6,IF(((L8&gt;$AA$6)*AND(L8&lt;=$AA$7)),$Y$7,IF(((L8&gt;$AA$7)*AND(L8&lt;=$AA$8)),$Y$8,IF(EXACT(L8,$Y$9),$Z$9))))))</f>
        <v>A</v>
      </c>
      <c r="O8" s="328"/>
      <c r="P8" s="397"/>
      <c r="Q8" s="328"/>
      <c r="X8" s="24" t="s">
        <v>48</v>
      </c>
      <c r="Y8" s="34" t="s">
        <v>36</v>
      </c>
      <c r="Z8" s="29">
        <v>4.5</v>
      </c>
      <c r="AA8" s="32">
        <v>5</v>
      </c>
    </row>
    <row r="9" spans="1:27" ht="30.75" thickBot="1" x14ac:dyDescent="0.3">
      <c r="A9" s="237">
        <v>1</v>
      </c>
      <c r="B9" s="409"/>
      <c r="C9" s="237">
        <v>2</v>
      </c>
      <c r="D9" s="323"/>
      <c r="E9" s="52" t="s">
        <v>56</v>
      </c>
      <c r="F9" s="42" t="s">
        <v>360</v>
      </c>
      <c r="G9" s="213">
        <f>'Integración Apreciación '!O25</f>
        <v>3.6695601584355657</v>
      </c>
      <c r="H9" s="105">
        <f>'Integración Documental'!J55</f>
        <v>5</v>
      </c>
      <c r="I9" s="45" t="str">
        <f>Estadistica!K11</f>
        <v>NA</v>
      </c>
      <c r="J9" s="213">
        <f t="shared" si="0"/>
        <v>4.3347800792177829</v>
      </c>
      <c r="K9" s="17" t="str">
        <f t="shared" si="1"/>
        <v>B</v>
      </c>
      <c r="L9" s="397"/>
      <c r="M9" s="397"/>
      <c r="N9" s="328"/>
      <c r="O9" s="328"/>
      <c r="P9" s="397"/>
      <c r="Q9" s="328"/>
      <c r="X9" s="24" t="s">
        <v>425</v>
      </c>
      <c r="Y9" s="70" t="s">
        <v>64</v>
      </c>
      <c r="Z9" s="29" t="s">
        <v>64</v>
      </c>
      <c r="AA9" s="32" t="s">
        <v>64</v>
      </c>
    </row>
    <row r="10" spans="1:27" ht="60" customHeight="1" x14ac:dyDescent="0.25">
      <c r="A10" s="237">
        <v>1</v>
      </c>
      <c r="B10" s="409"/>
      <c r="C10" s="237">
        <v>2</v>
      </c>
      <c r="D10" s="323"/>
      <c r="E10" s="52" t="s">
        <v>80</v>
      </c>
      <c r="F10" s="42" t="s">
        <v>366</v>
      </c>
      <c r="G10" s="97" t="str">
        <f>'Integración Apreciación '!O31</f>
        <v>NA</v>
      </c>
      <c r="H10" s="105">
        <f>'Integración Documental'!J58</f>
        <v>5</v>
      </c>
      <c r="I10" s="45" t="str">
        <f>Estadistica!K12</f>
        <v>NA</v>
      </c>
      <c r="J10" s="105">
        <f t="shared" si="0"/>
        <v>5</v>
      </c>
      <c r="K10" s="17" t="str">
        <f t="shared" si="1"/>
        <v>A</v>
      </c>
      <c r="L10" s="397"/>
      <c r="M10" s="397"/>
      <c r="N10" s="328"/>
      <c r="O10" s="328"/>
      <c r="P10" s="397"/>
      <c r="Q10" s="328"/>
    </row>
    <row r="11" spans="1:27" ht="30" x14ac:dyDescent="0.25">
      <c r="A11" s="237">
        <v>1</v>
      </c>
      <c r="B11" s="409"/>
      <c r="C11" s="237">
        <v>2</v>
      </c>
      <c r="D11" s="323"/>
      <c r="E11" s="52" t="s">
        <v>81</v>
      </c>
      <c r="F11" s="42" t="s">
        <v>361</v>
      </c>
      <c r="G11" s="97" t="str">
        <f>'Integración Apreciación '!O32</f>
        <v>NA</v>
      </c>
      <c r="H11" s="105">
        <f>'Integración Documental'!J62</f>
        <v>5</v>
      </c>
      <c r="I11" s="45" t="str">
        <f>Estadistica!K13</f>
        <v>NA</v>
      </c>
      <c r="J11" s="105">
        <f t="shared" si="0"/>
        <v>5</v>
      </c>
      <c r="K11" s="17" t="str">
        <f t="shared" si="1"/>
        <v>A</v>
      </c>
      <c r="L11" s="398"/>
      <c r="M11" s="397"/>
      <c r="N11" s="329"/>
      <c r="O11" s="328"/>
      <c r="P11" s="397"/>
      <c r="Q11" s="328"/>
    </row>
    <row r="12" spans="1:27" ht="30" x14ac:dyDescent="0.25">
      <c r="A12" s="237">
        <v>1</v>
      </c>
      <c r="B12" s="409"/>
      <c r="C12" s="237">
        <v>3</v>
      </c>
      <c r="D12" s="407" t="s">
        <v>98</v>
      </c>
      <c r="E12" s="52" t="s">
        <v>55</v>
      </c>
      <c r="F12" s="42" t="s">
        <v>367</v>
      </c>
      <c r="G12" s="97" t="str">
        <f>'Integración Apreciación '!O33</f>
        <v>NA</v>
      </c>
      <c r="H12" s="105">
        <f>'Integración Documental'!J65</f>
        <v>2.5</v>
      </c>
      <c r="I12" s="45" t="str">
        <f>Estadistica!K14</f>
        <v>NA</v>
      </c>
      <c r="J12" s="105">
        <f t="shared" si="0"/>
        <v>2.5</v>
      </c>
      <c r="K12" s="17" t="str">
        <f t="shared" si="1"/>
        <v>D</v>
      </c>
      <c r="L12" s="396">
        <f>AVERAGE(J12:J20)</f>
        <v>3.5261752136752134</v>
      </c>
      <c r="M12" s="397"/>
      <c r="N12" s="327" t="str">
        <f>IF(((L12&gt;=$Z$4)*AND(L12&lt;=$AA$4)),$Y$4,IF(((L12&gt;$AA$4)*AND(L12&lt;=$AA$5)),$Y$5,IF(((L12&gt;$AA$5)*AND(L12&lt;=$AA$6)),$Y$6,IF(((L12&gt;$AA$6)*AND(L12&lt;=$AA$7)),$Y$7,IF(((L12&gt;$AA$7)*AND(L12&lt;=$AA$8)),$Y$8,IF(EXACT(L12,$Y$9),$Z$9))))))</f>
        <v>C</v>
      </c>
      <c r="O12" s="328"/>
      <c r="P12" s="397"/>
      <c r="Q12" s="328"/>
    </row>
    <row r="13" spans="1:27" ht="75" x14ac:dyDescent="0.25">
      <c r="A13" s="237">
        <v>1</v>
      </c>
      <c r="B13" s="409"/>
      <c r="C13" s="237">
        <v>3</v>
      </c>
      <c r="D13" s="407"/>
      <c r="E13" s="52" t="s">
        <v>56</v>
      </c>
      <c r="F13" s="42" t="s">
        <v>99</v>
      </c>
      <c r="G13" s="97" t="str">
        <f>'Integración Apreciación '!O34</f>
        <v>NA</v>
      </c>
      <c r="H13" s="105">
        <f>'Integración Documental'!J69</f>
        <v>4</v>
      </c>
      <c r="I13" s="45" t="str">
        <f>Estadistica!K15</f>
        <v>NA</v>
      </c>
      <c r="J13" s="105">
        <f t="shared" si="0"/>
        <v>4</v>
      </c>
      <c r="K13" s="17" t="str">
        <f t="shared" si="1"/>
        <v>B</v>
      </c>
      <c r="L13" s="397"/>
      <c r="M13" s="397"/>
      <c r="N13" s="328"/>
      <c r="O13" s="328"/>
      <c r="P13" s="397"/>
      <c r="Q13" s="328"/>
    </row>
    <row r="14" spans="1:27" ht="30" x14ac:dyDescent="0.25">
      <c r="A14" s="237">
        <v>1</v>
      </c>
      <c r="B14" s="409"/>
      <c r="C14" s="237">
        <v>3</v>
      </c>
      <c r="D14" s="407"/>
      <c r="E14" s="52" t="s">
        <v>80</v>
      </c>
      <c r="F14" s="42" t="s">
        <v>362</v>
      </c>
      <c r="G14" s="213">
        <f>'Integración Apreciación '!O35</f>
        <v>4.3189102564102573</v>
      </c>
      <c r="H14" s="105">
        <f>'Integración Documental'!J74</f>
        <v>4</v>
      </c>
      <c r="I14" s="45" t="str">
        <f>Estadistica!K16</f>
        <v>NA</v>
      </c>
      <c r="J14" s="213">
        <f t="shared" si="0"/>
        <v>4.1594551282051286</v>
      </c>
      <c r="K14" s="17" t="str">
        <f t="shared" si="1"/>
        <v>B</v>
      </c>
      <c r="L14" s="397"/>
      <c r="M14" s="397"/>
      <c r="N14" s="328"/>
      <c r="O14" s="328"/>
      <c r="P14" s="397"/>
      <c r="Q14" s="328"/>
    </row>
    <row r="15" spans="1:27" ht="30" x14ac:dyDescent="0.25">
      <c r="A15" s="237">
        <v>1</v>
      </c>
      <c r="B15" s="409"/>
      <c r="C15" s="237">
        <v>3</v>
      </c>
      <c r="D15" s="407"/>
      <c r="E15" s="52" t="s">
        <v>81</v>
      </c>
      <c r="F15" s="42" t="s">
        <v>100</v>
      </c>
      <c r="G15" s="213">
        <f>'Integración Apreciación '!O37</f>
        <v>4.3189102564102573</v>
      </c>
      <c r="H15" s="105">
        <f>'Integración Documental'!J79</f>
        <v>4</v>
      </c>
      <c r="I15" s="45" t="str">
        <f>Estadistica!K17</f>
        <v>NA</v>
      </c>
      <c r="J15" s="213">
        <f t="shared" si="0"/>
        <v>4.1594551282051286</v>
      </c>
      <c r="K15" s="17" t="str">
        <f t="shared" si="1"/>
        <v>B</v>
      </c>
      <c r="L15" s="397"/>
      <c r="M15" s="397"/>
      <c r="N15" s="328"/>
      <c r="O15" s="328"/>
      <c r="P15" s="397"/>
      <c r="Q15" s="328"/>
    </row>
    <row r="16" spans="1:27" ht="45" x14ac:dyDescent="0.25">
      <c r="A16" s="237">
        <v>1</v>
      </c>
      <c r="B16" s="409"/>
      <c r="C16" s="237">
        <v>3</v>
      </c>
      <c r="D16" s="407"/>
      <c r="E16" s="52" t="s">
        <v>87</v>
      </c>
      <c r="F16" s="42" t="s">
        <v>363</v>
      </c>
      <c r="G16" s="97" t="str">
        <f>'Integración Apreciación '!O39</f>
        <v>NA</v>
      </c>
      <c r="H16" s="105">
        <f>'Integración Documental'!J84</f>
        <v>2.5</v>
      </c>
      <c r="I16" s="45" t="str">
        <f>Estadistica!K18</f>
        <v>NA</v>
      </c>
      <c r="J16" s="105">
        <f t="shared" si="0"/>
        <v>2.5</v>
      </c>
      <c r="K16" s="17" t="str">
        <f t="shared" si="1"/>
        <v>D</v>
      </c>
      <c r="L16" s="397"/>
      <c r="M16" s="397"/>
      <c r="N16" s="328"/>
      <c r="O16" s="328"/>
      <c r="P16" s="397"/>
      <c r="Q16" s="328"/>
    </row>
    <row r="17" spans="1:17" ht="30" customHeight="1" x14ac:dyDescent="0.25">
      <c r="A17" s="237">
        <v>1</v>
      </c>
      <c r="B17" s="409"/>
      <c r="C17" s="237">
        <v>3</v>
      </c>
      <c r="D17" s="407"/>
      <c r="E17" s="52" t="s">
        <v>88</v>
      </c>
      <c r="F17" s="42" t="s">
        <v>364</v>
      </c>
      <c r="G17" s="97" t="str">
        <f>'Integración Apreciación '!O40</f>
        <v>NA</v>
      </c>
      <c r="H17" s="274">
        <f>'Integración Documental'!J88</f>
        <v>3.3333333333333335</v>
      </c>
      <c r="I17" s="45" t="str">
        <f>Estadistica!K19</f>
        <v>NA</v>
      </c>
      <c r="J17" s="105">
        <f t="shared" si="0"/>
        <v>3.3333333333333335</v>
      </c>
      <c r="K17" s="17" t="str">
        <f t="shared" si="1"/>
        <v>D</v>
      </c>
      <c r="L17" s="397"/>
      <c r="M17" s="397"/>
      <c r="N17" s="328"/>
      <c r="O17" s="328"/>
      <c r="P17" s="397"/>
      <c r="Q17" s="328"/>
    </row>
    <row r="18" spans="1:17" ht="30" x14ac:dyDescent="0.25">
      <c r="A18" s="237">
        <v>1</v>
      </c>
      <c r="B18" s="409"/>
      <c r="C18" s="237">
        <v>3</v>
      </c>
      <c r="D18" s="407"/>
      <c r="E18" s="52" t="s">
        <v>102</v>
      </c>
      <c r="F18" s="42" t="s">
        <v>101</v>
      </c>
      <c r="G18" s="97" t="str">
        <f>'Integración Apreciación '!O41</f>
        <v>NA</v>
      </c>
      <c r="H18" s="105">
        <f>'Integración Documental'!J91</f>
        <v>4</v>
      </c>
      <c r="I18" s="45" t="str">
        <f>Estadistica!K20</f>
        <v>NA</v>
      </c>
      <c r="J18" s="105">
        <f t="shared" si="0"/>
        <v>4</v>
      </c>
      <c r="K18" s="17" t="str">
        <f t="shared" si="1"/>
        <v>B</v>
      </c>
      <c r="L18" s="397"/>
      <c r="M18" s="397"/>
      <c r="N18" s="328"/>
      <c r="O18" s="328"/>
      <c r="P18" s="397"/>
      <c r="Q18" s="328"/>
    </row>
    <row r="19" spans="1:17" ht="60" x14ac:dyDescent="0.25">
      <c r="A19" s="237">
        <v>1</v>
      </c>
      <c r="B19" s="409"/>
      <c r="C19" s="237">
        <v>3</v>
      </c>
      <c r="D19" s="407"/>
      <c r="E19" s="52" t="s">
        <v>104</v>
      </c>
      <c r="F19" s="42" t="s">
        <v>103</v>
      </c>
      <c r="G19" s="97" t="str">
        <f>'Integración Apreciación '!O42</f>
        <v>NA</v>
      </c>
      <c r="H19" s="274">
        <f>'Integración Documental'!J96</f>
        <v>3.3333333333333335</v>
      </c>
      <c r="I19" s="45" t="str">
        <f>Estadistica!K21</f>
        <v>NA</v>
      </c>
      <c r="J19" s="105">
        <f t="shared" si="0"/>
        <v>3.3333333333333335</v>
      </c>
      <c r="K19" s="17" t="str">
        <f t="shared" si="1"/>
        <v>D</v>
      </c>
      <c r="L19" s="397"/>
      <c r="M19" s="397"/>
      <c r="N19" s="328"/>
      <c r="O19" s="328"/>
      <c r="P19" s="397"/>
      <c r="Q19" s="328"/>
    </row>
    <row r="20" spans="1:17" ht="45" x14ac:dyDescent="0.25">
      <c r="A20" s="237">
        <v>1</v>
      </c>
      <c r="B20" s="410"/>
      <c r="C20" s="237">
        <v>3</v>
      </c>
      <c r="D20" s="407"/>
      <c r="E20" s="52" t="s">
        <v>106</v>
      </c>
      <c r="F20" s="42" t="s">
        <v>105</v>
      </c>
      <c r="G20" s="97" t="str">
        <f>'Integración Apreciación '!O43</f>
        <v>NA</v>
      </c>
      <c r="H20" s="274">
        <f>'Integración Documental'!J99</f>
        <v>3.75</v>
      </c>
      <c r="I20" s="45" t="str">
        <f>Estadistica!K22</f>
        <v>NA</v>
      </c>
      <c r="J20" s="105">
        <f t="shared" si="0"/>
        <v>3.75</v>
      </c>
      <c r="K20" s="17" t="str">
        <f t="shared" si="1"/>
        <v>C</v>
      </c>
      <c r="L20" s="398"/>
      <c r="M20" s="398"/>
      <c r="N20" s="329"/>
      <c r="O20" s="329"/>
      <c r="P20" s="397"/>
      <c r="Q20" s="328"/>
    </row>
    <row r="21" spans="1:17" ht="45" customHeight="1" x14ac:dyDescent="0.25">
      <c r="A21" s="234">
        <v>2</v>
      </c>
      <c r="B21" s="323" t="s">
        <v>107</v>
      </c>
      <c r="C21" s="237">
        <v>4</v>
      </c>
      <c r="D21" s="323" t="s">
        <v>108</v>
      </c>
      <c r="E21" s="52" t="s">
        <v>55</v>
      </c>
      <c r="F21" s="42" t="s">
        <v>435</v>
      </c>
      <c r="G21" s="213">
        <f>'Integración Apreciación '!O44</f>
        <v>4.0807628972823586</v>
      </c>
      <c r="H21" s="105">
        <f>'Integración Documental'!J103</f>
        <v>5</v>
      </c>
      <c r="I21" s="45">
        <f>Estadistica!K23</f>
        <v>5</v>
      </c>
      <c r="J21" s="213">
        <f t="shared" si="0"/>
        <v>4.8161525794564719</v>
      </c>
      <c r="K21" s="17" t="str">
        <f t="shared" si="1"/>
        <v>A</v>
      </c>
      <c r="L21" s="396">
        <f>AVERAGE(J21:J24)</f>
        <v>3.2873714781974512</v>
      </c>
      <c r="M21" s="396">
        <f>(L21*Ponderación!D5)+(L25*Ponderación!D6)+(L28*Ponderación!D7)+(L32*Ponderación!D8)</f>
        <v>4.1966494633329496</v>
      </c>
      <c r="N21" s="327" t="str">
        <f>IF(((L21&gt;=$Z$4)*AND(L21&lt;=$AA$4)),$Y$4,IF(((L21&gt;$AA$4)*AND(L21&lt;=$AA$5)),$Y$5,IF(((L21&gt;$AA$5)*AND(L21&lt;=$AA$6)),$Y$6,IF(((L21&gt;$AA$6)*AND(L21&lt;=$AA$7)),$Y$7,IF(((L21&gt;$AA$7)*AND(L21&lt;=$AA$8)),$Y$8,IF(EXACT(L21,$Y$9),$Z$9))))))</f>
        <v>D</v>
      </c>
      <c r="O21" s="327" t="str">
        <f>IF(((M21&gt;=$Z$4)*AND(M21&lt;=$AA$4)),$Y$4,IF(((M21&gt;$AA$4)*AND(M21&lt;=$AA$5)),$Y$5,IF(((M21&gt;$AA$5)*AND(M21&lt;=$AA$6)),$Y$6,IF(((M21&gt;$AA$6)*AND(M21&lt;=$AA$7)),$Y$7,IF(((M21&gt;$AA$7)*AND(M21&lt;=$AA$8)),$Y$8,IF(EXACT(M21,$Y$9),$Z$9))))))</f>
        <v>B</v>
      </c>
      <c r="P21" s="397"/>
      <c r="Q21" s="328"/>
    </row>
    <row r="22" spans="1:17" ht="30" x14ac:dyDescent="0.25">
      <c r="A22" s="234">
        <v>2</v>
      </c>
      <c r="B22" s="323"/>
      <c r="C22" s="237">
        <v>4</v>
      </c>
      <c r="D22" s="323"/>
      <c r="E22" s="52" t="s">
        <v>56</v>
      </c>
      <c r="F22" s="42" t="s">
        <v>109</v>
      </c>
      <c r="G22" s="97" t="str">
        <f>'Integración Apreciación '!O50</f>
        <v>NA</v>
      </c>
      <c r="H22" s="105" t="str">
        <f>'Integración Documental'!J109</f>
        <v>NA</v>
      </c>
      <c r="I22" s="45">
        <f>Estadistica!K24</f>
        <v>5</v>
      </c>
      <c r="J22" s="105">
        <f t="shared" si="0"/>
        <v>5</v>
      </c>
      <c r="K22" s="17" t="str">
        <f t="shared" si="1"/>
        <v>A</v>
      </c>
      <c r="L22" s="397"/>
      <c r="M22" s="397"/>
      <c r="N22" s="328"/>
      <c r="O22" s="328"/>
      <c r="P22" s="397"/>
      <c r="Q22" s="328"/>
    </row>
    <row r="23" spans="1:17" ht="30" x14ac:dyDescent="0.25">
      <c r="A23" s="234">
        <v>2</v>
      </c>
      <c r="B23" s="323"/>
      <c r="C23" s="237">
        <v>4</v>
      </c>
      <c r="D23" s="323"/>
      <c r="E23" s="52" t="s">
        <v>80</v>
      </c>
      <c r="F23" s="42" t="s">
        <v>110</v>
      </c>
      <c r="G23" s="97" t="str">
        <f>'Integración Apreciación '!O51</f>
        <v>NA</v>
      </c>
      <c r="H23" s="105">
        <f>'Integración Documental'!J110</f>
        <v>0</v>
      </c>
      <c r="I23" s="45" t="str">
        <f>Estadistica!K25</f>
        <v>NA</v>
      </c>
      <c r="J23" s="105">
        <f t="shared" si="0"/>
        <v>0</v>
      </c>
      <c r="K23" s="17" t="str">
        <f t="shared" si="1"/>
        <v>E</v>
      </c>
      <c r="L23" s="397"/>
      <c r="M23" s="397"/>
      <c r="N23" s="328"/>
      <c r="O23" s="328"/>
      <c r="P23" s="397"/>
      <c r="Q23" s="328"/>
    </row>
    <row r="24" spans="1:17" ht="45" x14ac:dyDescent="0.25">
      <c r="A24" s="234">
        <v>2</v>
      </c>
      <c r="B24" s="323"/>
      <c r="C24" s="237">
        <v>4</v>
      </c>
      <c r="D24" s="323"/>
      <c r="E24" s="52" t="s">
        <v>81</v>
      </c>
      <c r="F24" s="42" t="s">
        <v>368</v>
      </c>
      <c r="G24" s="97" t="str">
        <f>'Integración Apreciación '!O52</f>
        <v>NA</v>
      </c>
      <c r="H24" s="213">
        <f>'Integración Documental'!J112</f>
        <v>3.3333333333333335</v>
      </c>
      <c r="I24" s="45" t="str">
        <f>Estadistica!K26</f>
        <v>NA</v>
      </c>
      <c r="J24" s="213">
        <f t="shared" si="0"/>
        <v>3.3333333333333335</v>
      </c>
      <c r="K24" s="17" t="str">
        <f t="shared" si="1"/>
        <v>D</v>
      </c>
      <c r="L24" s="398"/>
      <c r="M24" s="397"/>
      <c r="N24" s="329"/>
      <c r="O24" s="328"/>
      <c r="P24" s="397"/>
      <c r="Q24" s="328"/>
    </row>
    <row r="25" spans="1:17" ht="45" x14ac:dyDescent="0.25">
      <c r="A25" s="234">
        <v>2</v>
      </c>
      <c r="B25" s="323"/>
      <c r="C25" s="234">
        <v>5</v>
      </c>
      <c r="D25" s="323" t="s">
        <v>111</v>
      </c>
      <c r="E25" s="52" t="s">
        <v>55</v>
      </c>
      <c r="F25" s="42" t="s">
        <v>112</v>
      </c>
      <c r="G25" s="97" t="str">
        <f>'Integración Apreciación '!O53</f>
        <v>NA</v>
      </c>
      <c r="H25" s="213">
        <f>'Integración Documental'!J115</f>
        <v>5</v>
      </c>
      <c r="I25" s="45">
        <f>Estadistica!K27</f>
        <v>5</v>
      </c>
      <c r="J25" s="213">
        <f t="shared" si="0"/>
        <v>5</v>
      </c>
      <c r="K25" s="17" t="str">
        <f t="shared" si="1"/>
        <v>A</v>
      </c>
      <c r="L25" s="396">
        <f>AVERAGE(J25:J27)</f>
        <v>4.6520891550232868</v>
      </c>
      <c r="M25" s="397"/>
      <c r="N25" s="327" t="str">
        <f>IF(((L25&gt;=$Z$4)*AND(L25&lt;=$AA$4)),$Y$4,IF(((L25&gt;$AA$4)*AND(L25&lt;=$AA$5)),$Y$5,IF(((L25&gt;$AA$5)*AND(L25&lt;=$AA$6)),$Y$6,IF(((L25&gt;$AA$6)*AND(L25&lt;=$AA$7)),$Y$7,IF(((L25&gt;$AA$7)*AND(L25&lt;=$AA$8)),$Y$8,IF(EXACT(L25,$Y$9),$Z$9))))))</f>
        <v>A</v>
      </c>
      <c r="O25" s="328"/>
      <c r="P25" s="397"/>
      <c r="Q25" s="328"/>
    </row>
    <row r="26" spans="1:17" ht="30" customHeight="1" x14ac:dyDescent="0.25">
      <c r="A26" s="234">
        <v>2</v>
      </c>
      <c r="B26" s="323"/>
      <c r="C26" s="234">
        <v>5</v>
      </c>
      <c r="D26" s="323"/>
      <c r="E26" s="52" t="s">
        <v>56</v>
      </c>
      <c r="F26" s="42" t="s">
        <v>113</v>
      </c>
      <c r="G26" s="213">
        <f>'Integración Apreciación '!O54</f>
        <v>3.9562674650698604</v>
      </c>
      <c r="H26" s="105" t="str">
        <f>'Integración Documental'!J121</f>
        <v>NA</v>
      </c>
      <c r="I26" s="45" t="str">
        <f>Estadistica!K28</f>
        <v>NA</v>
      </c>
      <c r="J26" s="213">
        <f t="shared" si="0"/>
        <v>3.9562674650698604</v>
      </c>
      <c r="K26" s="17" t="str">
        <f t="shared" si="1"/>
        <v>B</v>
      </c>
      <c r="L26" s="397"/>
      <c r="M26" s="397"/>
      <c r="N26" s="328"/>
      <c r="O26" s="328"/>
      <c r="P26" s="397"/>
      <c r="Q26" s="328"/>
    </row>
    <row r="27" spans="1:17" ht="75" x14ac:dyDescent="0.25">
      <c r="A27" s="234">
        <v>2</v>
      </c>
      <c r="B27" s="323"/>
      <c r="C27" s="234">
        <v>5</v>
      </c>
      <c r="D27" s="323"/>
      <c r="E27" s="52" t="s">
        <v>80</v>
      </c>
      <c r="F27" s="42" t="s">
        <v>114</v>
      </c>
      <c r="G27" s="97" t="str">
        <f>'Integración Apreciación '!O56</f>
        <v>NA</v>
      </c>
      <c r="H27" s="105">
        <f>'Integración Documental'!J123</f>
        <v>5</v>
      </c>
      <c r="I27" s="45">
        <f>Estadistica!K29</f>
        <v>5</v>
      </c>
      <c r="J27" s="105">
        <f t="shared" si="0"/>
        <v>5</v>
      </c>
      <c r="K27" s="17" t="str">
        <f t="shared" si="1"/>
        <v>A</v>
      </c>
      <c r="L27" s="398"/>
      <c r="M27" s="397"/>
      <c r="N27" s="329"/>
      <c r="O27" s="328"/>
      <c r="P27" s="397"/>
      <c r="Q27" s="328"/>
    </row>
    <row r="28" spans="1:17" ht="30" x14ac:dyDescent="0.25">
      <c r="A28" s="234">
        <v>2</v>
      </c>
      <c r="B28" s="323"/>
      <c r="C28" s="237">
        <v>6</v>
      </c>
      <c r="D28" s="323" t="s">
        <v>115</v>
      </c>
      <c r="E28" s="52" t="s">
        <v>55</v>
      </c>
      <c r="F28" s="42" t="s">
        <v>369</v>
      </c>
      <c r="G28" s="97" t="str">
        <f>'Integración Apreciación '!O57</f>
        <v>NA</v>
      </c>
      <c r="H28" s="105">
        <f>'Integración Documental'!J124</f>
        <v>5</v>
      </c>
      <c r="I28" s="45" t="str">
        <f>Estadistica!K30</f>
        <v>NA</v>
      </c>
      <c r="J28" s="105">
        <f t="shared" si="0"/>
        <v>5</v>
      </c>
      <c r="K28" s="17" t="str">
        <f t="shared" si="1"/>
        <v>A</v>
      </c>
      <c r="L28" s="396">
        <f>AVERAGE(J28:J31)</f>
        <v>4.4214071856287429</v>
      </c>
      <c r="M28" s="397"/>
      <c r="N28" s="327" t="s">
        <v>37</v>
      </c>
      <c r="O28" s="328"/>
      <c r="P28" s="397"/>
      <c r="Q28" s="328"/>
    </row>
    <row r="29" spans="1:17" ht="31.5" customHeight="1" x14ac:dyDescent="0.25">
      <c r="A29" s="234">
        <v>2</v>
      </c>
      <c r="B29" s="323"/>
      <c r="C29" s="237">
        <v>6</v>
      </c>
      <c r="D29" s="323"/>
      <c r="E29" s="52" t="s">
        <v>56</v>
      </c>
      <c r="F29" s="42" t="s">
        <v>370</v>
      </c>
      <c r="G29" s="97" t="str">
        <f>'Integración Apreciación '!O58</f>
        <v>NA</v>
      </c>
      <c r="H29" s="105">
        <f>'Integración Documental'!J126</f>
        <v>3.75</v>
      </c>
      <c r="I29" s="45" t="str">
        <f>Estadistica!K31</f>
        <v>NA</v>
      </c>
      <c r="J29" s="105">
        <f t="shared" si="0"/>
        <v>3.75</v>
      </c>
      <c r="K29" s="17" t="str">
        <f t="shared" si="1"/>
        <v>C</v>
      </c>
      <c r="L29" s="397"/>
      <c r="M29" s="397"/>
      <c r="N29" s="328"/>
      <c r="O29" s="328"/>
      <c r="P29" s="397"/>
      <c r="Q29" s="328"/>
    </row>
    <row r="30" spans="1:17" ht="75" x14ac:dyDescent="0.25">
      <c r="A30" s="234">
        <v>2</v>
      </c>
      <c r="B30" s="323"/>
      <c r="C30" s="237">
        <v>6</v>
      </c>
      <c r="D30" s="323"/>
      <c r="E30" s="52" t="s">
        <v>80</v>
      </c>
      <c r="F30" s="42" t="s">
        <v>116</v>
      </c>
      <c r="G30" s="213">
        <f>'Integración Apreciación '!O59</f>
        <v>3.9356287425149703</v>
      </c>
      <c r="H30" s="105" t="str">
        <f>'Integración Documental'!J130</f>
        <v>NA</v>
      </c>
      <c r="I30" s="45" t="str">
        <f>Estadistica!K32</f>
        <v>NA</v>
      </c>
      <c r="J30" s="213">
        <f t="shared" si="0"/>
        <v>3.9356287425149703</v>
      </c>
      <c r="K30" s="17" t="str">
        <f t="shared" si="1"/>
        <v>B</v>
      </c>
      <c r="L30" s="397"/>
      <c r="M30" s="397"/>
      <c r="N30" s="328"/>
      <c r="O30" s="328"/>
      <c r="P30" s="397"/>
      <c r="Q30" s="328"/>
    </row>
    <row r="31" spans="1:17" ht="60" x14ac:dyDescent="0.25">
      <c r="A31" s="234">
        <v>2</v>
      </c>
      <c r="B31" s="323"/>
      <c r="C31" s="237">
        <v>6</v>
      </c>
      <c r="D31" s="323"/>
      <c r="E31" s="52" t="s">
        <v>81</v>
      </c>
      <c r="F31" s="42" t="s">
        <v>117</v>
      </c>
      <c r="G31" s="97" t="str">
        <f>'Integración Apreciación '!O65</f>
        <v>NA</v>
      </c>
      <c r="H31" s="105">
        <f>'Integración Documental'!J131</f>
        <v>5</v>
      </c>
      <c r="I31" s="45" t="str">
        <f>Estadistica!K33</f>
        <v>NA</v>
      </c>
      <c r="J31" s="105">
        <f t="shared" si="0"/>
        <v>5</v>
      </c>
      <c r="K31" s="17" t="str">
        <f t="shared" si="1"/>
        <v>A</v>
      </c>
      <c r="L31" s="398"/>
      <c r="M31" s="397"/>
      <c r="N31" s="329"/>
      <c r="O31" s="328"/>
      <c r="P31" s="397"/>
      <c r="Q31" s="328"/>
    </row>
    <row r="32" spans="1:17" x14ac:dyDescent="0.25">
      <c r="A32" s="234">
        <v>2</v>
      </c>
      <c r="B32" s="323"/>
      <c r="C32" s="237">
        <v>7</v>
      </c>
      <c r="D32" s="323" t="s">
        <v>118</v>
      </c>
      <c r="E32" s="52" t="s">
        <v>55</v>
      </c>
      <c r="F32" s="57" t="s">
        <v>119</v>
      </c>
      <c r="G32" s="97" t="str">
        <f>'Integración Apreciación '!O66</f>
        <v>NA</v>
      </c>
      <c r="H32" s="105">
        <f>'Integración Documental'!J132</f>
        <v>5</v>
      </c>
      <c r="I32" s="45" t="str">
        <f>Estadistica!K34</f>
        <v>NA</v>
      </c>
      <c r="J32" s="105">
        <f t="shared" si="0"/>
        <v>5</v>
      </c>
      <c r="K32" s="17" t="str">
        <f t="shared" si="1"/>
        <v>A</v>
      </c>
      <c r="L32" s="396">
        <f>AVERAGE(J32:J36)</f>
        <v>4.4027317032601463</v>
      </c>
      <c r="M32" s="397"/>
      <c r="N32" s="327" t="s">
        <v>37</v>
      </c>
      <c r="O32" s="328"/>
      <c r="P32" s="397"/>
      <c r="Q32" s="328"/>
    </row>
    <row r="33" spans="1:17" ht="30" x14ac:dyDescent="0.25">
      <c r="A33" s="234">
        <v>2</v>
      </c>
      <c r="B33" s="323"/>
      <c r="C33" s="237">
        <v>7</v>
      </c>
      <c r="D33" s="323"/>
      <c r="E33" s="52" t="s">
        <v>56</v>
      </c>
      <c r="F33" s="42" t="s">
        <v>371</v>
      </c>
      <c r="G33" s="213">
        <f>'Integración Apreciación '!O67</f>
        <v>4.1069718895542247</v>
      </c>
      <c r="H33" s="105" t="str">
        <f>'Integración Documental'!J134</f>
        <v>NA</v>
      </c>
      <c r="I33" s="45" t="str">
        <f>Estadistica!K35</f>
        <v>NA</v>
      </c>
      <c r="J33" s="213">
        <f t="shared" si="0"/>
        <v>4.1069718895542247</v>
      </c>
      <c r="K33" s="17" t="str">
        <f t="shared" si="1"/>
        <v>B</v>
      </c>
      <c r="L33" s="397"/>
      <c r="M33" s="397"/>
      <c r="N33" s="328"/>
      <c r="O33" s="328"/>
      <c r="P33" s="397"/>
      <c r="Q33" s="328"/>
    </row>
    <row r="34" spans="1:17" ht="30" x14ac:dyDescent="0.25">
      <c r="A34" s="234">
        <v>2</v>
      </c>
      <c r="B34" s="323"/>
      <c r="C34" s="237">
        <v>7</v>
      </c>
      <c r="D34" s="323"/>
      <c r="E34" s="52" t="s">
        <v>80</v>
      </c>
      <c r="F34" s="42" t="s">
        <v>372</v>
      </c>
      <c r="G34" s="97" t="str">
        <f>'Integración Apreciación '!O70</f>
        <v>NA</v>
      </c>
      <c r="H34" s="105">
        <f>'Integración Documental'!J135</f>
        <v>5</v>
      </c>
      <c r="I34" s="45" t="str">
        <f>Estadistica!K36</f>
        <v>NA</v>
      </c>
      <c r="J34" s="213">
        <f t="shared" si="0"/>
        <v>5</v>
      </c>
      <c r="K34" s="17" t="str">
        <f t="shared" si="1"/>
        <v>A</v>
      </c>
      <c r="L34" s="397"/>
      <c r="M34" s="397"/>
      <c r="N34" s="328"/>
      <c r="O34" s="328"/>
      <c r="P34" s="397"/>
      <c r="Q34" s="328"/>
    </row>
    <row r="35" spans="1:17" ht="30" x14ac:dyDescent="0.25">
      <c r="A35" s="234">
        <v>2</v>
      </c>
      <c r="B35" s="323"/>
      <c r="C35" s="237">
        <v>7</v>
      </c>
      <c r="D35" s="323"/>
      <c r="E35" s="52" t="s">
        <v>81</v>
      </c>
      <c r="F35" s="42" t="s">
        <v>120</v>
      </c>
      <c r="G35" s="213">
        <f>'Integración Apreciación '!O71</f>
        <v>2.9066866267465072</v>
      </c>
      <c r="H35" s="105" t="str">
        <f>'Integración Documental'!J136</f>
        <v>NA</v>
      </c>
      <c r="I35" s="45" t="str">
        <f>Estadistica!K37</f>
        <v>NA</v>
      </c>
      <c r="J35" s="213">
        <f t="shared" si="0"/>
        <v>2.9066866267465072</v>
      </c>
      <c r="K35" s="17" t="str">
        <f t="shared" si="1"/>
        <v>D</v>
      </c>
      <c r="L35" s="397"/>
      <c r="M35" s="397"/>
      <c r="N35" s="328"/>
      <c r="O35" s="328"/>
      <c r="P35" s="397"/>
      <c r="Q35" s="328"/>
    </row>
    <row r="36" spans="1:17" ht="30" x14ac:dyDescent="0.25">
      <c r="A36" s="234">
        <v>2</v>
      </c>
      <c r="B36" s="323"/>
      <c r="C36" s="237">
        <v>7</v>
      </c>
      <c r="D36" s="323"/>
      <c r="E36" s="52" t="s">
        <v>87</v>
      </c>
      <c r="F36" s="42" t="s">
        <v>121</v>
      </c>
      <c r="G36" s="97" t="str">
        <f>'Integración Apreciación '!O74</f>
        <v>NA</v>
      </c>
      <c r="H36" s="213">
        <f>'Integración Documental'!J137</f>
        <v>5</v>
      </c>
      <c r="I36" s="45" t="str">
        <f>Estadistica!K38</f>
        <v>NA</v>
      </c>
      <c r="J36" s="213">
        <f t="shared" si="0"/>
        <v>5</v>
      </c>
      <c r="K36" s="17" t="str">
        <f t="shared" si="1"/>
        <v>A</v>
      </c>
      <c r="L36" s="398"/>
      <c r="M36" s="398"/>
      <c r="N36" s="329"/>
      <c r="O36" s="329"/>
      <c r="P36" s="397"/>
      <c r="Q36" s="328"/>
    </row>
    <row r="37" spans="1:17" ht="45" customHeight="1" x14ac:dyDescent="0.25">
      <c r="A37" s="237">
        <v>3</v>
      </c>
      <c r="B37" s="323" t="s">
        <v>122</v>
      </c>
      <c r="C37" s="237">
        <v>8</v>
      </c>
      <c r="D37" s="323" t="s">
        <v>123</v>
      </c>
      <c r="E37" s="52" t="s">
        <v>55</v>
      </c>
      <c r="F37" s="42" t="s">
        <v>124</v>
      </c>
      <c r="G37" s="97" t="str">
        <f>'Integración Apreciación '!O75</f>
        <v>NA</v>
      </c>
      <c r="H37" s="105">
        <f>'Integración Documental'!J140</f>
        <v>5</v>
      </c>
      <c r="I37" s="45">
        <f>Estadistica!K39</f>
        <v>5</v>
      </c>
      <c r="J37" s="105">
        <f t="shared" si="0"/>
        <v>5</v>
      </c>
      <c r="K37" s="17" t="str">
        <f t="shared" si="1"/>
        <v>A</v>
      </c>
      <c r="L37" s="396">
        <f>AVERAGE(J37:J39)</f>
        <v>4.4745234222912194</v>
      </c>
      <c r="M37" s="396">
        <f>(L37*Ponderación!D9)+(L40*Ponderación!D10)+(L46*Ponderación!D11)+(L54*Ponderación!D12)+(L60*Ponderación!D13)+(L63*Ponderación!D14)+(L67*Ponderación!D15)+(L70*Ponderación!D16)</f>
        <v>4.3555340411769059</v>
      </c>
      <c r="N37" s="327" t="s">
        <v>37</v>
      </c>
      <c r="O37" s="327" t="str">
        <f>IF(((M37&gt;=$Z$4)*AND(M37&lt;=$AA$4)),$Y$4,IF(((M37&gt;$AA$4)*AND(M37&lt;=$AA$5)),$Y$5,IF(((M37&gt;$AA$5)*AND(M37&lt;=$AA$6)),$Y$6,IF(((M37&gt;$AA$6)*AND(M37&lt;=$AA$7)),$Y$7,IF(((M37&gt;$AA$7)*AND(M37&lt;=$AA$8)),$Y$8,IF(EXACT(M37,$Y$9),$Z$9))))))</f>
        <v>B</v>
      </c>
      <c r="P37" s="397"/>
      <c r="Q37" s="328"/>
    </row>
    <row r="38" spans="1:17" ht="27" customHeight="1" x14ac:dyDescent="0.25">
      <c r="A38" s="237">
        <v>3</v>
      </c>
      <c r="B38" s="323"/>
      <c r="C38" s="237">
        <v>8</v>
      </c>
      <c r="D38" s="323"/>
      <c r="E38" s="52" t="s">
        <v>56</v>
      </c>
      <c r="F38" s="42" t="s">
        <v>402</v>
      </c>
      <c r="G38" s="97" t="str">
        <f>'Integración Apreciación '!O76</f>
        <v>NA</v>
      </c>
      <c r="H38" s="105">
        <f>'Integración Documental'!J146</f>
        <v>5</v>
      </c>
      <c r="I38" s="45" t="str">
        <f>Estadistica!K40</f>
        <v>NA</v>
      </c>
      <c r="J38" s="105">
        <f t="shared" si="0"/>
        <v>5</v>
      </c>
      <c r="K38" s="17" t="str">
        <f t="shared" si="1"/>
        <v>A</v>
      </c>
      <c r="L38" s="397"/>
      <c r="M38" s="397"/>
      <c r="N38" s="328"/>
      <c r="O38" s="328"/>
      <c r="P38" s="397"/>
      <c r="Q38" s="328"/>
    </row>
    <row r="39" spans="1:17" ht="45" x14ac:dyDescent="0.25">
      <c r="A39" s="237">
        <v>3</v>
      </c>
      <c r="B39" s="323"/>
      <c r="C39" s="237">
        <v>8</v>
      </c>
      <c r="D39" s="323"/>
      <c r="E39" s="52" t="s">
        <v>80</v>
      </c>
      <c r="F39" s="42" t="s">
        <v>125</v>
      </c>
      <c r="G39" s="213">
        <f>'Integración Apreciación '!O77</f>
        <v>3.4235702668736594</v>
      </c>
      <c r="H39" s="105" t="str">
        <f>'Integración Documental'!J150</f>
        <v>NA</v>
      </c>
      <c r="I39" s="45" t="str">
        <f>Estadistica!K41</f>
        <v>NA</v>
      </c>
      <c r="J39" s="213">
        <f t="shared" si="0"/>
        <v>3.4235702668736594</v>
      </c>
      <c r="K39" s="17" t="str">
        <f t="shared" si="1"/>
        <v>C</v>
      </c>
      <c r="L39" s="398"/>
      <c r="M39" s="397"/>
      <c r="N39" s="329"/>
      <c r="O39" s="328"/>
      <c r="P39" s="397"/>
      <c r="Q39" s="328"/>
    </row>
    <row r="40" spans="1:17" x14ac:dyDescent="0.25">
      <c r="A40" s="237">
        <v>3</v>
      </c>
      <c r="B40" s="323"/>
      <c r="C40" s="237">
        <v>9</v>
      </c>
      <c r="D40" s="323" t="s">
        <v>126</v>
      </c>
      <c r="E40" s="52" t="s">
        <v>55</v>
      </c>
      <c r="F40" s="57" t="s">
        <v>127</v>
      </c>
      <c r="G40" s="97" t="str">
        <f>'Integración Apreciación '!O82</f>
        <v>NA</v>
      </c>
      <c r="H40" s="213">
        <f>'Integración Documental'!J151</f>
        <v>5</v>
      </c>
      <c r="I40" s="45" t="str">
        <f>Estadistica!K42</f>
        <v>NA</v>
      </c>
      <c r="J40" s="213">
        <f t="shared" si="0"/>
        <v>5</v>
      </c>
      <c r="K40" s="17" t="str">
        <f t="shared" si="1"/>
        <v>A</v>
      </c>
      <c r="L40" s="396">
        <f>AVERAGE(J40:J45)</f>
        <v>4.8432870370370376</v>
      </c>
      <c r="M40" s="397"/>
      <c r="N40" s="327" t="str">
        <f>IF(((L40&gt;=$Z$4)*AND(L40&lt;=$AA$4)),$Y$4,IF(((L40&gt;$AA$4)*AND(L40&lt;=$AA$5)),$Y$5,IF(((L40&gt;$AA$5)*AND(L40&lt;=$AA$6)),$Y$6,IF(((L40&gt;$AA$6)*AND(L40&lt;=$AA$7)),$Y$7,IF(((L40&gt;$AA$7)*AND(L40&lt;=$AA$8)),$Y$8,IF(EXACT(L40,$Y$9),$Z$9))))))</f>
        <v>A</v>
      </c>
      <c r="O40" s="328"/>
      <c r="P40" s="397"/>
      <c r="Q40" s="328"/>
    </row>
    <row r="41" spans="1:17" ht="30" x14ac:dyDescent="0.25">
      <c r="A41" s="237">
        <v>3</v>
      </c>
      <c r="B41" s="323"/>
      <c r="C41" s="237">
        <v>9</v>
      </c>
      <c r="D41" s="323"/>
      <c r="E41" s="52" t="s">
        <v>56</v>
      </c>
      <c r="F41" s="42" t="s">
        <v>128</v>
      </c>
      <c r="G41" s="213">
        <f>'Integración Apreciación '!O83</f>
        <v>4.0638888888888891</v>
      </c>
      <c r="H41" s="213">
        <f>'Integración Documental'!J154</f>
        <v>5</v>
      </c>
      <c r="I41" s="45" t="str">
        <f>Estadistica!K43</f>
        <v>NA</v>
      </c>
      <c r="J41" s="213">
        <f t="shared" si="0"/>
        <v>4.531944444444445</v>
      </c>
      <c r="K41" s="17" t="str">
        <f t="shared" si="1"/>
        <v>A</v>
      </c>
      <c r="L41" s="397"/>
      <c r="M41" s="397"/>
      <c r="N41" s="328"/>
      <c r="O41" s="328"/>
      <c r="P41" s="397"/>
      <c r="Q41" s="328"/>
    </row>
    <row r="42" spans="1:17" ht="45" x14ac:dyDescent="0.25">
      <c r="A42" s="237">
        <v>3</v>
      </c>
      <c r="B42" s="323"/>
      <c r="C42" s="237">
        <v>9</v>
      </c>
      <c r="D42" s="323"/>
      <c r="E42" s="52" t="s">
        <v>80</v>
      </c>
      <c r="F42" s="42" t="s">
        <v>129</v>
      </c>
      <c r="G42" s="97" t="str">
        <f>'Integración Apreciación '!O85</f>
        <v>NA</v>
      </c>
      <c r="H42" s="105">
        <f>'Integración Documental'!J157</f>
        <v>5</v>
      </c>
      <c r="I42" s="45" t="str">
        <f>Estadistica!K44</f>
        <v>NA</v>
      </c>
      <c r="J42" s="105">
        <f t="shared" si="0"/>
        <v>5</v>
      </c>
      <c r="K42" s="17" t="str">
        <f t="shared" si="1"/>
        <v>A</v>
      </c>
      <c r="L42" s="397"/>
      <c r="M42" s="397"/>
      <c r="N42" s="328"/>
      <c r="O42" s="328"/>
      <c r="P42" s="397"/>
      <c r="Q42" s="328"/>
    </row>
    <row r="43" spans="1:17" ht="30" x14ac:dyDescent="0.25">
      <c r="A43" s="237">
        <v>3</v>
      </c>
      <c r="B43" s="323"/>
      <c r="C43" s="237">
        <v>9</v>
      </c>
      <c r="D43" s="323"/>
      <c r="E43" s="52" t="s">
        <v>81</v>
      </c>
      <c r="F43" s="42" t="s">
        <v>130</v>
      </c>
      <c r="G43" s="97" t="str">
        <f>'Integración Apreciación '!O86</f>
        <v>NA</v>
      </c>
      <c r="H43" s="213">
        <f>'Integración Documental'!J158</f>
        <v>5</v>
      </c>
      <c r="I43" s="45" t="str">
        <f>Estadistica!K45</f>
        <v>NA</v>
      </c>
      <c r="J43" s="213">
        <f t="shared" si="0"/>
        <v>5</v>
      </c>
      <c r="K43" s="17" t="str">
        <f t="shared" si="1"/>
        <v>A</v>
      </c>
      <c r="L43" s="397"/>
      <c r="M43" s="397"/>
      <c r="N43" s="328"/>
      <c r="O43" s="328"/>
      <c r="P43" s="397"/>
      <c r="Q43" s="328"/>
    </row>
    <row r="44" spans="1:17" ht="45" x14ac:dyDescent="0.25">
      <c r="A44" s="237">
        <v>3</v>
      </c>
      <c r="B44" s="323"/>
      <c r="C44" s="237">
        <v>9</v>
      </c>
      <c r="D44" s="323"/>
      <c r="E44" s="52" t="s">
        <v>87</v>
      </c>
      <c r="F44" s="42" t="s">
        <v>131</v>
      </c>
      <c r="G44" s="213">
        <f>'Integración Apreciación '!O87</f>
        <v>4.0555555555555554</v>
      </c>
      <c r="H44" s="213">
        <f>'Integración Documental'!J162</f>
        <v>5</v>
      </c>
      <c r="I44" s="45" t="str">
        <f>Estadistica!K46</f>
        <v>NA</v>
      </c>
      <c r="J44" s="213">
        <f t="shared" si="0"/>
        <v>4.5277777777777777</v>
      </c>
      <c r="K44" s="17" t="str">
        <f t="shared" si="1"/>
        <v>A</v>
      </c>
      <c r="L44" s="397"/>
      <c r="M44" s="397"/>
      <c r="N44" s="328"/>
      <c r="O44" s="328"/>
      <c r="P44" s="397"/>
      <c r="Q44" s="328"/>
    </row>
    <row r="45" spans="1:17" ht="45" x14ac:dyDescent="0.25">
      <c r="A45" s="237">
        <v>3</v>
      </c>
      <c r="B45" s="323"/>
      <c r="C45" s="237">
        <v>9</v>
      </c>
      <c r="D45" s="323"/>
      <c r="E45" s="52" t="s">
        <v>88</v>
      </c>
      <c r="F45" s="42" t="s">
        <v>132</v>
      </c>
      <c r="G45" s="97" t="str">
        <f>'Integración Apreciación '!O88</f>
        <v>NA</v>
      </c>
      <c r="H45" s="213">
        <f>'Integración Documental'!J168</f>
        <v>5</v>
      </c>
      <c r="I45" s="45" t="str">
        <f>Estadistica!K47</f>
        <v>NA</v>
      </c>
      <c r="J45" s="213">
        <f t="shared" si="0"/>
        <v>5</v>
      </c>
      <c r="K45" s="17" t="str">
        <f t="shared" si="1"/>
        <v>A</v>
      </c>
      <c r="L45" s="398"/>
      <c r="M45" s="397"/>
      <c r="N45" s="329"/>
      <c r="O45" s="328"/>
      <c r="P45" s="397"/>
      <c r="Q45" s="328"/>
    </row>
    <row r="46" spans="1:17" ht="61.5" customHeight="1" x14ac:dyDescent="0.25">
      <c r="A46" s="237">
        <v>3</v>
      </c>
      <c r="B46" s="323"/>
      <c r="C46" s="237">
        <v>10</v>
      </c>
      <c r="D46" s="412" t="s">
        <v>133</v>
      </c>
      <c r="E46" s="307" t="s">
        <v>55</v>
      </c>
      <c r="F46" s="308" t="s">
        <v>134</v>
      </c>
      <c r="G46" s="97" t="str">
        <f>'Integración Apreciación '!O89</f>
        <v>NA</v>
      </c>
      <c r="H46" s="105">
        <f>'Integración Documental'!J171</f>
        <v>5</v>
      </c>
      <c r="I46" s="45">
        <f>Estadistica!K48</f>
        <v>5</v>
      </c>
      <c r="J46" s="105">
        <f t="shared" si="0"/>
        <v>5</v>
      </c>
      <c r="K46" s="17" t="str">
        <f t="shared" si="1"/>
        <v>A</v>
      </c>
      <c r="L46" s="396">
        <f>AVERAGE(J46:J53)</f>
        <v>4.3583402465901528</v>
      </c>
      <c r="M46" s="397"/>
      <c r="N46" s="327" t="str">
        <f>IF(((L46&gt;=$Z$4)*AND(L46&lt;=$AA$4)),$Y$4,IF(((L46&gt;$AA$4)*AND(L46&lt;=$AA$5)),$Y$5,IF(((L46&gt;$AA$5)*AND(L46&lt;=$AA$6)),$Y$6,IF(((L46&gt;$AA$6)*AND(L46&lt;=$AA$7)),$Y$7,IF(((L46&gt;$AA$7)*AND(L46&lt;=$AA$8)),$Y$8,IF(EXACT(L46,$Y$9),$Z$9))))))</f>
        <v>B</v>
      </c>
      <c r="O46" s="328"/>
      <c r="P46" s="397"/>
      <c r="Q46" s="328"/>
    </row>
    <row r="47" spans="1:17" ht="30" x14ac:dyDescent="0.25">
      <c r="A47" s="237">
        <v>3</v>
      </c>
      <c r="B47" s="323"/>
      <c r="C47" s="237">
        <v>10</v>
      </c>
      <c r="D47" s="412"/>
      <c r="E47" s="307" t="s">
        <v>56</v>
      </c>
      <c r="F47" s="308" t="s">
        <v>135</v>
      </c>
      <c r="G47" s="97" t="str">
        <f>'Integración Apreciación '!O90</f>
        <v>NA</v>
      </c>
      <c r="H47" s="105">
        <f>'Integración Documental'!J172</f>
        <v>5</v>
      </c>
      <c r="I47" s="45">
        <f>Estadistica!K49</f>
        <v>5</v>
      </c>
      <c r="J47" s="105">
        <f t="shared" si="0"/>
        <v>5</v>
      </c>
      <c r="K47" s="17" t="str">
        <f t="shared" si="1"/>
        <v>A</v>
      </c>
      <c r="L47" s="397"/>
      <c r="M47" s="397"/>
      <c r="N47" s="328"/>
      <c r="O47" s="328"/>
      <c r="P47" s="397"/>
      <c r="Q47" s="328"/>
    </row>
    <row r="48" spans="1:17" ht="60.95" customHeight="1" x14ac:dyDescent="0.25">
      <c r="A48" s="237">
        <v>3</v>
      </c>
      <c r="B48" s="323"/>
      <c r="C48" s="237">
        <v>10</v>
      </c>
      <c r="D48" s="412"/>
      <c r="E48" s="307" t="s">
        <v>80</v>
      </c>
      <c r="F48" s="308" t="s">
        <v>136</v>
      </c>
      <c r="G48" s="97" t="str">
        <f>'Integración Apreciación '!O91</f>
        <v>NA</v>
      </c>
      <c r="H48" s="105" t="str">
        <f>'Integración Documental'!J173</f>
        <v>NA</v>
      </c>
      <c r="I48" s="45">
        <f>Estadistica!K50</f>
        <v>5</v>
      </c>
      <c r="J48" s="105">
        <f t="shared" si="0"/>
        <v>5</v>
      </c>
      <c r="K48" s="17" t="str">
        <f t="shared" si="1"/>
        <v>A</v>
      </c>
      <c r="L48" s="397"/>
      <c r="M48" s="397"/>
      <c r="N48" s="328"/>
      <c r="O48" s="328"/>
      <c r="P48" s="397"/>
      <c r="Q48" s="328"/>
    </row>
    <row r="49" spans="1:17" ht="45" x14ac:dyDescent="0.25">
      <c r="A49" s="237">
        <v>3</v>
      </c>
      <c r="B49" s="323"/>
      <c r="C49" s="237">
        <v>10</v>
      </c>
      <c r="D49" s="412"/>
      <c r="E49" s="307" t="s">
        <v>81</v>
      </c>
      <c r="F49" s="308" t="s">
        <v>137</v>
      </c>
      <c r="G49" s="97" t="str">
        <f>'Integración Apreciación '!O92</f>
        <v>NA</v>
      </c>
      <c r="H49" s="105" t="str">
        <f>'Integración Documental'!J174</f>
        <v>NA</v>
      </c>
      <c r="I49" s="45">
        <f>Estadistica!K52</f>
        <v>5</v>
      </c>
      <c r="J49" s="105">
        <f t="shared" si="0"/>
        <v>5</v>
      </c>
      <c r="K49" s="17" t="str">
        <f t="shared" si="1"/>
        <v>A</v>
      </c>
      <c r="L49" s="397"/>
      <c r="M49" s="397"/>
      <c r="N49" s="328"/>
      <c r="O49" s="328"/>
      <c r="P49" s="397"/>
      <c r="Q49" s="328"/>
    </row>
    <row r="50" spans="1:17" ht="30" x14ac:dyDescent="0.25">
      <c r="A50" s="237">
        <v>3</v>
      </c>
      <c r="B50" s="323"/>
      <c r="C50" s="237">
        <v>10</v>
      </c>
      <c r="D50" s="412"/>
      <c r="E50" s="307" t="s">
        <v>87</v>
      </c>
      <c r="F50" s="308" t="s">
        <v>138</v>
      </c>
      <c r="G50" s="97" t="str">
        <f>'Integración Apreciación '!O93</f>
        <v>NA</v>
      </c>
      <c r="H50" s="105">
        <f>'Integración Documental'!J175</f>
        <v>5</v>
      </c>
      <c r="I50" s="45">
        <f>Estadistica!K54</f>
        <v>5</v>
      </c>
      <c r="J50" s="105">
        <f t="shared" si="0"/>
        <v>5</v>
      </c>
      <c r="K50" s="17" t="str">
        <f t="shared" si="1"/>
        <v>A</v>
      </c>
      <c r="L50" s="397"/>
      <c r="M50" s="397"/>
      <c r="N50" s="328"/>
      <c r="O50" s="328"/>
      <c r="P50" s="397"/>
      <c r="Q50" s="328"/>
    </row>
    <row r="51" spans="1:17" ht="30" x14ac:dyDescent="0.25">
      <c r="A51" s="237">
        <v>3</v>
      </c>
      <c r="B51" s="323"/>
      <c r="C51" s="237">
        <v>10</v>
      </c>
      <c r="D51" s="412"/>
      <c r="E51" s="307" t="s">
        <v>88</v>
      </c>
      <c r="F51" s="308" t="s">
        <v>139</v>
      </c>
      <c r="G51" s="97" t="str">
        <f>'Integración Apreciación '!O94</f>
        <v>NA</v>
      </c>
      <c r="H51" s="105" t="str">
        <f>'Integración Documental'!J178</f>
        <v>NA</v>
      </c>
      <c r="I51" s="213">
        <f>Estadistica!K55</f>
        <v>1.6666666666666667</v>
      </c>
      <c r="J51" s="213">
        <f t="shared" si="0"/>
        <v>1.6666666666666667</v>
      </c>
      <c r="K51" s="17" t="str">
        <f t="shared" si="1"/>
        <v>E</v>
      </c>
      <c r="L51" s="397"/>
      <c r="M51" s="397"/>
      <c r="N51" s="328"/>
      <c r="O51" s="328"/>
      <c r="P51" s="397"/>
      <c r="Q51" s="328"/>
    </row>
    <row r="52" spans="1:17" ht="30" x14ac:dyDescent="0.25">
      <c r="A52" s="237">
        <v>3</v>
      </c>
      <c r="B52" s="323"/>
      <c r="C52" s="237">
        <v>10</v>
      </c>
      <c r="D52" s="412"/>
      <c r="E52" s="307" t="s">
        <v>102</v>
      </c>
      <c r="F52" s="308" t="s">
        <v>140</v>
      </c>
      <c r="G52" s="213">
        <f>'Integración Apreciación '!O95</f>
        <v>3.2000553060545576</v>
      </c>
      <c r="H52" s="105" t="str">
        <f>'Integración Documental'!J179</f>
        <v>NA</v>
      </c>
      <c r="I52" s="45" t="str">
        <f>Estadistica!K58</f>
        <v>NA</v>
      </c>
      <c r="J52" s="213">
        <f t="shared" si="0"/>
        <v>3.2000553060545576</v>
      </c>
      <c r="K52" s="17" t="str">
        <f t="shared" si="1"/>
        <v>D</v>
      </c>
      <c r="L52" s="397"/>
      <c r="M52" s="397"/>
      <c r="N52" s="328"/>
      <c r="O52" s="328"/>
      <c r="P52" s="397"/>
      <c r="Q52" s="328"/>
    </row>
    <row r="53" spans="1:17" ht="60" x14ac:dyDescent="0.25">
      <c r="A53" s="237">
        <v>3</v>
      </c>
      <c r="B53" s="323"/>
      <c r="C53" s="237">
        <v>10</v>
      </c>
      <c r="D53" s="412"/>
      <c r="E53" s="307" t="s">
        <v>104</v>
      </c>
      <c r="F53" s="308" t="s">
        <v>141</v>
      </c>
      <c r="G53" s="97" t="str">
        <f>'Integración Apreciación '!O104</f>
        <v>NA</v>
      </c>
      <c r="H53" s="105">
        <f>'Integración Documental'!J180</f>
        <v>5</v>
      </c>
      <c r="I53" s="45" t="str">
        <f>Estadistica!K59</f>
        <v>NA</v>
      </c>
      <c r="J53" s="105">
        <f t="shared" si="0"/>
        <v>5</v>
      </c>
      <c r="K53" s="17" t="str">
        <f t="shared" si="1"/>
        <v>A</v>
      </c>
      <c r="L53" s="398"/>
      <c r="M53" s="397"/>
      <c r="N53" s="329"/>
      <c r="O53" s="328"/>
      <c r="P53" s="397"/>
      <c r="Q53" s="328"/>
    </row>
    <row r="54" spans="1:17" ht="45" x14ac:dyDescent="0.25">
      <c r="A54" s="237">
        <v>3</v>
      </c>
      <c r="B54" s="323"/>
      <c r="C54" s="237">
        <v>11</v>
      </c>
      <c r="D54" s="412" t="s">
        <v>142</v>
      </c>
      <c r="E54" s="307" t="s">
        <v>55</v>
      </c>
      <c r="F54" s="308" t="s">
        <v>143</v>
      </c>
      <c r="G54" s="97" t="str">
        <f>'Integración Apreciación '!O105</f>
        <v>NA</v>
      </c>
      <c r="H54" s="213">
        <f>'Integración Documental'!J181</f>
        <v>5</v>
      </c>
      <c r="I54" s="45" t="str">
        <f>Estadistica!K60</f>
        <v>NA</v>
      </c>
      <c r="J54" s="213">
        <f t="shared" si="0"/>
        <v>5</v>
      </c>
      <c r="K54" s="17" t="str">
        <f t="shared" si="1"/>
        <v>A</v>
      </c>
      <c r="L54" s="396">
        <f>AVERAGE(J54:J59)</f>
        <v>4.3125</v>
      </c>
      <c r="M54" s="397"/>
      <c r="N54" s="327" t="str">
        <f>IF(((L54&gt;=$Z$4)*AND(L54&lt;=$AA$4)),$Y$4,IF(((L54&gt;$AA$4)*AND(L54&lt;=$AA$5)),$Y$5,IF(((L54&gt;$AA$5)*AND(L54&lt;=$AA$6)),$Y$6,IF(((L54&gt;$AA$6)*AND(L54&lt;=$AA$7)),$Y$7,IF(((L54&gt;$AA$7)*AND(L54&lt;=$AA$8)),$Y$8,IF(EXACT(L54,$Y$9),$Z$9))))))</f>
        <v>B</v>
      </c>
      <c r="O54" s="328"/>
      <c r="P54" s="397"/>
      <c r="Q54" s="328"/>
    </row>
    <row r="55" spans="1:17" ht="44.25" customHeight="1" x14ac:dyDescent="0.25">
      <c r="A55" s="237">
        <v>3</v>
      </c>
      <c r="B55" s="323"/>
      <c r="C55" s="237">
        <v>11</v>
      </c>
      <c r="D55" s="412"/>
      <c r="E55" s="307" t="s">
        <v>56</v>
      </c>
      <c r="F55" s="308" t="s">
        <v>144</v>
      </c>
      <c r="G55" s="97" t="str">
        <f>'Integración Apreciación '!O106</f>
        <v>NA</v>
      </c>
      <c r="H55" s="105">
        <f>'Integración Documental'!J184</f>
        <v>2.5</v>
      </c>
      <c r="I55" s="45" t="str">
        <f>Estadistica!K61</f>
        <v>NA</v>
      </c>
      <c r="J55" s="105">
        <f t="shared" si="0"/>
        <v>2.5</v>
      </c>
      <c r="K55" s="17" t="str">
        <f t="shared" si="1"/>
        <v>D</v>
      </c>
      <c r="L55" s="397"/>
      <c r="M55" s="397"/>
      <c r="N55" s="328"/>
      <c r="O55" s="328"/>
      <c r="P55" s="397"/>
      <c r="Q55" s="328"/>
    </row>
    <row r="56" spans="1:17" ht="45" x14ac:dyDescent="0.25">
      <c r="A56" s="237">
        <v>3</v>
      </c>
      <c r="B56" s="323"/>
      <c r="C56" s="237">
        <v>11</v>
      </c>
      <c r="D56" s="412"/>
      <c r="E56" s="307" t="s">
        <v>80</v>
      </c>
      <c r="F56" s="308" t="s">
        <v>145</v>
      </c>
      <c r="G56" s="213">
        <f>'Integración Apreciación '!O107</f>
        <v>3.3749999999999996</v>
      </c>
      <c r="H56" s="105" t="str">
        <f>'Integración Documental'!J186</f>
        <v>NA</v>
      </c>
      <c r="I56" s="45" t="str">
        <f>Estadistica!K62</f>
        <v>NA</v>
      </c>
      <c r="J56" s="213">
        <f t="shared" si="0"/>
        <v>3.3749999999999996</v>
      </c>
      <c r="K56" s="17" t="str">
        <f t="shared" si="1"/>
        <v>D</v>
      </c>
      <c r="L56" s="397"/>
      <c r="M56" s="397"/>
      <c r="N56" s="328"/>
      <c r="O56" s="328"/>
      <c r="P56" s="397"/>
      <c r="Q56" s="328"/>
    </row>
    <row r="57" spans="1:17" ht="30" x14ac:dyDescent="0.25">
      <c r="A57" s="237">
        <v>3</v>
      </c>
      <c r="B57" s="323"/>
      <c r="C57" s="237">
        <v>11</v>
      </c>
      <c r="D57" s="412"/>
      <c r="E57" s="307" t="s">
        <v>81</v>
      </c>
      <c r="F57" s="308" t="s">
        <v>146</v>
      </c>
      <c r="G57" s="97" t="str">
        <f>'Integración Apreciación '!O109</f>
        <v>NA</v>
      </c>
      <c r="H57" s="105">
        <f>'Integración Documental'!J187</f>
        <v>5</v>
      </c>
      <c r="I57" s="45" t="str">
        <f>Estadistica!K63</f>
        <v>NA</v>
      </c>
      <c r="J57" s="105">
        <f t="shared" si="0"/>
        <v>5</v>
      </c>
      <c r="K57" s="17" t="str">
        <f t="shared" si="1"/>
        <v>A</v>
      </c>
      <c r="L57" s="397"/>
      <c r="M57" s="397"/>
      <c r="N57" s="328"/>
      <c r="O57" s="328"/>
      <c r="P57" s="397"/>
      <c r="Q57" s="328"/>
    </row>
    <row r="58" spans="1:17" x14ac:dyDescent="0.25">
      <c r="A58" s="237">
        <v>3</v>
      </c>
      <c r="B58" s="323"/>
      <c r="C58" s="237">
        <v>11</v>
      </c>
      <c r="D58" s="412"/>
      <c r="E58" s="307" t="s">
        <v>87</v>
      </c>
      <c r="F58" s="309" t="s">
        <v>147</v>
      </c>
      <c r="G58" s="97" t="str">
        <f>'Integración Apreciación '!O110</f>
        <v>NA</v>
      </c>
      <c r="H58" s="105">
        <f>'Integración Documental'!J188</f>
        <v>5</v>
      </c>
      <c r="I58" s="45" t="str">
        <f>Estadistica!K64</f>
        <v>NA</v>
      </c>
      <c r="J58" s="105">
        <f t="shared" si="0"/>
        <v>5</v>
      </c>
      <c r="K58" s="17" t="str">
        <f t="shared" si="1"/>
        <v>A</v>
      </c>
      <c r="L58" s="397"/>
      <c r="M58" s="397"/>
      <c r="N58" s="328"/>
      <c r="O58" s="328"/>
      <c r="P58" s="397"/>
      <c r="Q58" s="328"/>
    </row>
    <row r="59" spans="1:17" ht="30" x14ac:dyDescent="0.25">
      <c r="A59" s="237">
        <v>3</v>
      </c>
      <c r="B59" s="323"/>
      <c r="C59" s="237">
        <v>11</v>
      </c>
      <c r="D59" s="412"/>
      <c r="E59" s="307" t="s">
        <v>88</v>
      </c>
      <c r="F59" s="308" t="s">
        <v>148</v>
      </c>
      <c r="G59" s="97" t="str">
        <f>'Integración Apreciación '!O111</f>
        <v>NA</v>
      </c>
      <c r="H59" s="105">
        <f>'Integración Documental'!J190</f>
        <v>5</v>
      </c>
      <c r="I59" s="45" t="str">
        <f>Estadistica!K65</f>
        <v>NA</v>
      </c>
      <c r="J59" s="105">
        <f t="shared" si="0"/>
        <v>5</v>
      </c>
      <c r="K59" s="17" t="str">
        <f t="shared" si="1"/>
        <v>A</v>
      </c>
      <c r="L59" s="398"/>
      <c r="M59" s="397"/>
      <c r="N59" s="329"/>
      <c r="O59" s="328"/>
      <c r="P59" s="397"/>
      <c r="Q59" s="328"/>
    </row>
    <row r="60" spans="1:17" ht="60" x14ac:dyDescent="0.25">
      <c r="A60" s="237">
        <v>3</v>
      </c>
      <c r="B60" s="323"/>
      <c r="C60" s="237">
        <v>12</v>
      </c>
      <c r="D60" s="412" t="s">
        <v>149</v>
      </c>
      <c r="E60" s="307" t="s">
        <v>55</v>
      </c>
      <c r="F60" s="308" t="s">
        <v>150</v>
      </c>
      <c r="G60" s="97" t="str">
        <f>'Integración Apreciación '!O112</f>
        <v>NA</v>
      </c>
      <c r="H60" s="105">
        <f>'Integración Documental'!J191</f>
        <v>5</v>
      </c>
      <c r="I60" s="45">
        <f>Estadistica!K66</f>
        <v>5</v>
      </c>
      <c r="J60" s="105">
        <f t="shared" si="0"/>
        <v>5</v>
      </c>
      <c r="K60" s="17" t="str">
        <f t="shared" si="1"/>
        <v>A</v>
      </c>
      <c r="L60" s="396">
        <f>AVERAGE(J60:J62)</f>
        <v>4.3083333333333336</v>
      </c>
      <c r="M60" s="397"/>
      <c r="N60" s="327" t="str">
        <f>IF(((L60&gt;=$Z$4)*AND(L60&lt;=$AA$4)),$Y$4,IF(((L60&gt;$AA$4)*AND(L60&lt;=$AA$5)),$Y$5,IF(((L60&gt;$AA$5)*AND(L60&lt;=$AA$6)),$Y$6,IF(((L60&gt;$AA$6)*AND(L60&lt;=$AA$7)),$Y$7,IF(((L60&gt;$AA$7)*AND(L60&lt;=$AA$8)),$Y$8,IF(EXACT(L60,$Y$9),$Z$9))))))</f>
        <v>B</v>
      </c>
      <c r="O60" s="328"/>
      <c r="P60" s="397"/>
      <c r="Q60" s="328"/>
    </row>
    <row r="61" spans="1:17" ht="45" x14ac:dyDescent="0.25">
      <c r="A61" s="237">
        <v>3</v>
      </c>
      <c r="B61" s="323"/>
      <c r="C61" s="237">
        <v>12</v>
      </c>
      <c r="D61" s="412"/>
      <c r="E61" s="307" t="s">
        <v>56</v>
      </c>
      <c r="F61" s="308" t="s">
        <v>374</v>
      </c>
      <c r="G61" s="97" t="str">
        <f>'Integración Apreciación '!O113</f>
        <v>NA</v>
      </c>
      <c r="H61" s="105">
        <f>'Integración Documental'!J195</f>
        <v>5</v>
      </c>
      <c r="I61" s="45">
        <f>Estadistica!K67</f>
        <v>5</v>
      </c>
      <c r="J61" s="105">
        <f t="shared" si="0"/>
        <v>5</v>
      </c>
      <c r="K61" s="17" t="str">
        <f t="shared" si="1"/>
        <v>A</v>
      </c>
      <c r="L61" s="397"/>
      <c r="M61" s="397"/>
      <c r="N61" s="328"/>
      <c r="O61" s="328"/>
      <c r="P61" s="397"/>
      <c r="Q61" s="328"/>
    </row>
    <row r="62" spans="1:17" ht="75" x14ac:dyDescent="0.25">
      <c r="A62" s="237">
        <v>3</v>
      </c>
      <c r="B62" s="323"/>
      <c r="C62" s="237">
        <v>12</v>
      </c>
      <c r="D62" s="412"/>
      <c r="E62" s="307" t="s">
        <v>80</v>
      </c>
      <c r="F62" s="308" t="s">
        <v>373</v>
      </c>
      <c r="G62" s="213">
        <f>'Integración Apreciación '!O114</f>
        <v>2.9249999999999998</v>
      </c>
      <c r="H62" s="105" t="str">
        <f>'Integración Documental'!J198</f>
        <v>NA</v>
      </c>
      <c r="I62" s="45" t="str">
        <f>Estadistica!K68</f>
        <v>NA</v>
      </c>
      <c r="J62" s="213">
        <f t="shared" si="0"/>
        <v>2.9249999999999998</v>
      </c>
      <c r="K62" s="17" t="str">
        <f t="shared" si="1"/>
        <v>D</v>
      </c>
      <c r="L62" s="398"/>
      <c r="M62" s="397"/>
      <c r="N62" s="329"/>
      <c r="O62" s="328"/>
      <c r="P62" s="397"/>
      <c r="Q62" s="328"/>
    </row>
    <row r="63" spans="1:17" ht="45" x14ac:dyDescent="0.25">
      <c r="A63" s="237">
        <v>3</v>
      </c>
      <c r="B63" s="323"/>
      <c r="C63" s="237">
        <v>13</v>
      </c>
      <c r="D63" s="412" t="s">
        <v>151</v>
      </c>
      <c r="E63" s="307" t="s">
        <v>55</v>
      </c>
      <c r="F63" s="310" t="s">
        <v>152</v>
      </c>
      <c r="G63" s="97" t="str">
        <f>'Integración Apreciación '!O115</f>
        <v>NA</v>
      </c>
      <c r="H63" s="105">
        <f>'Integración Documental'!J199</f>
        <v>5</v>
      </c>
      <c r="I63" s="45" t="str">
        <f>Estadistica!K69</f>
        <v>NA</v>
      </c>
      <c r="J63" s="105">
        <f t="shared" si="0"/>
        <v>5</v>
      </c>
      <c r="K63" s="17" t="str">
        <f t="shared" si="1"/>
        <v>A</v>
      </c>
      <c r="L63" s="396">
        <f>AVERAGE(J63:J66)</f>
        <v>3.75</v>
      </c>
      <c r="M63" s="397"/>
      <c r="N63" s="327" t="str">
        <f>IF(((L63&gt;=$Z$4)*AND(L63&lt;=$AA$4)),$Y$4,IF(((L63&gt;$AA$4)*AND(L63&lt;=$AA$5)),$Y$5,IF(((L63&gt;$AA$5)*AND(L63&lt;=$AA$6)),$Y$6,IF(((L63&gt;$AA$6)*AND(L63&lt;=$AA$7)),$Y$7,IF(((L63&gt;$AA$7)*AND(L63&lt;=$AA$8)),$Y$8,IF(EXACT(L63,$Y$9),$Z$9))))))</f>
        <v>C</v>
      </c>
      <c r="O63" s="328"/>
      <c r="P63" s="397"/>
      <c r="Q63" s="328"/>
    </row>
    <row r="64" spans="1:17" ht="45" x14ac:dyDescent="0.25">
      <c r="A64" s="237">
        <v>3</v>
      </c>
      <c r="B64" s="323"/>
      <c r="C64" s="237">
        <v>13</v>
      </c>
      <c r="D64" s="412"/>
      <c r="E64" s="307" t="s">
        <v>56</v>
      </c>
      <c r="F64" s="308" t="s">
        <v>153</v>
      </c>
      <c r="G64" s="97" t="str">
        <f>'Integración Apreciación '!O116</f>
        <v>NA</v>
      </c>
      <c r="H64" s="105">
        <f>'Integración Documental'!J203</f>
        <v>5</v>
      </c>
      <c r="I64" s="45" t="str">
        <f>Estadistica!K70</f>
        <v>NA</v>
      </c>
      <c r="J64" s="105">
        <f t="shared" si="0"/>
        <v>5</v>
      </c>
      <c r="K64" s="17" t="str">
        <f t="shared" si="1"/>
        <v>A</v>
      </c>
      <c r="L64" s="397"/>
      <c r="M64" s="397"/>
      <c r="N64" s="328"/>
      <c r="O64" s="328"/>
      <c r="P64" s="397"/>
      <c r="Q64" s="328"/>
    </row>
    <row r="65" spans="1:17" ht="30" x14ac:dyDescent="0.25">
      <c r="A65" s="237">
        <v>3</v>
      </c>
      <c r="B65" s="323"/>
      <c r="C65" s="237">
        <v>13</v>
      </c>
      <c r="D65" s="412"/>
      <c r="E65" s="307" t="s">
        <v>80</v>
      </c>
      <c r="F65" s="308" t="s">
        <v>154</v>
      </c>
      <c r="G65" s="97" t="str">
        <f>'Integración Apreciación '!O117</f>
        <v>NA</v>
      </c>
      <c r="H65" s="105">
        <f>'Integración Documental'!J205</f>
        <v>0</v>
      </c>
      <c r="I65" s="45" t="str">
        <f>Estadistica!K71</f>
        <v>NA</v>
      </c>
      <c r="J65" s="105">
        <f t="shared" si="0"/>
        <v>0</v>
      </c>
      <c r="K65" s="17" t="str">
        <f t="shared" si="1"/>
        <v>E</v>
      </c>
      <c r="L65" s="397"/>
      <c r="M65" s="397"/>
      <c r="N65" s="328"/>
      <c r="O65" s="328"/>
      <c r="P65" s="397"/>
      <c r="Q65" s="328"/>
    </row>
    <row r="66" spans="1:17" ht="30" x14ac:dyDescent="0.25">
      <c r="A66" s="237">
        <v>3</v>
      </c>
      <c r="B66" s="323"/>
      <c r="C66" s="237">
        <v>13</v>
      </c>
      <c r="D66" s="412"/>
      <c r="E66" s="307" t="s">
        <v>81</v>
      </c>
      <c r="F66" s="308" t="s">
        <v>155</v>
      </c>
      <c r="G66" s="97" t="str">
        <f>'Integración Apreciación '!O118</f>
        <v>NA</v>
      </c>
      <c r="H66" s="105">
        <f>'Integración Documental'!J206</f>
        <v>5</v>
      </c>
      <c r="I66" s="45" t="str">
        <f>Estadistica!K72</f>
        <v>NA</v>
      </c>
      <c r="J66" s="105">
        <f t="shared" si="0"/>
        <v>5</v>
      </c>
      <c r="K66" s="17" t="str">
        <f t="shared" si="1"/>
        <v>A</v>
      </c>
      <c r="L66" s="398"/>
      <c r="M66" s="397"/>
      <c r="N66" s="329"/>
      <c r="O66" s="328"/>
      <c r="P66" s="397"/>
      <c r="Q66" s="328"/>
    </row>
    <row r="67" spans="1:17" ht="60" x14ac:dyDescent="0.25">
      <c r="A67" s="237">
        <v>3</v>
      </c>
      <c r="B67" s="323"/>
      <c r="C67" s="237">
        <v>14</v>
      </c>
      <c r="D67" s="412" t="s">
        <v>156</v>
      </c>
      <c r="E67" s="307" t="s">
        <v>55</v>
      </c>
      <c r="F67" s="308" t="s">
        <v>157</v>
      </c>
      <c r="G67" s="97" t="str">
        <f>'Integración Apreciación '!O119</f>
        <v>NA</v>
      </c>
      <c r="H67" s="105">
        <f>'Integración Documental'!J207</f>
        <v>5</v>
      </c>
      <c r="I67" s="45" t="str">
        <f>Estadistica!K73</f>
        <v>NA</v>
      </c>
      <c r="J67" s="105">
        <f t="shared" ref="J67:J130" si="2">IF(OR(EXACT(G67,$Y$9),EXACT(H67,$Y$9),EXACT(I67,$Y$9)),AVERAGE(G67:I67),((G67*$U$6)+(H67*$U$4)+(I67*$U$5)))</f>
        <v>5</v>
      </c>
      <c r="K67" s="17" t="str">
        <f t="shared" ref="K67:K130" si="3">IF(((J67&gt;=$Z$4)*AND(J67&lt;=$AA$4)),$Y$4,IF(((J67&gt;$AA$4)*AND(J67&lt;=$AA$5)),$Y$5,IF(((J67&gt;$AA$5)*AND(J67&lt;=$AA$6)),$Y$6,IF(((J67&gt;$AA$6)*AND(J67&lt;=$AA$7)),$Y$7,IF(((J67&gt;$AA$7)*AND(J67&lt;=$AA$8)),$Y$8,IF(EXACT(J67,$Y$9),$Z$9))))))</f>
        <v>A</v>
      </c>
      <c r="L67" s="396">
        <f>AVERAGE(J67:J69)</f>
        <v>4.3083333333333336</v>
      </c>
      <c r="M67" s="397"/>
      <c r="N67" s="327" t="str">
        <f>IF(((L67&gt;=$Z$4)*AND(L67&lt;=$AA$4)),$Y$4,IF(((L67&gt;$AA$4)*AND(L67&lt;=$AA$5)),$Y$5,IF(((L67&gt;$AA$5)*AND(L67&lt;=$AA$6)),$Y$6,IF(((L67&gt;$AA$6)*AND(L67&lt;=$AA$7)),$Y$7,IF(((L67&gt;$AA$7)*AND(L67&lt;=$AA$8)),$Y$8,IF(EXACT(L67,$Y$9),$Z$9))))))</f>
        <v>B</v>
      </c>
      <c r="O67" s="328"/>
      <c r="P67" s="397"/>
      <c r="Q67" s="328"/>
    </row>
    <row r="68" spans="1:17" x14ac:dyDescent="0.25">
      <c r="A68" s="237">
        <v>3</v>
      </c>
      <c r="B68" s="323"/>
      <c r="C68" s="237">
        <v>14</v>
      </c>
      <c r="D68" s="412"/>
      <c r="E68" s="307" t="s">
        <v>56</v>
      </c>
      <c r="F68" s="309" t="s">
        <v>158</v>
      </c>
      <c r="G68" s="97" t="str">
        <f>'Integración Apreciación '!O120</f>
        <v>NA</v>
      </c>
      <c r="H68" s="105">
        <f>'Integración Documental'!J211</f>
        <v>5</v>
      </c>
      <c r="I68" s="45" t="str">
        <f>Estadistica!K74</f>
        <v>NA</v>
      </c>
      <c r="J68" s="105">
        <f t="shared" si="2"/>
        <v>5</v>
      </c>
      <c r="K68" s="17" t="str">
        <f t="shared" si="3"/>
        <v>A</v>
      </c>
      <c r="L68" s="397"/>
      <c r="M68" s="397"/>
      <c r="N68" s="328"/>
      <c r="O68" s="328"/>
      <c r="P68" s="397"/>
      <c r="Q68" s="328"/>
    </row>
    <row r="69" spans="1:17" ht="30" x14ac:dyDescent="0.25">
      <c r="A69" s="237">
        <v>3</v>
      </c>
      <c r="B69" s="323"/>
      <c r="C69" s="237">
        <v>14</v>
      </c>
      <c r="D69" s="412"/>
      <c r="E69" s="307" t="s">
        <v>80</v>
      </c>
      <c r="F69" s="308" t="s">
        <v>159</v>
      </c>
      <c r="G69" s="213">
        <f>'Integración Apreciación '!O121</f>
        <v>2.9249999999999998</v>
      </c>
      <c r="H69" s="105" t="str">
        <f>'Integración Documental'!J212</f>
        <v>NA</v>
      </c>
      <c r="I69" s="45" t="str">
        <f>Estadistica!K75</f>
        <v>NA</v>
      </c>
      <c r="J69" s="213">
        <f t="shared" si="2"/>
        <v>2.9249999999999998</v>
      </c>
      <c r="K69" s="17" t="str">
        <f t="shared" si="3"/>
        <v>D</v>
      </c>
      <c r="L69" s="398"/>
      <c r="M69" s="397"/>
      <c r="N69" s="329"/>
      <c r="O69" s="328"/>
      <c r="P69" s="397"/>
      <c r="Q69" s="328"/>
    </row>
    <row r="70" spans="1:17" ht="45" x14ac:dyDescent="0.25">
      <c r="A70" s="237">
        <v>3</v>
      </c>
      <c r="B70" s="323"/>
      <c r="C70" s="237">
        <v>15</v>
      </c>
      <c r="D70" s="412" t="s">
        <v>160</v>
      </c>
      <c r="E70" s="307" t="s">
        <v>55</v>
      </c>
      <c r="F70" s="308" t="s">
        <v>161</v>
      </c>
      <c r="G70" s="97" t="str">
        <f>'Integración Apreciación '!O122</f>
        <v>NA</v>
      </c>
      <c r="H70" s="105">
        <f>'Integración Documental'!J213</f>
        <v>5</v>
      </c>
      <c r="I70" s="45" t="str">
        <f>Estadistica!K76</f>
        <v>NA</v>
      </c>
      <c r="J70" s="105">
        <f t="shared" si="2"/>
        <v>5</v>
      </c>
      <c r="K70" s="17" t="str">
        <f t="shared" si="3"/>
        <v>A</v>
      </c>
      <c r="L70" s="396">
        <f>AVERAGE(J70:J74)</f>
        <v>4.2156172839506176</v>
      </c>
      <c r="M70" s="397"/>
      <c r="N70" s="327" t="str">
        <f>IF(((L70&gt;=$Z$4)*AND(L70&lt;=$AA$4)),$Y$4,IF(((L70&gt;$AA$4)*AND(L70&lt;=$AA$5)),$Y$5,IF(((L70&gt;$AA$5)*AND(L70&lt;=$AA$6)),$Y$6,IF(((L70&gt;$AA$6)*AND(L70&lt;=$AA$7)),$Y$7,IF(((L70&gt;$AA$7)*AND(L70&lt;=$AA$8)),$Y$8,IF(EXACT(L70,$Y$9),$Z$9))))))</f>
        <v>B</v>
      </c>
      <c r="O70" s="328"/>
      <c r="P70" s="397"/>
      <c r="Q70" s="328"/>
    </row>
    <row r="71" spans="1:17" ht="45" x14ac:dyDescent="0.25">
      <c r="A71" s="237">
        <v>3</v>
      </c>
      <c r="B71" s="323"/>
      <c r="C71" s="237">
        <v>15</v>
      </c>
      <c r="D71" s="412"/>
      <c r="E71" s="307" t="s">
        <v>56</v>
      </c>
      <c r="F71" s="308" t="s">
        <v>162</v>
      </c>
      <c r="G71" s="97" t="str">
        <f>'Integración Apreciación '!O123</f>
        <v>NA</v>
      </c>
      <c r="H71" s="213">
        <f>'Integración Documental'!J215</f>
        <v>3.3333333333333335</v>
      </c>
      <c r="I71" s="45" t="str">
        <f>Estadistica!K77</f>
        <v>NA</v>
      </c>
      <c r="J71" s="213">
        <f t="shared" si="2"/>
        <v>3.3333333333333335</v>
      </c>
      <c r="K71" s="17" t="str">
        <f t="shared" si="3"/>
        <v>D</v>
      </c>
      <c r="L71" s="397"/>
      <c r="M71" s="397"/>
      <c r="N71" s="328"/>
      <c r="O71" s="328"/>
      <c r="P71" s="397"/>
      <c r="Q71" s="328"/>
    </row>
    <row r="72" spans="1:17" ht="45" x14ac:dyDescent="0.25">
      <c r="A72" s="237">
        <v>3</v>
      </c>
      <c r="B72" s="323"/>
      <c r="C72" s="237">
        <v>15</v>
      </c>
      <c r="D72" s="412"/>
      <c r="E72" s="307" t="s">
        <v>80</v>
      </c>
      <c r="F72" s="308" t="s">
        <v>163</v>
      </c>
      <c r="G72" s="213">
        <f>'Integración Apreciación '!O124</f>
        <v>3.1944444444444446</v>
      </c>
      <c r="H72" s="213">
        <f>'Integración Documental'!J218</f>
        <v>5</v>
      </c>
      <c r="I72" s="45" t="str">
        <f>Estadistica!K78</f>
        <v>NA</v>
      </c>
      <c r="J72" s="213">
        <f t="shared" si="2"/>
        <v>4.0972222222222223</v>
      </c>
      <c r="K72" s="17" t="str">
        <f t="shared" si="3"/>
        <v>B</v>
      </c>
      <c r="L72" s="397"/>
      <c r="M72" s="397"/>
      <c r="N72" s="328"/>
      <c r="O72" s="328"/>
      <c r="P72" s="397"/>
      <c r="Q72" s="328"/>
    </row>
    <row r="73" spans="1:17" x14ac:dyDescent="0.25">
      <c r="A73" s="237">
        <v>3</v>
      </c>
      <c r="B73" s="323"/>
      <c r="C73" s="237">
        <v>15</v>
      </c>
      <c r="D73" s="412"/>
      <c r="E73" s="307" t="s">
        <v>81</v>
      </c>
      <c r="F73" s="309" t="s">
        <v>164</v>
      </c>
      <c r="G73" s="97" t="str">
        <f>'Integración Apreciación '!O125</f>
        <v>NA</v>
      </c>
      <c r="H73" s="105">
        <f>'Integración Documental'!J221</f>
        <v>5</v>
      </c>
      <c r="I73" s="45" t="str">
        <f>Estadistica!K79</f>
        <v>NA</v>
      </c>
      <c r="J73" s="105">
        <f t="shared" si="2"/>
        <v>5</v>
      </c>
      <c r="K73" s="17" t="str">
        <f t="shared" si="3"/>
        <v>A</v>
      </c>
      <c r="L73" s="397"/>
      <c r="M73" s="397"/>
      <c r="N73" s="328"/>
      <c r="O73" s="328"/>
      <c r="P73" s="397"/>
      <c r="Q73" s="328"/>
    </row>
    <row r="74" spans="1:17" ht="31.5" customHeight="1" x14ac:dyDescent="0.25">
      <c r="A74" s="237">
        <v>3</v>
      </c>
      <c r="B74" s="323"/>
      <c r="C74" s="237">
        <v>15</v>
      </c>
      <c r="D74" s="412"/>
      <c r="E74" s="307" t="s">
        <v>87</v>
      </c>
      <c r="F74" s="308" t="s">
        <v>538</v>
      </c>
      <c r="G74" s="213">
        <f>'Integración Apreciación '!O126</f>
        <v>3.647530864197531</v>
      </c>
      <c r="H74" s="105" t="str">
        <f>'Integración Documental'!J223</f>
        <v>NA</v>
      </c>
      <c r="I74" s="45" t="str">
        <f>Estadistica!K80</f>
        <v>NA</v>
      </c>
      <c r="J74" s="213">
        <f t="shared" si="2"/>
        <v>3.647530864197531</v>
      </c>
      <c r="K74" s="17" t="str">
        <f t="shared" si="3"/>
        <v>C</v>
      </c>
      <c r="L74" s="398"/>
      <c r="M74" s="398"/>
      <c r="N74" s="329"/>
      <c r="O74" s="329"/>
      <c r="P74" s="397"/>
      <c r="Q74" s="328"/>
    </row>
    <row r="75" spans="1:17" ht="60" customHeight="1" x14ac:dyDescent="0.25">
      <c r="A75" s="237">
        <v>4</v>
      </c>
      <c r="B75" s="323" t="s">
        <v>165</v>
      </c>
      <c r="C75" s="237">
        <v>16</v>
      </c>
      <c r="D75" s="412" t="s">
        <v>166</v>
      </c>
      <c r="E75" s="307" t="s">
        <v>55</v>
      </c>
      <c r="F75" s="308" t="s">
        <v>167</v>
      </c>
      <c r="G75" s="213">
        <f>'Integración Apreciación '!O129</f>
        <v>4.0715940341539145</v>
      </c>
      <c r="H75" s="105">
        <f>'Integración Documental'!J224</f>
        <v>5</v>
      </c>
      <c r="I75" s="45" t="str">
        <f>Estadistica!K81</f>
        <v>NA</v>
      </c>
      <c r="J75" s="213">
        <f t="shared" si="2"/>
        <v>4.5357970170769573</v>
      </c>
      <c r="K75" s="17" t="str">
        <f t="shared" si="3"/>
        <v>A</v>
      </c>
      <c r="L75" s="396">
        <f>AVERAGE(J75:J88)</f>
        <v>4.1615447675651529</v>
      </c>
      <c r="M75" s="396">
        <f>(L75*Ponderación!D17)+(L89*Ponderación!D18)+(L99*Ponderación!D19)+(L102*Ponderación!D20)+(L117*Ponderación!D21)+(L123*Ponderación!D22)+(L128*Ponderación!D23)+(L132*Ponderación!D24)+(L140*Ponderación!D25)+(L146*Ponderación!D26)+(L152*Ponderación!D27)</f>
        <v>4.4069834552128127</v>
      </c>
      <c r="N75" s="327" t="str">
        <f>IF(((L75&gt;=$Z$4)*AND(L75&lt;=$AA$4)),$Y$4,IF(((L75&gt;$AA$4)*AND(L75&lt;=$AA$5)),$Y$5,IF(((L75&gt;$AA$5)*AND(L75&lt;=$AA$6)),$Y$6,IF(((L75&gt;$AA$6)*AND(L75&lt;=$AA$7)),$Y$7,IF(((L75&gt;$AA$7)*AND(L75&lt;=$AA$8)),$Y$8,IF(EXACT(L75,$Y$9),$Z$9))))))</f>
        <v>B</v>
      </c>
      <c r="O75" s="327" t="s">
        <v>37</v>
      </c>
      <c r="P75" s="397"/>
      <c r="Q75" s="328"/>
    </row>
    <row r="76" spans="1:17" ht="45" x14ac:dyDescent="0.25">
      <c r="A76" s="237">
        <v>4</v>
      </c>
      <c r="B76" s="323"/>
      <c r="C76" s="237">
        <v>16</v>
      </c>
      <c r="D76" s="412"/>
      <c r="E76" s="307" t="s">
        <v>56</v>
      </c>
      <c r="F76" s="308" t="s">
        <v>168</v>
      </c>
      <c r="G76" s="213">
        <f>'Integración Apreciación '!O131</f>
        <v>4.0715940341539145</v>
      </c>
      <c r="H76" s="105">
        <f>'Integración Documental'!J225</f>
        <v>5</v>
      </c>
      <c r="I76" s="45" t="str">
        <f>Estadistica!K82</f>
        <v>NA</v>
      </c>
      <c r="J76" s="213">
        <f t="shared" si="2"/>
        <v>4.5357970170769573</v>
      </c>
      <c r="K76" s="17" t="str">
        <f t="shared" si="3"/>
        <v>A</v>
      </c>
      <c r="L76" s="397"/>
      <c r="M76" s="397"/>
      <c r="N76" s="328"/>
      <c r="O76" s="328"/>
      <c r="P76" s="397"/>
      <c r="Q76" s="328"/>
    </row>
    <row r="77" spans="1:17" ht="45" x14ac:dyDescent="0.25">
      <c r="A77" s="237">
        <v>4</v>
      </c>
      <c r="B77" s="323"/>
      <c r="C77" s="237">
        <v>16</v>
      </c>
      <c r="D77" s="412"/>
      <c r="E77" s="307" t="s">
        <v>80</v>
      </c>
      <c r="F77" s="308" t="s">
        <v>169</v>
      </c>
      <c r="G77" s="97" t="str">
        <f>'Integración Apreciación '!O133</f>
        <v>NA</v>
      </c>
      <c r="H77" s="105">
        <f>'Integración Documental'!J226</f>
        <v>5</v>
      </c>
      <c r="I77" s="45" t="str">
        <f>Estadistica!K83</f>
        <v>NA</v>
      </c>
      <c r="J77" s="105">
        <f t="shared" si="2"/>
        <v>5</v>
      </c>
      <c r="K77" s="17" t="str">
        <f t="shared" si="3"/>
        <v>A</v>
      </c>
      <c r="L77" s="397"/>
      <c r="M77" s="397"/>
      <c r="N77" s="328"/>
      <c r="O77" s="328"/>
      <c r="P77" s="397"/>
      <c r="Q77" s="328"/>
    </row>
    <row r="78" spans="1:17" ht="45" x14ac:dyDescent="0.25">
      <c r="A78" s="237">
        <v>4</v>
      </c>
      <c r="B78" s="323"/>
      <c r="C78" s="237">
        <v>16</v>
      </c>
      <c r="D78" s="412"/>
      <c r="E78" s="307" t="s">
        <v>81</v>
      </c>
      <c r="F78" s="308" t="s">
        <v>170</v>
      </c>
      <c r="G78" s="97" t="str">
        <f>'Integración Apreciación '!O134</f>
        <v>NA</v>
      </c>
      <c r="H78" s="105">
        <f>'Integración Documental'!J228</f>
        <v>5</v>
      </c>
      <c r="I78" s="45" t="str">
        <f>Estadistica!K84</f>
        <v>NA</v>
      </c>
      <c r="J78" s="105">
        <f t="shared" si="2"/>
        <v>5</v>
      </c>
      <c r="K78" s="17" t="str">
        <f t="shared" si="3"/>
        <v>A</v>
      </c>
      <c r="L78" s="397"/>
      <c r="M78" s="397"/>
      <c r="N78" s="328"/>
      <c r="O78" s="328"/>
      <c r="P78" s="397"/>
      <c r="Q78" s="328"/>
    </row>
    <row r="79" spans="1:17" ht="45" x14ac:dyDescent="0.25">
      <c r="A79" s="237">
        <v>4</v>
      </c>
      <c r="B79" s="323"/>
      <c r="C79" s="237">
        <v>16</v>
      </c>
      <c r="D79" s="412"/>
      <c r="E79" s="307" t="s">
        <v>87</v>
      </c>
      <c r="F79" s="308" t="s">
        <v>171</v>
      </c>
      <c r="G79" s="97" t="str">
        <f>'Integración Apreciación '!O135</f>
        <v>NA</v>
      </c>
      <c r="H79" s="105">
        <f>'Integración Documental'!J231</f>
        <v>5</v>
      </c>
      <c r="I79" s="45" t="str">
        <f>Estadistica!K85</f>
        <v>NA</v>
      </c>
      <c r="J79" s="105">
        <f t="shared" si="2"/>
        <v>5</v>
      </c>
      <c r="K79" s="17" t="str">
        <f t="shared" si="3"/>
        <v>A</v>
      </c>
      <c r="L79" s="397"/>
      <c r="M79" s="397"/>
      <c r="N79" s="328"/>
      <c r="O79" s="328"/>
      <c r="P79" s="397"/>
      <c r="Q79" s="328"/>
    </row>
    <row r="80" spans="1:17" ht="30" x14ac:dyDescent="0.25">
      <c r="A80" s="237">
        <v>4</v>
      </c>
      <c r="B80" s="323"/>
      <c r="C80" s="237">
        <v>16</v>
      </c>
      <c r="D80" s="412"/>
      <c r="E80" s="307" t="s">
        <v>88</v>
      </c>
      <c r="F80" s="308" t="s">
        <v>172</v>
      </c>
      <c r="G80" s="97" t="str">
        <f>'Integración Apreciación '!O136</f>
        <v>NA</v>
      </c>
      <c r="H80" s="105">
        <f>'Integración Documental'!J233</f>
        <v>5</v>
      </c>
      <c r="I80" s="45" t="str">
        <f>Estadistica!K86</f>
        <v>NA</v>
      </c>
      <c r="J80" s="105">
        <f t="shared" si="2"/>
        <v>5</v>
      </c>
      <c r="K80" s="17" t="str">
        <f t="shared" si="3"/>
        <v>A</v>
      </c>
      <c r="L80" s="397"/>
      <c r="M80" s="397"/>
      <c r="N80" s="328"/>
      <c r="O80" s="328"/>
      <c r="P80" s="397"/>
      <c r="Q80" s="328"/>
    </row>
    <row r="81" spans="1:17" ht="30" x14ac:dyDescent="0.25">
      <c r="A81" s="237">
        <v>4</v>
      </c>
      <c r="B81" s="323"/>
      <c r="C81" s="237">
        <v>16</v>
      </c>
      <c r="D81" s="412"/>
      <c r="E81" s="307" t="s">
        <v>102</v>
      </c>
      <c r="F81" s="308" t="s">
        <v>173</v>
      </c>
      <c r="G81" s="213">
        <f>'Integración Apreciación '!O137</f>
        <v>4.024256263114796</v>
      </c>
      <c r="H81" s="105" t="str">
        <f>'Integración Documental'!J235</f>
        <v>NA</v>
      </c>
      <c r="I81" s="45" t="str">
        <f>Estadistica!K87</f>
        <v>NA</v>
      </c>
      <c r="J81" s="213">
        <f t="shared" si="2"/>
        <v>4.024256263114796</v>
      </c>
      <c r="K81" s="17" t="str">
        <f t="shared" si="3"/>
        <v>B</v>
      </c>
      <c r="L81" s="397"/>
      <c r="M81" s="397"/>
      <c r="N81" s="328"/>
      <c r="O81" s="328"/>
      <c r="P81" s="397"/>
      <c r="Q81" s="328"/>
    </row>
    <row r="82" spans="1:17" ht="45" x14ac:dyDescent="0.25">
      <c r="A82" s="237">
        <v>4</v>
      </c>
      <c r="B82" s="323"/>
      <c r="C82" s="237">
        <v>16</v>
      </c>
      <c r="D82" s="412"/>
      <c r="E82" s="307" t="s">
        <v>104</v>
      </c>
      <c r="F82" s="308" t="s">
        <v>174</v>
      </c>
      <c r="G82" s="213">
        <f>'Integración Apreciación '!O143</f>
        <v>3.8313390469061872</v>
      </c>
      <c r="H82" s="105" t="str">
        <f>'Integración Documental'!J236</f>
        <v>NA</v>
      </c>
      <c r="I82" s="45" t="str">
        <f>Estadistica!K88</f>
        <v>NA</v>
      </c>
      <c r="J82" s="213">
        <f t="shared" si="2"/>
        <v>3.8313390469061872</v>
      </c>
      <c r="K82" s="17" t="str">
        <f t="shared" si="3"/>
        <v>C</v>
      </c>
      <c r="L82" s="397"/>
      <c r="M82" s="397"/>
      <c r="N82" s="328"/>
      <c r="O82" s="328"/>
      <c r="P82" s="397"/>
      <c r="Q82" s="328"/>
    </row>
    <row r="83" spans="1:17" ht="45" x14ac:dyDescent="0.25">
      <c r="A83" s="237">
        <v>4</v>
      </c>
      <c r="B83" s="323"/>
      <c r="C83" s="237">
        <v>16</v>
      </c>
      <c r="D83" s="412"/>
      <c r="E83" s="307" t="s">
        <v>106</v>
      </c>
      <c r="F83" s="308" t="s">
        <v>175</v>
      </c>
      <c r="G83" s="97" t="str">
        <f>'Integración Apreciación '!O164</f>
        <v>NA</v>
      </c>
      <c r="H83" s="105">
        <f>'Integración Documental'!J237</f>
        <v>5</v>
      </c>
      <c r="I83" s="45" t="str">
        <f>Estadistica!K89</f>
        <v>NA</v>
      </c>
      <c r="J83" s="105">
        <f t="shared" si="2"/>
        <v>5</v>
      </c>
      <c r="K83" s="17" t="str">
        <f t="shared" si="3"/>
        <v>A</v>
      </c>
      <c r="L83" s="397"/>
      <c r="M83" s="397"/>
      <c r="N83" s="328"/>
      <c r="O83" s="328"/>
      <c r="P83" s="397"/>
      <c r="Q83" s="328"/>
    </row>
    <row r="84" spans="1:17" ht="45" x14ac:dyDescent="0.25">
      <c r="A84" s="237">
        <v>4</v>
      </c>
      <c r="B84" s="323"/>
      <c r="C84" s="237">
        <v>16</v>
      </c>
      <c r="D84" s="412"/>
      <c r="E84" s="307" t="s">
        <v>177</v>
      </c>
      <c r="F84" s="308" t="s">
        <v>176</v>
      </c>
      <c r="G84" s="97" t="str">
        <f>'Integración Apreciación '!O165</f>
        <v>NA</v>
      </c>
      <c r="H84" s="105">
        <f>'Integración Documental'!J243</f>
        <v>5</v>
      </c>
      <c r="I84" s="45">
        <f>Estadistica!K90</f>
        <v>0</v>
      </c>
      <c r="J84" s="105">
        <f t="shared" si="2"/>
        <v>2.5</v>
      </c>
      <c r="K84" s="17" t="str">
        <f t="shared" si="3"/>
        <v>D</v>
      </c>
      <c r="L84" s="397"/>
      <c r="M84" s="397"/>
      <c r="N84" s="328"/>
      <c r="O84" s="328"/>
      <c r="P84" s="397"/>
      <c r="Q84" s="328"/>
    </row>
    <row r="85" spans="1:17" ht="45" x14ac:dyDescent="0.25">
      <c r="A85" s="237">
        <v>4</v>
      </c>
      <c r="B85" s="323"/>
      <c r="C85" s="237">
        <v>16</v>
      </c>
      <c r="D85" s="412"/>
      <c r="E85" s="307" t="s">
        <v>181</v>
      </c>
      <c r="F85" s="308" t="s">
        <v>178</v>
      </c>
      <c r="G85" s="97" t="str">
        <f>'Integración Apreciación '!O166</f>
        <v>NA</v>
      </c>
      <c r="H85" s="105">
        <f>'Integración Documental'!J242</f>
        <v>0</v>
      </c>
      <c r="I85" s="45">
        <f>Estadistica!K92</f>
        <v>0</v>
      </c>
      <c r="J85" s="105">
        <f t="shared" si="2"/>
        <v>0</v>
      </c>
      <c r="K85" s="17" t="str">
        <f t="shared" si="3"/>
        <v>E</v>
      </c>
      <c r="L85" s="397"/>
      <c r="M85" s="397"/>
      <c r="N85" s="328"/>
      <c r="O85" s="328"/>
      <c r="P85" s="397"/>
      <c r="Q85" s="328"/>
    </row>
    <row r="86" spans="1:17" ht="45" x14ac:dyDescent="0.25">
      <c r="A86" s="237">
        <v>4</v>
      </c>
      <c r="B86" s="323"/>
      <c r="C86" s="237">
        <v>16</v>
      </c>
      <c r="D86" s="412"/>
      <c r="E86" s="307" t="s">
        <v>182</v>
      </c>
      <c r="F86" s="308" t="s">
        <v>179</v>
      </c>
      <c r="G86" s="97" t="str">
        <f>'Integración Apreciación '!O167</f>
        <v>NA</v>
      </c>
      <c r="H86" s="105">
        <f>'Integración Documental'!J243</f>
        <v>5</v>
      </c>
      <c r="I86" s="45" t="str">
        <f>Estadistica!K93</f>
        <v>NA</v>
      </c>
      <c r="J86" s="105">
        <f t="shared" si="2"/>
        <v>5</v>
      </c>
      <c r="K86" s="17" t="str">
        <f t="shared" si="3"/>
        <v>A</v>
      </c>
      <c r="L86" s="397"/>
      <c r="M86" s="397"/>
      <c r="N86" s="328"/>
      <c r="O86" s="328"/>
      <c r="P86" s="397"/>
      <c r="Q86" s="328"/>
    </row>
    <row r="87" spans="1:17" ht="45" x14ac:dyDescent="0.25">
      <c r="A87" s="237">
        <v>4</v>
      </c>
      <c r="B87" s="323"/>
      <c r="C87" s="237">
        <v>16</v>
      </c>
      <c r="D87" s="412"/>
      <c r="E87" s="307" t="s">
        <v>183</v>
      </c>
      <c r="F87" s="308" t="s">
        <v>180</v>
      </c>
      <c r="G87" s="213">
        <f>'Integración Apreciación '!O168</f>
        <v>4.1721870086861825</v>
      </c>
      <c r="H87" s="105">
        <f>'Integración Documental'!J245</f>
        <v>2.5</v>
      </c>
      <c r="I87" s="45">
        <f>Estadistica!K94</f>
        <v>5</v>
      </c>
      <c r="J87" s="213">
        <f t="shared" si="2"/>
        <v>3.8344374017372367</v>
      </c>
      <c r="K87" s="17" t="str">
        <f t="shared" si="3"/>
        <v>C</v>
      </c>
      <c r="L87" s="397"/>
      <c r="M87" s="397"/>
      <c r="N87" s="328"/>
      <c r="O87" s="328"/>
      <c r="P87" s="397"/>
      <c r="Q87" s="328"/>
    </row>
    <row r="88" spans="1:17" ht="45.75" customHeight="1" x14ac:dyDescent="0.25">
      <c r="A88" s="237">
        <v>4</v>
      </c>
      <c r="B88" s="323"/>
      <c r="C88" s="237">
        <v>16</v>
      </c>
      <c r="D88" s="412"/>
      <c r="E88" s="307" t="s">
        <v>184</v>
      </c>
      <c r="F88" s="308" t="s">
        <v>375</v>
      </c>
      <c r="G88" s="97" t="str">
        <f>'Integración Apreciación '!O179</f>
        <v>NA</v>
      </c>
      <c r="H88" s="105">
        <f>'Integración Documental'!J247</f>
        <v>5</v>
      </c>
      <c r="I88" s="45" t="str">
        <f>Estadistica!K95</f>
        <v>NA</v>
      </c>
      <c r="J88" s="105">
        <f t="shared" si="2"/>
        <v>5</v>
      </c>
      <c r="K88" s="17" t="str">
        <f t="shared" si="3"/>
        <v>A</v>
      </c>
      <c r="L88" s="398"/>
      <c r="M88" s="397"/>
      <c r="N88" s="329"/>
      <c r="O88" s="328"/>
      <c r="P88" s="397"/>
      <c r="Q88" s="328"/>
    </row>
    <row r="89" spans="1:17" ht="60" x14ac:dyDescent="0.25">
      <c r="A89" s="237">
        <v>4</v>
      </c>
      <c r="B89" s="323"/>
      <c r="C89" s="237">
        <v>17</v>
      </c>
      <c r="D89" s="412" t="s">
        <v>185</v>
      </c>
      <c r="E89" s="307" t="s">
        <v>55</v>
      </c>
      <c r="F89" s="308" t="s">
        <v>186</v>
      </c>
      <c r="G89" s="213">
        <f>'Integración Apreciación '!O180</f>
        <v>3.7706526194465582</v>
      </c>
      <c r="H89" s="105">
        <f>'Integración Documental'!J249</f>
        <v>5</v>
      </c>
      <c r="I89" s="45" t="str">
        <f>Estadistica!K96</f>
        <v>NA</v>
      </c>
      <c r="J89" s="213">
        <f t="shared" si="2"/>
        <v>4.3853263097232791</v>
      </c>
      <c r="K89" s="17" t="str">
        <f t="shared" si="3"/>
        <v>B</v>
      </c>
      <c r="L89" s="396">
        <f>AVERAGE(J89:J98)</f>
        <v>4.6939065743702075</v>
      </c>
      <c r="M89" s="397"/>
      <c r="N89" s="327" t="str">
        <f>IF(((L89&gt;=$Z$4)*AND(L89&lt;=$AA$4)),$Y$4,IF(((L89&gt;$AA$4)*AND(L89&lt;=$AA$5)),$Y$5,IF(((L89&gt;$AA$5)*AND(L89&lt;=$AA$6)),$Y$6,IF(((L89&gt;$AA$6)*AND(L89&lt;=$AA$7)),$Y$7,IF(((L89&gt;$AA$7)*AND(L89&lt;=$AA$8)),$Y$8,IF(EXACT(L89,$Y$9),$Z$9))))))</f>
        <v>A</v>
      </c>
      <c r="O89" s="328"/>
      <c r="P89" s="397"/>
      <c r="Q89" s="328"/>
    </row>
    <row r="90" spans="1:17" ht="45" x14ac:dyDescent="0.25">
      <c r="A90" s="237">
        <v>4</v>
      </c>
      <c r="B90" s="323"/>
      <c r="C90" s="237">
        <v>17</v>
      </c>
      <c r="D90" s="412"/>
      <c r="E90" s="307" t="s">
        <v>56</v>
      </c>
      <c r="F90" s="308" t="s">
        <v>376</v>
      </c>
      <c r="G90" s="97" t="str">
        <f>'Integración Apreciación '!O203</f>
        <v>NA</v>
      </c>
      <c r="H90" s="105">
        <f>'Integración Documental'!J250</f>
        <v>5</v>
      </c>
      <c r="I90" s="45" t="str">
        <f>Estadistica!K97</f>
        <v>NA</v>
      </c>
      <c r="J90" s="105">
        <f t="shared" si="2"/>
        <v>5</v>
      </c>
      <c r="K90" s="17" t="str">
        <f t="shared" si="3"/>
        <v>A</v>
      </c>
      <c r="L90" s="397"/>
      <c r="M90" s="397"/>
      <c r="N90" s="328"/>
      <c r="O90" s="328"/>
      <c r="P90" s="397"/>
      <c r="Q90" s="328"/>
    </row>
    <row r="91" spans="1:17" ht="27.75" customHeight="1" x14ac:dyDescent="0.25">
      <c r="A91" s="237">
        <v>4</v>
      </c>
      <c r="B91" s="323"/>
      <c r="C91" s="237">
        <v>17</v>
      </c>
      <c r="D91" s="412"/>
      <c r="E91" s="307" t="s">
        <v>80</v>
      </c>
      <c r="F91" s="308" t="s">
        <v>187</v>
      </c>
      <c r="G91" s="213">
        <f>'Integración Apreciación '!O204</f>
        <v>3.7273026315789473</v>
      </c>
      <c r="H91" s="105">
        <f>'Integración Documental'!J254</f>
        <v>5</v>
      </c>
      <c r="I91" s="45" t="str">
        <f>Estadistica!K98</f>
        <v>NA</v>
      </c>
      <c r="J91" s="213">
        <f t="shared" si="2"/>
        <v>4.3636513157894736</v>
      </c>
      <c r="K91" s="17" t="str">
        <f t="shared" si="3"/>
        <v>B</v>
      </c>
      <c r="L91" s="397"/>
      <c r="M91" s="397"/>
      <c r="N91" s="328"/>
      <c r="O91" s="328"/>
      <c r="P91" s="397"/>
      <c r="Q91" s="328"/>
    </row>
    <row r="92" spans="1:17" ht="45" x14ac:dyDescent="0.25">
      <c r="A92" s="237">
        <v>4</v>
      </c>
      <c r="B92" s="323"/>
      <c r="C92" s="237">
        <v>17</v>
      </c>
      <c r="D92" s="412"/>
      <c r="E92" s="307" t="s">
        <v>81</v>
      </c>
      <c r="F92" s="308" t="s">
        <v>188</v>
      </c>
      <c r="G92" s="97" t="str">
        <f>'Integración Apreciación '!O209</f>
        <v>NA</v>
      </c>
      <c r="H92" s="105">
        <f>'Integración Documental'!J257</f>
        <v>5</v>
      </c>
      <c r="I92" s="45" t="str">
        <f>Estadistica!K99</f>
        <v>NA</v>
      </c>
      <c r="J92" s="105">
        <f t="shared" si="2"/>
        <v>5</v>
      </c>
      <c r="K92" s="17" t="str">
        <f t="shared" si="3"/>
        <v>A</v>
      </c>
      <c r="L92" s="397"/>
      <c r="M92" s="397"/>
      <c r="N92" s="328"/>
      <c r="O92" s="328"/>
      <c r="P92" s="397"/>
      <c r="Q92" s="328"/>
    </row>
    <row r="93" spans="1:17" ht="30.75" customHeight="1" x14ac:dyDescent="0.25">
      <c r="A93" s="237">
        <v>4</v>
      </c>
      <c r="B93" s="323"/>
      <c r="C93" s="237">
        <v>17</v>
      </c>
      <c r="D93" s="412"/>
      <c r="E93" s="307" t="s">
        <v>87</v>
      </c>
      <c r="F93" s="308" t="s">
        <v>2890</v>
      </c>
      <c r="G93" s="213">
        <f>'Integración Apreciación '!O210</f>
        <v>3.6052306867745987</v>
      </c>
      <c r="H93" s="105" t="str">
        <f>'Integración Documental'!J259</f>
        <v>NA</v>
      </c>
      <c r="I93" s="45" t="str">
        <f>Estadistica!K100</f>
        <v>NA</v>
      </c>
      <c r="J93" s="213">
        <f t="shared" si="2"/>
        <v>3.6052306867745987</v>
      </c>
      <c r="K93" s="17" t="str">
        <f t="shared" si="3"/>
        <v>C</v>
      </c>
      <c r="L93" s="397"/>
      <c r="M93" s="397"/>
      <c r="N93" s="328"/>
      <c r="O93" s="328"/>
      <c r="P93" s="397"/>
      <c r="Q93" s="328"/>
    </row>
    <row r="94" spans="1:17" ht="30" x14ac:dyDescent="0.25">
      <c r="A94" s="237">
        <v>4</v>
      </c>
      <c r="B94" s="323"/>
      <c r="C94" s="237">
        <v>17</v>
      </c>
      <c r="D94" s="412"/>
      <c r="E94" s="307" t="s">
        <v>88</v>
      </c>
      <c r="F94" s="308" t="s">
        <v>189</v>
      </c>
      <c r="G94" s="97" t="str">
        <f>'Integración Apreciación '!O218</f>
        <v>NA</v>
      </c>
      <c r="H94" s="105">
        <f>'Integración Documental'!J260</f>
        <v>5</v>
      </c>
      <c r="I94" s="45">
        <f>Estadistica!K101</f>
        <v>5</v>
      </c>
      <c r="J94" s="105">
        <f t="shared" si="2"/>
        <v>5</v>
      </c>
      <c r="K94" s="17" t="str">
        <f t="shared" si="3"/>
        <v>A</v>
      </c>
      <c r="L94" s="397"/>
      <c r="M94" s="397"/>
      <c r="N94" s="328"/>
      <c r="O94" s="328"/>
      <c r="P94" s="397"/>
      <c r="Q94" s="328"/>
    </row>
    <row r="95" spans="1:17" ht="30" x14ac:dyDescent="0.25">
      <c r="A95" s="237">
        <v>4</v>
      </c>
      <c r="B95" s="323"/>
      <c r="C95" s="237">
        <v>17</v>
      </c>
      <c r="D95" s="412"/>
      <c r="E95" s="307" t="s">
        <v>102</v>
      </c>
      <c r="F95" s="308" t="s">
        <v>190</v>
      </c>
      <c r="G95" s="97" t="str">
        <f>'Integración Apreciación '!O219</f>
        <v>NA</v>
      </c>
      <c r="H95" s="105">
        <f>'Integración Documental'!J261</f>
        <v>5</v>
      </c>
      <c r="I95" s="45">
        <f>Estadistica!K102</f>
        <v>5</v>
      </c>
      <c r="J95" s="105">
        <f t="shared" si="2"/>
        <v>5</v>
      </c>
      <c r="K95" s="17" t="str">
        <f t="shared" si="3"/>
        <v>A</v>
      </c>
      <c r="L95" s="397"/>
      <c r="M95" s="397"/>
      <c r="N95" s="328"/>
      <c r="O95" s="328"/>
      <c r="P95" s="397"/>
      <c r="Q95" s="328"/>
    </row>
    <row r="96" spans="1:17" ht="60" x14ac:dyDescent="0.25">
      <c r="A96" s="237">
        <v>4</v>
      </c>
      <c r="B96" s="323"/>
      <c r="C96" s="237">
        <v>17</v>
      </c>
      <c r="D96" s="412"/>
      <c r="E96" s="307" t="s">
        <v>104</v>
      </c>
      <c r="F96" s="308" t="s">
        <v>191</v>
      </c>
      <c r="G96" s="213">
        <f>'Integración Apreciación '!O220</f>
        <v>3.6921838267908629</v>
      </c>
      <c r="H96" s="105">
        <f>'Integración Documental'!J262</f>
        <v>5</v>
      </c>
      <c r="I96" s="45">
        <f>Estadistica!K103</f>
        <v>5</v>
      </c>
      <c r="J96" s="213">
        <f t="shared" si="2"/>
        <v>4.7384367653581725</v>
      </c>
      <c r="K96" s="17" t="str">
        <f t="shared" si="3"/>
        <v>A</v>
      </c>
      <c r="L96" s="397"/>
      <c r="M96" s="397"/>
      <c r="N96" s="328"/>
      <c r="O96" s="328"/>
      <c r="P96" s="397"/>
      <c r="Q96" s="328"/>
    </row>
    <row r="97" spans="1:17" ht="60" x14ac:dyDescent="0.25">
      <c r="A97" s="237">
        <v>4</v>
      </c>
      <c r="B97" s="323"/>
      <c r="C97" s="237">
        <v>17</v>
      </c>
      <c r="D97" s="412"/>
      <c r="E97" s="307" t="s">
        <v>106</v>
      </c>
      <c r="F97" s="308" t="s">
        <v>192</v>
      </c>
      <c r="G97" s="213">
        <f>'Integración Apreciación '!O230</f>
        <v>4.2321033302827544</v>
      </c>
      <c r="H97" s="105">
        <f>'Integración Documental'!J263</f>
        <v>5</v>
      </c>
      <c r="I97" s="45">
        <f>Estadistica!K105</f>
        <v>5</v>
      </c>
      <c r="J97" s="213">
        <f t="shared" si="2"/>
        <v>4.8464206660565505</v>
      </c>
      <c r="K97" s="17" t="str">
        <f t="shared" si="3"/>
        <v>A</v>
      </c>
      <c r="L97" s="397"/>
      <c r="M97" s="397"/>
      <c r="N97" s="328"/>
      <c r="O97" s="328"/>
      <c r="P97" s="397"/>
      <c r="Q97" s="328"/>
    </row>
    <row r="98" spans="1:17" ht="60" x14ac:dyDescent="0.25">
      <c r="A98" s="237">
        <v>4</v>
      </c>
      <c r="B98" s="323"/>
      <c r="C98" s="237">
        <v>17</v>
      </c>
      <c r="D98" s="412"/>
      <c r="E98" s="307" t="s">
        <v>177</v>
      </c>
      <c r="F98" s="308" t="s">
        <v>193</v>
      </c>
      <c r="G98" s="97" t="str">
        <f>'Integración Apreciación '!O242</f>
        <v>NA</v>
      </c>
      <c r="H98" s="105">
        <f>'Integración Documental'!J264</f>
        <v>5</v>
      </c>
      <c r="I98" s="45">
        <f>Estadistica!K105</f>
        <v>5</v>
      </c>
      <c r="J98" s="105">
        <f t="shared" si="2"/>
        <v>5</v>
      </c>
      <c r="K98" s="17" t="str">
        <f t="shared" si="3"/>
        <v>A</v>
      </c>
      <c r="L98" s="398"/>
      <c r="M98" s="397"/>
      <c r="N98" s="329"/>
      <c r="O98" s="328"/>
      <c r="P98" s="397"/>
      <c r="Q98" s="328"/>
    </row>
    <row r="99" spans="1:17" ht="30" x14ac:dyDescent="0.25">
      <c r="A99" s="237">
        <v>4</v>
      </c>
      <c r="B99" s="323"/>
      <c r="C99" s="237">
        <v>18</v>
      </c>
      <c r="D99" s="412" t="s">
        <v>194</v>
      </c>
      <c r="E99" s="307" t="s">
        <v>55</v>
      </c>
      <c r="F99" s="308" t="s">
        <v>195</v>
      </c>
      <c r="G99" s="213">
        <f>'Integración Apreciación '!O243</f>
        <v>3.437404080727434</v>
      </c>
      <c r="H99" s="105">
        <f>'Integración Documental'!J265</f>
        <v>5</v>
      </c>
      <c r="I99" s="45">
        <f>Estadistica!K106</f>
        <v>5</v>
      </c>
      <c r="J99" s="213">
        <f t="shared" si="2"/>
        <v>4.6874808161454871</v>
      </c>
      <c r="K99" s="17" t="str">
        <f t="shared" si="3"/>
        <v>A</v>
      </c>
      <c r="L99" s="396">
        <f>AVERAGE(J99:J101)</f>
        <v>4.4210063946181712</v>
      </c>
      <c r="M99" s="397"/>
      <c r="N99" s="327" t="s">
        <v>37</v>
      </c>
      <c r="O99" s="328"/>
      <c r="P99" s="397"/>
      <c r="Q99" s="328"/>
    </row>
    <row r="100" spans="1:17" ht="35.1" customHeight="1" x14ac:dyDescent="0.25">
      <c r="A100" s="237">
        <v>4</v>
      </c>
      <c r="B100" s="323"/>
      <c r="C100" s="237">
        <v>18</v>
      </c>
      <c r="D100" s="412"/>
      <c r="E100" s="307" t="s">
        <v>56</v>
      </c>
      <c r="F100" s="308" t="s">
        <v>3150</v>
      </c>
      <c r="G100" s="97" t="str">
        <f>'Integración Apreciación '!O246</f>
        <v>NA</v>
      </c>
      <c r="H100" s="105">
        <f>'Integración Documental'!J266</f>
        <v>5</v>
      </c>
      <c r="I100" s="45">
        <f>Estadistica!K107</f>
        <v>5</v>
      </c>
      <c r="J100" s="105">
        <f t="shared" si="2"/>
        <v>5</v>
      </c>
      <c r="K100" s="17" t="str">
        <f t="shared" si="3"/>
        <v>A</v>
      </c>
      <c r="L100" s="397"/>
      <c r="M100" s="397"/>
      <c r="N100" s="328"/>
      <c r="O100" s="328"/>
      <c r="P100" s="397"/>
      <c r="Q100" s="328"/>
    </row>
    <row r="101" spans="1:17" ht="31.5" customHeight="1" x14ac:dyDescent="0.25">
      <c r="A101" s="237">
        <v>4</v>
      </c>
      <c r="B101" s="323"/>
      <c r="C101" s="237">
        <v>18</v>
      </c>
      <c r="D101" s="412"/>
      <c r="E101" s="307" t="s">
        <v>80</v>
      </c>
      <c r="F101" s="308" t="s">
        <v>196</v>
      </c>
      <c r="G101" s="213">
        <f>'Integración Apreciación '!O247</f>
        <v>3.5755383677090267</v>
      </c>
      <c r="H101" s="105" t="str">
        <f>'Integración Documental'!J267</f>
        <v>NA</v>
      </c>
      <c r="I101" s="45" t="str">
        <f>Estadistica!K108</f>
        <v>NA</v>
      </c>
      <c r="J101" s="213">
        <f t="shared" si="2"/>
        <v>3.5755383677090267</v>
      </c>
      <c r="K101" s="17" t="str">
        <f t="shared" si="3"/>
        <v>C</v>
      </c>
      <c r="L101" s="398"/>
      <c r="M101" s="397"/>
      <c r="N101" s="329"/>
      <c r="O101" s="328"/>
      <c r="P101" s="397"/>
      <c r="Q101" s="328"/>
    </row>
    <row r="102" spans="1:17" ht="45" x14ac:dyDescent="0.25">
      <c r="A102" s="237">
        <v>4</v>
      </c>
      <c r="B102" s="323"/>
      <c r="C102" s="237">
        <v>19</v>
      </c>
      <c r="D102" s="412" t="s">
        <v>197</v>
      </c>
      <c r="E102" s="307" t="s">
        <v>55</v>
      </c>
      <c r="F102" s="308" t="s">
        <v>198</v>
      </c>
      <c r="G102" s="213">
        <f>'Integración Apreciación '!O252</f>
        <v>3.6654019810038792</v>
      </c>
      <c r="H102" s="105">
        <f>'Integración Documental'!J268</f>
        <v>5</v>
      </c>
      <c r="I102" s="45" t="str">
        <f>Estadistica!K109</f>
        <v>NA</v>
      </c>
      <c r="J102" s="213">
        <f t="shared" si="2"/>
        <v>4.3327009905019391</v>
      </c>
      <c r="K102" s="17" t="str">
        <f t="shared" si="3"/>
        <v>B</v>
      </c>
      <c r="L102" s="396">
        <f>AVERAGE(J102:J116)</f>
        <v>4.4687753152252494</v>
      </c>
      <c r="M102" s="397"/>
      <c r="N102" s="327" t="s">
        <v>37</v>
      </c>
      <c r="O102" s="328"/>
      <c r="P102" s="397"/>
      <c r="Q102" s="328"/>
    </row>
    <row r="103" spans="1:17" ht="75" x14ac:dyDescent="0.25">
      <c r="A103" s="237">
        <v>4</v>
      </c>
      <c r="B103" s="323"/>
      <c r="C103" s="237">
        <v>19</v>
      </c>
      <c r="D103" s="412"/>
      <c r="E103" s="307" t="s">
        <v>56</v>
      </c>
      <c r="F103" s="308" t="s">
        <v>199</v>
      </c>
      <c r="G103" s="213">
        <f>'Integración Apreciación '!O296</f>
        <v>4.0749964494088733</v>
      </c>
      <c r="H103" s="105">
        <f>'Integración Documental'!J269</f>
        <v>5</v>
      </c>
      <c r="I103" s="45" t="str">
        <f>Estadistica!K110</f>
        <v>NA</v>
      </c>
      <c r="J103" s="213">
        <f t="shared" si="2"/>
        <v>4.5374982247044366</v>
      </c>
      <c r="K103" s="17" t="str">
        <f t="shared" si="3"/>
        <v>A</v>
      </c>
      <c r="L103" s="397"/>
      <c r="M103" s="397"/>
      <c r="N103" s="328"/>
      <c r="O103" s="328"/>
      <c r="P103" s="397"/>
      <c r="Q103" s="328"/>
    </row>
    <row r="104" spans="1:17" ht="60" x14ac:dyDescent="0.25">
      <c r="A104" s="237">
        <v>4</v>
      </c>
      <c r="B104" s="323"/>
      <c r="C104" s="237">
        <v>19</v>
      </c>
      <c r="D104" s="412"/>
      <c r="E104" s="307" t="s">
        <v>80</v>
      </c>
      <c r="F104" s="308" t="s">
        <v>200</v>
      </c>
      <c r="G104" s="213">
        <f>'Integración Apreciación '!O302</f>
        <v>3.7739774297558726</v>
      </c>
      <c r="H104" s="105" t="str">
        <f>'Integración Documental'!J270</f>
        <v>NA</v>
      </c>
      <c r="I104" s="45" t="str">
        <f>Estadistica!K111</f>
        <v>NA</v>
      </c>
      <c r="J104" s="213">
        <f t="shared" si="2"/>
        <v>3.7739774297558726</v>
      </c>
      <c r="K104" s="17" t="str">
        <f t="shared" si="3"/>
        <v>C</v>
      </c>
      <c r="L104" s="397"/>
      <c r="M104" s="397"/>
      <c r="N104" s="328"/>
      <c r="O104" s="328"/>
      <c r="P104" s="397"/>
      <c r="Q104" s="328"/>
    </row>
    <row r="105" spans="1:17" ht="60" x14ac:dyDescent="0.25">
      <c r="A105" s="237">
        <v>4</v>
      </c>
      <c r="B105" s="323"/>
      <c r="C105" s="237">
        <v>19</v>
      </c>
      <c r="D105" s="412"/>
      <c r="E105" s="307" t="s">
        <v>81</v>
      </c>
      <c r="F105" s="308" t="s">
        <v>201</v>
      </c>
      <c r="G105" s="97" t="str">
        <f>'Integración Apreciación '!O310</f>
        <v>NA</v>
      </c>
      <c r="H105" s="105">
        <f>'Integración Documental'!J271</f>
        <v>5</v>
      </c>
      <c r="I105" s="45" t="str">
        <f>Estadistica!K112</f>
        <v>NA</v>
      </c>
      <c r="J105" s="105">
        <f t="shared" si="2"/>
        <v>5</v>
      </c>
      <c r="K105" s="17" t="str">
        <f t="shared" si="3"/>
        <v>A</v>
      </c>
      <c r="L105" s="397"/>
      <c r="M105" s="397"/>
      <c r="N105" s="328"/>
      <c r="O105" s="328"/>
      <c r="P105" s="397"/>
      <c r="Q105" s="328"/>
    </row>
    <row r="106" spans="1:17" ht="45" x14ac:dyDescent="0.25">
      <c r="A106" s="237">
        <v>4</v>
      </c>
      <c r="B106" s="323"/>
      <c r="C106" s="237">
        <v>19</v>
      </c>
      <c r="D106" s="412"/>
      <c r="E106" s="307" t="s">
        <v>87</v>
      </c>
      <c r="F106" s="308" t="s">
        <v>202</v>
      </c>
      <c r="G106" s="97" t="str">
        <f>'Integración Apreciación '!O311</f>
        <v>NA</v>
      </c>
      <c r="H106" s="105">
        <f>'Integración Documental'!J272</f>
        <v>5</v>
      </c>
      <c r="I106" s="45" t="str">
        <f>Estadistica!K113</f>
        <v>NA</v>
      </c>
      <c r="J106" s="105">
        <f t="shared" si="2"/>
        <v>5</v>
      </c>
      <c r="K106" s="17" t="str">
        <f t="shared" si="3"/>
        <v>A</v>
      </c>
      <c r="L106" s="397"/>
      <c r="M106" s="397"/>
      <c r="N106" s="328"/>
      <c r="O106" s="328"/>
      <c r="P106" s="397"/>
      <c r="Q106" s="328"/>
    </row>
    <row r="107" spans="1:17" ht="60" x14ac:dyDescent="0.25">
      <c r="A107" s="237">
        <v>4</v>
      </c>
      <c r="B107" s="323"/>
      <c r="C107" s="237">
        <v>19</v>
      </c>
      <c r="D107" s="412"/>
      <c r="E107" s="307" t="s">
        <v>88</v>
      </c>
      <c r="F107" s="308" t="s">
        <v>203</v>
      </c>
      <c r="G107" s="213">
        <f>'Integración Apreciación '!O312</f>
        <v>3.7467065868263476</v>
      </c>
      <c r="H107" s="105">
        <f>'Integración Documental'!J273</f>
        <v>5</v>
      </c>
      <c r="I107" s="45" t="str">
        <f>Estadistica!K114</f>
        <v>NA</v>
      </c>
      <c r="J107" s="213">
        <f t="shared" si="2"/>
        <v>4.3733532934131736</v>
      </c>
      <c r="K107" s="17" t="str">
        <f t="shared" si="3"/>
        <v>B</v>
      </c>
      <c r="L107" s="397"/>
      <c r="M107" s="397"/>
      <c r="N107" s="328"/>
      <c r="O107" s="328"/>
      <c r="P107" s="397"/>
      <c r="Q107" s="328"/>
    </row>
    <row r="108" spans="1:17" ht="30" x14ac:dyDescent="0.25">
      <c r="A108" s="237">
        <v>4</v>
      </c>
      <c r="B108" s="323"/>
      <c r="C108" s="237">
        <v>19</v>
      </c>
      <c r="D108" s="412"/>
      <c r="E108" s="307" t="s">
        <v>102</v>
      </c>
      <c r="F108" s="308" t="s">
        <v>204</v>
      </c>
      <c r="G108" s="97" t="str">
        <f>'Integración Apreciación '!O313</f>
        <v>NA</v>
      </c>
      <c r="H108" s="105">
        <f>'Integración Documental'!J274</f>
        <v>5</v>
      </c>
      <c r="I108" s="45" t="str">
        <f>Estadistica!K115</f>
        <v>NA</v>
      </c>
      <c r="J108" s="105">
        <f t="shared" si="2"/>
        <v>5</v>
      </c>
      <c r="K108" s="17" t="str">
        <f t="shared" si="3"/>
        <v>A</v>
      </c>
      <c r="L108" s="397"/>
      <c r="M108" s="397"/>
      <c r="N108" s="328"/>
      <c r="O108" s="328"/>
      <c r="P108" s="397"/>
      <c r="Q108" s="328"/>
    </row>
    <row r="109" spans="1:17" ht="45" x14ac:dyDescent="0.25">
      <c r="A109" s="237">
        <v>4</v>
      </c>
      <c r="B109" s="323"/>
      <c r="C109" s="237">
        <v>19</v>
      </c>
      <c r="D109" s="412"/>
      <c r="E109" s="307" t="s">
        <v>104</v>
      </c>
      <c r="F109" s="308" t="s">
        <v>205</v>
      </c>
      <c r="G109" s="213">
        <f>'Integración Apreciación '!O314</f>
        <v>3.8687185420825019</v>
      </c>
      <c r="H109" s="105">
        <f>'Integración Documental'!J275</f>
        <v>5</v>
      </c>
      <c r="I109" s="45" t="str">
        <f>Estadistica!K116</f>
        <v>NA</v>
      </c>
      <c r="J109" s="213">
        <f t="shared" si="2"/>
        <v>4.4343592710412505</v>
      </c>
      <c r="K109" s="17" t="str">
        <f t="shared" si="3"/>
        <v>A</v>
      </c>
      <c r="L109" s="397"/>
      <c r="M109" s="397"/>
      <c r="N109" s="328"/>
      <c r="O109" s="328"/>
      <c r="P109" s="397"/>
      <c r="Q109" s="328"/>
    </row>
    <row r="110" spans="1:17" ht="45" x14ac:dyDescent="0.25">
      <c r="A110" s="237">
        <v>4</v>
      </c>
      <c r="B110" s="323"/>
      <c r="C110" s="237">
        <v>19</v>
      </c>
      <c r="D110" s="412"/>
      <c r="E110" s="307" t="s">
        <v>106</v>
      </c>
      <c r="F110" s="308" t="s">
        <v>206</v>
      </c>
      <c r="G110" s="97" t="str">
        <f>'Integración Apreciación '!O332</f>
        <v>NA</v>
      </c>
      <c r="H110" s="105">
        <f>'Integración Documental'!J276</f>
        <v>5</v>
      </c>
      <c r="I110" s="45" t="str">
        <f>Estadistica!K117</f>
        <v>NA</v>
      </c>
      <c r="J110" s="105">
        <f t="shared" si="2"/>
        <v>5</v>
      </c>
      <c r="K110" s="17" t="str">
        <f t="shared" si="3"/>
        <v>A</v>
      </c>
      <c r="L110" s="397"/>
      <c r="M110" s="397"/>
      <c r="N110" s="328"/>
      <c r="O110" s="328"/>
      <c r="P110" s="397"/>
      <c r="Q110" s="328"/>
    </row>
    <row r="111" spans="1:17" ht="60" x14ac:dyDescent="0.25">
      <c r="A111" s="237">
        <v>4</v>
      </c>
      <c r="B111" s="323"/>
      <c r="C111" s="237">
        <v>19</v>
      </c>
      <c r="D111" s="412"/>
      <c r="E111" s="307" t="s">
        <v>177</v>
      </c>
      <c r="F111" s="308" t="s">
        <v>207</v>
      </c>
      <c r="G111" s="97" t="str">
        <f>'Integración Apreciación '!O333</f>
        <v>NA</v>
      </c>
      <c r="H111" s="105">
        <f>'Integración Documental'!J278</f>
        <v>5</v>
      </c>
      <c r="I111" s="45" t="str">
        <f>Estadistica!K118</f>
        <v>NA</v>
      </c>
      <c r="J111" s="105">
        <f t="shared" si="2"/>
        <v>5</v>
      </c>
      <c r="K111" s="17" t="str">
        <f t="shared" si="3"/>
        <v>A</v>
      </c>
      <c r="L111" s="397"/>
      <c r="M111" s="397"/>
      <c r="N111" s="328"/>
      <c r="O111" s="328"/>
      <c r="P111" s="397"/>
      <c r="Q111" s="328"/>
    </row>
    <row r="112" spans="1:17" ht="45" x14ac:dyDescent="0.25">
      <c r="A112" s="237">
        <v>4</v>
      </c>
      <c r="B112" s="323"/>
      <c r="C112" s="237">
        <v>19</v>
      </c>
      <c r="D112" s="412"/>
      <c r="E112" s="307" t="s">
        <v>181</v>
      </c>
      <c r="F112" s="308" t="s">
        <v>208</v>
      </c>
      <c r="G112" s="97" t="str">
        <f>'Integración Apreciación '!O334</f>
        <v>NA</v>
      </c>
      <c r="H112" s="105">
        <f>'Integración Documental'!J280</f>
        <v>3.75</v>
      </c>
      <c r="I112" s="45" t="str">
        <f>Estadistica!K119</f>
        <v>NA</v>
      </c>
      <c r="J112" s="105">
        <f t="shared" si="2"/>
        <v>3.75</v>
      </c>
      <c r="K112" s="17" t="str">
        <f t="shared" si="3"/>
        <v>C</v>
      </c>
      <c r="L112" s="397"/>
      <c r="M112" s="397"/>
      <c r="N112" s="328"/>
      <c r="O112" s="328"/>
      <c r="P112" s="397"/>
      <c r="Q112" s="328"/>
    </row>
    <row r="113" spans="1:17" ht="30.75" customHeight="1" x14ac:dyDescent="0.25">
      <c r="A113" s="237">
        <v>4</v>
      </c>
      <c r="B113" s="323"/>
      <c r="C113" s="237">
        <v>19</v>
      </c>
      <c r="D113" s="412"/>
      <c r="E113" s="307" t="s">
        <v>182</v>
      </c>
      <c r="F113" s="308" t="s">
        <v>209</v>
      </c>
      <c r="G113" s="97" t="str">
        <f>'Integración Apreciación '!O335</f>
        <v>NA</v>
      </c>
      <c r="H113" s="105">
        <f>'Integración Documental'!J284</f>
        <v>5</v>
      </c>
      <c r="I113" s="45" t="str">
        <f>Estadistica!K120</f>
        <v>NA</v>
      </c>
      <c r="J113" s="105">
        <f t="shared" si="2"/>
        <v>5</v>
      </c>
      <c r="K113" s="17" t="str">
        <f t="shared" si="3"/>
        <v>A</v>
      </c>
      <c r="L113" s="397"/>
      <c r="M113" s="397"/>
      <c r="N113" s="328"/>
      <c r="O113" s="328"/>
      <c r="P113" s="397"/>
      <c r="Q113" s="328"/>
    </row>
    <row r="114" spans="1:17" ht="45" x14ac:dyDescent="0.25">
      <c r="A114" s="237">
        <v>4</v>
      </c>
      <c r="B114" s="323"/>
      <c r="C114" s="237">
        <v>19</v>
      </c>
      <c r="D114" s="412"/>
      <c r="E114" s="307" t="s">
        <v>183</v>
      </c>
      <c r="F114" s="308" t="s">
        <v>210</v>
      </c>
      <c r="G114" s="213">
        <f>'Integración Apreciación '!O336</f>
        <v>3.4964071856287426</v>
      </c>
      <c r="H114" s="105" t="str">
        <f>'Integración Documental'!J288</f>
        <v>NA</v>
      </c>
      <c r="I114" s="45" t="str">
        <f>Estadistica!K121</f>
        <v>NA</v>
      </c>
      <c r="J114" s="213">
        <f t="shared" si="2"/>
        <v>3.4964071856287426</v>
      </c>
      <c r="K114" s="17" t="str">
        <f t="shared" si="3"/>
        <v>C</v>
      </c>
      <c r="L114" s="397"/>
      <c r="M114" s="397"/>
      <c r="N114" s="328"/>
      <c r="O114" s="328"/>
      <c r="P114" s="397"/>
      <c r="Q114" s="328"/>
    </row>
    <row r="115" spans="1:17" ht="30" x14ac:dyDescent="0.25">
      <c r="A115" s="237">
        <v>4</v>
      </c>
      <c r="B115" s="323"/>
      <c r="C115" s="237">
        <v>19</v>
      </c>
      <c r="D115" s="412"/>
      <c r="E115" s="307" t="s">
        <v>184</v>
      </c>
      <c r="F115" s="308" t="s">
        <v>211</v>
      </c>
      <c r="G115" s="97" t="str">
        <f>'Integración Apreciación '!O339</f>
        <v>NA</v>
      </c>
      <c r="H115" s="105">
        <f>'Integración Documental'!J289</f>
        <v>5</v>
      </c>
      <c r="I115" s="45" t="str">
        <f>Estadistica!K122</f>
        <v>NA</v>
      </c>
      <c r="J115" s="105">
        <f t="shared" si="2"/>
        <v>5</v>
      </c>
      <c r="K115" s="17" t="str">
        <f t="shared" si="3"/>
        <v>A</v>
      </c>
      <c r="L115" s="397"/>
      <c r="M115" s="397"/>
      <c r="N115" s="328"/>
      <c r="O115" s="328"/>
      <c r="P115" s="397"/>
      <c r="Q115" s="328"/>
    </row>
    <row r="116" spans="1:17" ht="30" x14ac:dyDescent="0.25">
      <c r="A116" s="237">
        <v>4</v>
      </c>
      <c r="B116" s="323"/>
      <c r="C116" s="237">
        <v>19</v>
      </c>
      <c r="D116" s="412"/>
      <c r="E116" s="307" t="s">
        <v>213</v>
      </c>
      <c r="F116" s="308" t="s">
        <v>212</v>
      </c>
      <c r="G116" s="97" t="str">
        <f>'Integración Apreciación '!O340</f>
        <v>NA</v>
      </c>
      <c r="H116" s="213">
        <f>'Integración Documental'!J293</f>
        <v>3.3333333333333335</v>
      </c>
      <c r="I116" s="45" t="str">
        <f>Estadistica!K123</f>
        <v>NA</v>
      </c>
      <c r="J116" s="213">
        <f t="shared" si="2"/>
        <v>3.3333333333333335</v>
      </c>
      <c r="K116" s="17" t="str">
        <f t="shared" si="3"/>
        <v>D</v>
      </c>
      <c r="L116" s="398"/>
      <c r="M116" s="397"/>
      <c r="N116" s="329"/>
      <c r="O116" s="328"/>
      <c r="P116" s="397"/>
      <c r="Q116" s="328"/>
    </row>
    <row r="117" spans="1:17" ht="30" x14ac:dyDescent="0.25">
      <c r="A117" s="237">
        <v>4</v>
      </c>
      <c r="B117" s="323"/>
      <c r="C117" s="237">
        <v>20</v>
      </c>
      <c r="D117" s="323" t="s">
        <v>214</v>
      </c>
      <c r="E117" s="52" t="s">
        <v>55</v>
      </c>
      <c r="F117" s="42" t="s">
        <v>215</v>
      </c>
      <c r="G117" s="97" t="str">
        <f>'Integración Apreciación '!O341</f>
        <v>NA</v>
      </c>
      <c r="H117" s="213">
        <f>'Integración Documental'!J296</f>
        <v>5</v>
      </c>
      <c r="I117" s="45" t="str">
        <f>Estadistica!K124</f>
        <v>NA</v>
      </c>
      <c r="J117" s="213">
        <f t="shared" si="2"/>
        <v>5</v>
      </c>
      <c r="K117" s="17" t="str">
        <f t="shared" si="3"/>
        <v>A</v>
      </c>
      <c r="L117" s="396">
        <f>AVERAGE(J117:J122)</f>
        <v>4.5396207353810896</v>
      </c>
      <c r="M117" s="397"/>
      <c r="N117" s="327" t="str">
        <f>IF(((L117&gt;=$Z$4)*AND(L117&lt;=$AA$4)),$Y$4,IF(((L117&gt;$AA$4)*AND(L117&lt;=$AA$5)),$Y$5,IF(((L117&gt;$AA$5)*AND(L117&lt;=$AA$6)),$Y$6,IF(((L117&gt;$AA$6)*AND(L117&lt;=$AA$7)),$Y$7,IF(((L117&gt;$AA$7)*AND(L117&lt;=$AA$8)),$Y$8,IF(EXACT(L117,$Y$9),$Z$9))))))</f>
        <v>A</v>
      </c>
      <c r="O117" s="328"/>
      <c r="P117" s="397"/>
      <c r="Q117" s="328"/>
    </row>
    <row r="118" spans="1:17" ht="30" x14ac:dyDescent="0.25">
      <c r="A118" s="237">
        <v>4</v>
      </c>
      <c r="B118" s="323"/>
      <c r="C118" s="237">
        <v>20</v>
      </c>
      <c r="D118" s="323"/>
      <c r="E118" s="52" t="s">
        <v>56</v>
      </c>
      <c r="F118" s="42" t="s">
        <v>216</v>
      </c>
      <c r="G118" s="97" t="str">
        <f>'Integración Apreciación '!O342</f>
        <v>NA</v>
      </c>
      <c r="H118" s="105">
        <f>'Integración Documental'!J300</f>
        <v>5</v>
      </c>
      <c r="I118" s="45" t="str">
        <f>Estadistica!K125</f>
        <v>NA</v>
      </c>
      <c r="J118" s="105">
        <f t="shared" si="2"/>
        <v>5</v>
      </c>
      <c r="K118" s="17" t="str">
        <f t="shared" si="3"/>
        <v>A</v>
      </c>
      <c r="L118" s="397"/>
      <c r="M118" s="397"/>
      <c r="N118" s="328"/>
      <c r="O118" s="328"/>
      <c r="P118" s="397"/>
      <c r="Q118" s="328"/>
    </row>
    <row r="119" spans="1:17" ht="45" x14ac:dyDescent="0.25">
      <c r="A119" s="237">
        <v>4</v>
      </c>
      <c r="B119" s="323"/>
      <c r="C119" s="237">
        <v>20</v>
      </c>
      <c r="D119" s="323"/>
      <c r="E119" s="52" t="s">
        <v>80</v>
      </c>
      <c r="F119" s="42" t="s">
        <v>217</v>
      </c>
      <c r="G119" s="213">
        <f>'Integración Apreciación '!O343</f>
        <v>3.9826164337990688</v>
      </c>
      <c r="H119" s="105" t="str">
        <f>'Integración Documental'!J303</f>
        <v>NA</v>
      </c>
      <c r="I119" s="45" t="str">
        <f>Estadistica!K126</f>
        <v>NA</v>
      </c>
      <c r="J119" s="213">
        <f t="shared" si="2"/>
        <v>3.9826164337990688</v>
      </c>
      <c r="K119" s="17" t="str">
        <f t="shared" si="3"/>
        <v>B</v>
      </c>
      <c r="L119" s="397"/>
      <c r="M119" s="397"/>
      <c r="N119" s="328"/>
      <c r="O119" s="328"/>
      <c r="P119" s="397"/>
      <c r="Q119" s="328"/>
    </row>
    <row r="120" spans="1:17" ht="45" x14ac:dyDescent="0.25">
      <c r="A120" s="237">
        <v>4</v>
      </c>
      <c r="B120" s="323"/>
      <c r="C120" s="237">
        <v>20</v>
      </c>
      <c r="D120" s="323"/>
      <c r="E120" s="52" t="s">
        <v>81</v>
      </c>
      <c r="F120" s="42" t="s">
        <v>218</v>
      </c>
      <c r="G120" s="213">
        <f>'Integración Apreciación '!O345</f>
        <v>3.7916167664670661</v>
      </c>
      <c r="H120" s="105" t="str">
        <f>'Integración Documental'!J304</f>
        <v>NA</v>
      </c>
      <c r="I120" s="45" t="str">
        <f>Estadistica!K127</f>
        <v>NA</v>
      </c>
      <c r="J120" s="213">
        <f t="shared" si="2"/>
        <v>3.7916167664670661</v>
      </c>
      <c r="K120" s="17" t="str">
        <f t="shared" si="3"/>
        <v>C</v>
      </c>
      <c r="L120" s="397"/>
      <c r="M120" s="397"/>
      <c r="N120" s="328"/>
      <c r="O120" s="328"/>
      <c r="P120" s="397"/>
      <c r="Q120" s="328"/>
    </row>
    <row r="121" spans="1:17" ht="45" x14ac:dyDescent="0.25">
      <c r="A121" s="237">
        <v>4</v>
      </c>
      <c r="B121" s="323"/>
      <c r="C121" s="237">
        <v>20</v>
      </c>
      <c r="D121" s="323"/>
      <c r="E121" s="52" t="s">
        <v>87</v>
      </c>
      <c r="F121" s="42" t="s">
        <v>219</v>
      </c>
      <c r="G121" s="213">
        <f>'Integración Apreciación '!O346</f>
        <v>3.9269824240408076</v>
      </c>
      <c r="H121" s="105">
        <f>'Integración Documental'!J305</f>
        <v>5</v>
      </c>
      <c r="I121" s="45" t="str">
        <f>Estadistica!K128</f>
        <v>NA</v>
      </c>
      <c r="J121" s="213">
        <f t="shared" si="2"/>
        <v>4.4634912120204042</v>
      </c>
      <c r="K121" s="17" t="str">
        <f t="shared" si="3"/>
        <v>A</v>
      </c>
      <c r="L121" s="397"/>
      <c r="M121" s="397"/>
      <c r="N121" s="328"/>
      <c r="O121" s="328"/>
      <c r="P121" s="397"/>
      <c r="Q121" s="328"/>
    </row>
    <row r="122" spans="1:17" ht="30" x14ac:dyDescent="0.25">
      <c r="A122" s="237">
        <v>4</v>
      </c>
      <c r="B122" s="323"/>
      <c r="C122" s="237">
        <v>20</v>
      </c>
      <c r="D122" s="323"/>
      <c r="E122" s="52" t="s">
        <v>88</v>
      </c>
      <c r="F122" s="42" t="s">
        <v>220</v>
      </c>
      <c r="G122" s="97" t="str">
        <f>'Integración Apreciación '!O349</f>
        <v>NA</v>
      </c>
      <c r="H122" s="105">
        <f>'Integración Documental'!J309</f>
        <v>5</v>
      </c>
      <c r="I122" s="45" t="str">
        <f>Estadistica!K129</f>
        <v>NA</v>
      </c>
      <c r="J122" s="105">
        <f t="shared" si="2"/>
        <v>5</v>
      </c>
      <c r="K122" s="17" t="str">
        <f t="shared" si="3"/>
        <v>A</v>
      </c>
      <c r="L122" s="398"/>
      <c r="M122" s="397"/>
      <c r="N122" s="329"/>
      <c r="O122" s="328"/>
      <c r="P122" s="397"/>
      <c r="Q122" s="328"/>
    </row>
    <row r="123" spans="1:17" ht="26.25" customHeight="1" x14ac:dyDescent="0.25">
      <c r="A123" s="237">
        <v>4</v>
      </c>
      <c r="B123" s="323"/>
      <c r="C123" s="237">
        <v>21</v>
      </c>
      <c r="D123" s="323" t="s">
        <v>221</v>
      </c>
      <c r="E123" s="52" t="s">
        <v>55</v>
      </c>
      <c r="F123" s="42" t="s">
        <v>222</v>
      </c>
      <c r="G123" s="213">
        <f>'Integración Apreciación '!O350</f>
        <v>4.1311075072078074</v>
      </c>
      <c r="H123" s="105">
        <f>'Integración Documental'!J313</f>
        <v>3.75</v>
      </c>
      <c r="I123" s="45" t="str">
        <f>Estadistica!K130</f>
        <v>NA</v>
      </c>
      <c r="J123" s="213">
        <f t="shared" si="2"/>
        <v>3.9405537536039037</v>
      </c>
      <c r="K123" s="17" t="str">
        <f t="shared" si="3"/>
        <v>B</v>
      </c>
      <c r="L123" s="396">
        <f>AVERAGE(J123:J127)</f>
        <v>4.3284811210911514</v>
      </c>
      <c r="M123" s="397"/>
      <c r="N123" s="327" t="str">
        <f>IF(((L123&gt;=$Z$4)*AND(L123&lt;=$AA$4)),$Y$4,IF(((L123&gt;$AA$4)*AND(L123&lt;=$AA$5)),$Y$5,IF(((L123&gt;$AA$5)*AND(L123&lt;=$AA$6)),$Y$6,IF(((L123&gt;$AA$6)*AND(L123&lt;=$AA$7)),$Y$7,IF(((L123&gt;$AA$7)*AND(L123&lt;=$AA$8)),$Y$8,IF(EXACT(L123,$Y$9),$Z$9))))))</f>
        <v>B</v>
      </c>
      <c r="O123" s="328"/>
      <c r="P123" s="397"/>
      <c r="Q123" s="328"/>
    </row>
    <row r="124" spans="1:17" ht="45" x14ac:dyDescent="0.25">
      <c r="A124" s="237">
        <v>4</v>
      </c>
      <c r="B124" s="323"/>
      <c r="C124" s="237">
        <v>21</v>
      </c>
      <c r="D124" s="323"/>
      <c r="E124" s="52" t="s">
        <v>56</v>
      </c>
      <c r="F124" s="42" t="s">
        <v>223</v>
      </c>
      <c r="G124" s="97" t="str">
        <f>'Integración Apreciación '!O355</f>
        <v>NA</v>
      </c>
      <c r="H124" s="105">
        <f>'Integración Documental'!J318</f>
        <v>5</v>
      </c>
      <c r="I124" s="45" t="str">
        <f>Estadistica!K131</f>
        <v>NA</v>
      </c>
      <c r="J124" s="105">
        <f t="shared" si="2"/>
        <v>5</v>
      </c>
      <c r="K124" s="17" t="str">
        <f t="shared" si="3"/>
        <v>A</v>
      </c>
      <c r="L124" s="397"/>
      <c r="M124" s="397"/>
      <c r="N124" s="328"/>
      <c r="O124" s="328"/>
      <c r="P124" s="397"/>
      <c r="Q124" s="328"/>
    </row>
    <row r="125" spans="1:17" ht="45" x14ac:dyDescent="0.25">
      <c r="A125" s="237">
        <v>4</v>
      </c>
      <c r="B125" s="323"/>
      <c r="C125" s="237">
        <v>21</v>
      </c>
      <c r="D125" s="323"/>
      <c r="E125" s="52" t="s">
        <v>80</v>
      </c>
      <c r="F125" s="42" t="s">
        <v>224</v>
      </c>
      <c r="G125" s="213">
        <f>'Integración Apreciación '!O356</f>
        <v>3.9518518518518517</v>
      </c>
      <c r="H125" s="105" t="str">
        <f>'Integración Documental'!J322</f>
        <v>NA</v>
      </c>
      <c r="I125" s="45" t="str">
        <f>Estadistica!K132</f>
        <v>NA</v>
      </c>
      <c r="J125" s="213">
        <f t="shared" si="2"/>
        <v>3.9518518518518517</v>
      </c>
      <c r="K125" s="17" t="str">
        <f t="shared" si="3"/>
        <v>B</v>
      </c>
      <c r="L125" s="397"/>
      <c r="M125" s="397"/>
      <c r="N125" s="328"/>
      <c r="O125" s="328"/>
      <c r="P125" s="397"/>
      <c r="Q125" s="328"/>
    </row>
    <row r="126" spans="1:17" ht="60" x14ac:dyDescent="0.25">
      <c r="A126" s="237">
        <v>4</v>
      </c>
      <c r="B126" s="323"/>
      <c r="C126" s="237">
        <v>21</v>
      </c>
      <c r="D126" s="323"/>
      <c r="E126" s="52" t="s">
        <v>81</v>
      </c>
      <c r="F126" s="42" t="s">
        <v>377</v>
      </c>
      <c r="G126" s="97" t="str">
        <f>'Integración Apreciación '!O357</f>
        <v>NA</v>
      </c>
      <c r="H126" s="105">
        <f>'Integración Documental'!J323</f>
        <v>3.75</v>
      </c>
      <c r="I126" s="45" t="str">
        <f>Estadistica!K133</f>
        <v>NA</v>
      </c>
      <c r="J126" s="105">
        <f t="shared" si="2"/>
        <v>3.75</v>
      </c>
      <c r="K126" s="17" t="str">
        <f t="shared" si="3"/>
        <v>C</v>
      </c>
      <c r="L126" s="397"/>
      <c r="M126" s="397"/>
      <c r="N126" s="328"/>
      <c r="O126" s="328"/>
      <c r="P126" s="397"/>
      <c r="Q126" s="328"/>
    </row>
    <row r="127" spans="1:17" ht="45" x14ac:dyDescent="0.25">
      <c r="A127" s="237">
        <v>4</v>
      </c>
      <c r="B127" s="323"/>
      <c r="C127" s="237">
        <v>21</v>
      </c>
      <c r="D127" s="323"/>
      <c r="E127" s="52" t="s">
        <v>87</v>
      </c>
      <c r="F127" s="42" t="s">
        <v>225</v>
      </c>
      <c r="G127" s="97" t="str">
        <f>'Integración Apreciación '!O358</f>
        <v>NA</v>
      </c>
      <c r="H127" s="105" t="str">
        <f>'Integración Documental'!J328</f>
        <v>NA</v>
      </c>
      <c r="I127" s="45">
        <f>Estadistica!K134</f>
        <v>5</v>
      </c>
      <c r="J127" s="105">
        <f t="shared" si="2"/>
        <v>5</v>
      </c>
      <c r="K127" s="17" t="str">
        <f t="shared" si="3"/>
        <v>A</v>
      </c>
      <c r="L127" s="398"/>
      <c r="M127" s="397"/>
      <c r="N127" s="329"/>
      <c r="O127" s="328"/>
      <c r="P127" s="397"/>
      <c r="Q127" s="328"/>
    </row>
    <row r="128" spans="1:17" ht="45" x14ac:dyDescent="0.25">
      <c r="A128" s="237">
        <v>4</v>
      </c>
      <c r="B128" s="323"/>
      <c r="C128" s="237">
        <v>22</v>
      </c>
      <c r="D128" s="323" t="s">
        <v>226</v>
      </c>
      <c r="E128" s="52" t="s">
        <v>55</v>
      </c>
      <c r="F128" s="42" t="s">
        <v>378</v>
      </c>
      <c r="G128" s="97" t="str">
        <f>'Integración Apreciación '!O359</f>
        <v>NA</v>
      </c>
      <c r="H128" s="213">
        <f>'Integración Documental'!J329</f>
        <v>5</v>
      </c>
      <c r="I128" s="45" t="str">
        <f>Estadistica!K135</f>
        <v>NA</v>
      </c>
      <c r="J128" s="213">
        <f t="shared" si="2"/>
        <v>5</v>
      </c>
      <c r="K128" s="17" t="str">
        <f t="shared" si="3"/>
        <v>A</v>
      </c>
      <c r="L128" s="396">
        <f>AVERAGE(J128:J131)</f>
        <v>4.0688955699711693</v>
      </c>
      <c r="M128" s="397"/>
      <c r="N128" s="327" t="str">
        <f>IF(((L128&gt;=$Z$4)*AND(L128&lt;=$AA$4)),$Y$4,IF(((L128&gt;$AA$4)*AND(L128&lt;=$AA$5)),$Y$5,IF(((L128&gt;$AA$5)*AND(L128&lt;=$AA$6)),$Y$6,IF(((L128&gt;$AA$6)*AND(L128&lt;=$AA$7)),$Y$7,IF(((L128&gt;$AA$7)*AND(L128&lt;=$AA$8)),$Y$8,IF(EXACT(L128,$Y$9),$Z$9))))))</f>
        <v>B</v>
      </c>
      <c r="O128" s="328"/>
      <c r="P128" s="397"/>
      <c r="Q128" s="328"/>
    </row>
    <row r="129" spans="1:17" ht="45" x14ac:dyDescent="0.25">
      <c r="A129" s="237">
        <v>4</v>
      </c>
      <c r="B129" s="323"/>
      <c r="C129" s="237">
        <v>22</v>
      </c>
      <c r="D129" s="323"/>
      <c r="E129" s="52" t="s">
        <v>56</v>
      </c>
      <c r="F129" s="42" t="s">
        <v>227</v>
      </c>
      <c r="G129" s="213">
        <f>'Integración Apreciación '!O360</f>
        <v>3.3322906409403421</v>
      </c>
      <c r="H129" s="105">
        <f>'Integración Documental'!J337</f>
        <v>4</v>
      </c>
      <c r="I129" s="45" t="str">
        <f>Estadistica!K136</f>
        <v>NA</v>
      </c>
      <c r="J129" s="213">
        <f t="shared" si="2"/>
        <v>3.6661453204701711</v>
      </c>
      <c r="K129" s="17" t="str">
        <f t="shared" si="3"/>
        <v>C</v>
      </c>
      <c r="L129" s="397"/>
      <c r="M129" s="397"/>
      <c r="N129" s="328"/>
      <c r="O129" s="328"/>
      <c r="P129" s="397"/>
      <c r="Q129" s="328"/>
    </row>
    <row r="130" spans="1:17" ht="29.25" customHeight="1" x14ac:dyDescent="0.25">
      <c r="A130" s="237">
        <v>4</v>
      </c>
      <c r="B130" s="323"/>
      <c r="C130" s="237">
        <v>22</v>
      </c>
      <c r="D130" s="323"/>
      <c r="E130" s="52" t="s">
        <v>80</v>
      </c>
      <c r="F130" s="42" t="s">
        <v>228</v>
      </c>
      <c r="G130" s="213">
        <f>'Integración Apreciación '!O367</f>
        <v>3.5522072521623422</v>
      </c>
      <c r="H130" s="213">
        <f>'Integración Documental'!J342</f>
        <v>3.3333333333333335</v>
      </c>
      <c r="I130" s="45" t="str">
        <f>Estadistica!K137</f>
        <v>NA</v>
      </c>
      <c r="J130" s="213">
        <f t="shared" si="2"/>
        <v>3.4427702927478379</v>
      </c>
      <c r="K130" s="17" t="str">
        <f t="shared" si="3"/>
        <v>C</v>
      </c>
      <c r="L130" s="397"/>
      <c r="M130" s="397"/>
      <c r="N130" s="328"/>
      <c r="O130" s="328"/>
      <c r="P130" s="397"/>
      <c r="Q130" s="328"/>
    </row>
    <row r="131" spans="1:17" ht="45" x14ac:dyDescent="0.25">
      <c r="A131" s="237">
        <v>4</v>
      </c>
      <c r="B131" s="323"/>
      <c r="C131" s="237">
        <v>22</v>
      </c>
      <c r="D131" s="323"/>
      <c r="E131" s="52" t="s">
        <v>81</v>
      </c>
      <c r="F131" s="42" t="s">
        <v>229</v>
      </c>
      <c r="G131" s="97" t="str">
        <f>'Integración Apreciación '!O374</f>
        <v>NA</v>
      </c>
      <c r="H131" s="213">
        <f>'Integración Documental'!J345</f>
        <v>4.166666666666667</v>
      </c>
      <c r="I131" s="45" t="str">
        <f>Estadistica!K138</f>
        <v>NA</v>
      </c>
      <c r="J131" s="105">
        <f t="shared" ref="J131:J194" si="4">IF(OR(EXACT(G131,$Y$9),EXACT(H131,$Y$9),EXACT(I131,$Y$9)),AVERAGE(G131:I131),((G131*$U$6)+(H131*$U$4)+(I131*$U$5)))</f>
        <v>4.166666666666667</v>
      </c>
      <c r="K131" s="17" t="str">
        <f t="shared" ref="K131:K194" si="5">IF(((J131&gt;=$Z$4)*AND(J131&lt;=$AA$4)),$Y$4,IF(((J131&gt;$AA$4)*AND(J131&lt;=$AA$5)),$Y$5,IF(((J131&gt;$AA$5)*AND(J131&lt;=$AA$6)),$Y$6,IF(((J131&gt;$AA$6)*AND(J131&lt;=$AA$7)),$Y$7,IF(((J131&gt;$AA$7)*AND(J131&lt;=$AA$8)),$Y$8,IF(EXACT(J131,$Y$9),$Z$9))))))</f>
        <v>B</v>
      </c>
      <c r="L131" s="398"/>
      <c r="M131" s="397"/>
      <c r="N131" s="329"/>
      <c r="O131" s="328"/>
      <c r="P131" s="397"/>
      <c r="Q131" s="328"/>
    </row>
    <row r="132" spans="1:17" ht="30" x14ac:dyDescent="0.25">
      <c r="A132" s="237">
        <v>4</v>
      </c>
      <c r="B132" s="323"/>
      <c r="C132" s="237">
        <v>23</v>
      </c>
      <c r="D132" s="323" t="s">
        <v>230</v>
      </c>
      <c r="E132" s="52" t="s">
        <v>55</v>
      </c>
      <c r="F132" s="42" t="s">
        <v>231</v>
      </c>
      <c r="G132" s="213">
        <f>'Integración Apreciación '!O375</f>
        <v>3.3505289517119605</v>
      </c>
      <c r="H132" s="213">
        <f>'Integración Documental'!J352</f>
        <v>5</v>
      </c>
      <c r="I132" s="45" t="str">
        <f>Estadistica!K139</f>
        <v>NA</v>
      </c>
      <c r="J132" s="213">
        <f t="shared" si="4"/>
        <v>4.1752644758559807</v>
      </c>
      <c r="K132" s="17" t="str">
        <f t="shared" si="5"/>
        <v>B</v>
      </c>
      <c r="L132" s="396">
        <f>AVERAGE(J132:J139)</f>
        <v>4.4469080594819976</v>
      </c>
      <c r="M132" s="397"/>
      <c r="N132" s="327" t="s">
        <v>37</v>
      </c>
      <c r="O132" s="328"/>
      <c r="P132" s="397"/>
      <c r="Q132" s="328"/>
    </row>
    <row r="133" spans="1:17" ht="45" x14ac:dyDescent="0.25">
      <c r="A133" s="237">
        <v>4</v>
      </c>
      <c r="B133" s="323"/>
      <c r="C133" s="237">
        <v>23</v>
      </c>
      <c r="D133" s="323"/>
      <c r="E133" s="52" t="s">
        <v>56</v>
      </c>
      <c r="F133" s="42" t="s">
        <v>232</v>
      </c>
      <c r="G133" s="97" t="str">
        <f>'Integración Apreciación '!O392</f>
        <v>NA</v>
      </c>
      <c r="H133" s="105">
        <f>'Integración Documental'!J359</f>
        <v>5</v>
      </c>
      <c r="I133" s="45">
        <f>Estadistica!K140</f>
        <v>5</v>
      </c>
      <c r="J133" s="105">
        <f t="shared" si="4"/>
        <v>5</v>
      </c>
      <c r="K133" s="17" t="str">
        <f t="shared" si="5"/>
        <v>A</v>
      </c>
      <c r="L133" s="397"/>
      <c r="M133" s="397"/>
      <c r="N133" s="328"/>
      <c r="O133" s="328"/>
      <c r="P133" s="397"/>
      <c r="Q133" s="328"/>
    </row>
    <row r="134" spans="1:17" ht="45" x14ac:dyDescent="0.25">
      <c r="A134" s="237">
        <v>4</v>
      </c>
      <c r="B134" s="323"/>
      <c r="C134" s="237">
        <v>23</v>
      </c>
      <c r="D134" s="323"/>
      <c r="E134" s="52" t="s">
        <v>80</v>
      </c>
      <c r="F134" s="42" t="s">
        <v>233</v>
      </c>
      <c r="G134" s="97" t="str">
        <f>'Integración Apreciación '!O393</f>
        <v>NA</v>
      </c>
      <c r="H134" s="105">
        <f>'Integración Documental'!J360</f>
        <v>5</v>
      </c>
      <c r="I134" s="45" t="str">
        <f>Estadistica!K141</f>
        <v>NA</v>
      </c>
      <c r="J134" s="105">
        <f t="shared" si="4"/>
        <v>5</v>
      </c>
      <c r="K134" s="17" t="str">
        <f t="shared" si="5"/>
        <v>A</v>
      </c>
      <c r="L134" s="397"/>
      <c r="M134" s="397"/>
      <c r="N134" s="328"/>
      <c r="O134" s="328"/>
      <c r="P134" s="397"/>
      <c r="Q134" s="328"/>
    </row>
    <row r="135" spans="1:17" ht="45" x14ac:dyDescent="0.25">
      <c r="A135" s="237">
        <v>4</v>
      </c>
      <c r="B135" s="323"/>
      <c r="C135" s="237">
        <v>23</v>
      </c>
      <c r="D135" s="323"/>
      <c r="E135" s="52" t="s">
        <v>81</v>
      </c>
      <c r="F135" s="42" t="s">
        <v>234</v>
      </c>
      <c r="G135" s="97" t="str">
        <f>'Integración Apreciación '!O394</f>
        <v>NA</v>
      </c>
      <c r="H135" s="105">
        <f>'Integración Documental'!J361</f>
        <v>5</v>
      </c>
      <c r="I135" s="45" t="str">
        <f>Estadistica!K142</f>
        <v>NA</v>
      </c>
      <c r="J135" s="105">
        <f t="shared" si="4"/>
        <v>5</v>
      </c>
      <c r="K135" s="17" t="str">
        <f t="shared" si="5"/>
        <v>A</v>
      </c>
      <c r="L135" s="397"/>
      <c r="M135" s="397"/>
      <c r="N135" s="328"/>
      <c r="O135" s="328"/>
      <c r="P135" s="397"/>
      <c r="Q135" s="328"/>
    </row>
    <row r="136" spans="1:17" ht="45" x14ac:dyDescent="0.25">
      <c r="A136" s="237">
        <v>4</v>
      </c>
      <c r="B136" s="323"/>
      <c r="C136" s="237">
        <v>23</v>
      </c>
      <c r="D136" s="323"/>
      <c r="E136" s="52" t="s">
        <v>87</v>
      </c>
      <c r="F136" s="42" t="s">
        <v>235</v>
      </c>
      <c r="G136" s="97">
        <f>'Integración Apreciación '!O395</f>
        <v>3.8999999999999995</v>
      </c>
      <c r="H136" s="105" t="str">
        <f>'Integración Documental'!J363</f>
        <v>NA</v>
      </c>
      <c r="I136" s="45" t="str">
        <f>Estadistica!K143</f>
        <v>NA</v>
      </c>
      <c r="J136" s="105">
        <f t="shared" si="4"/>
        <v>3.8999999999999995</v>
      </c>
      <c r="K136" s="17" t="str">
        <f t="shared" si="5"/>
        <v>C</v>
      </c>
      <c r="L136" s="397"/>
      <c r="M136" s="397"/>
      <c r="N136" s="328"/>
      <c r="O136" s="328"/>
      <c r="P136" s="397"/>
      <c r="Q136" s="328"/>
    </row>
    <row r="137" spans="1:17" ht="45" x14ac:dyDescent="0.25">
      <c r="A137" s="237">
        <v>4</v>
      </c>
      <c r="B137" s="323"/>
      <c r="C137" s="237">
        <v>23</v>
      </c>
      <c r="D137" s="323"/>
      <c r="E137" s="52" t="s">
        <v>88</v>
      </c>
      <c r="F137" s="42" t="s">
        <v>236</v>
      </c>
      <c r="G137" s="97" t="str">
        <f>'Integración Apreciación '!O396</f>
        <v>NA</v>
      </c>
      <c r="H137" s="105">
        <f>'Integración Documental'!J364</f>
        <v>5</v>
      </c>
      <c r="I137" s="45" t="str">
        <f>Estadistica!K144</f>
        <v>NA</v>
      </c>
      <c r="J137" s="105">
        <f t="shared" si="4"/>
        <v>5</v>
      </c>
      <c r="K137" s="17" t="str">
        <f t="shared" si="5"/>
        <v>A</v>
      </c>
      <c r="L137" s="397"/>
      <c r="M137" s="397"/>
      <c r="N137" s="328"/>
      <c r="O137" s="328"/>
      <c r="P137" s="397"/>
      <c r="Q137" s="328"/>
    </row>
    <row r="138" spans="1:17" ht="45" x14ac:dyDescent="0.25">
      <c r="A138" s="237">
        <v>4</v>
      </c>
      <c r="B138" s="323"/>
      <c r="C138" s="237">
        <v>23</v>
      </c>
      <c r="D138" s="323"/>
      <c r="E138" s="52" t="s">
        <v>102</v>
      </c>
      <c r="F138" s="42" t="s">
        <v>237</v>
      </c>
      <c r="G138" s="97" t="str">
        <f>'Integración Apreciación '!O397</f>
        <v>NA</v>
      </c>
      <c r="H138" s="105">
        <f>'Integración Documental'!J365</f>
        <v>5</v>
      </c>
      <c r="I138" s="45">
        <f>Estadistica!K145</f>
        <v>0</v>
      </c>
      <c r="J138" s="105">
        <f t="shared" si="4"/>
        <v>2.5</v>
      </c>
      <c r="K138" s="17" t="str">
        <f t="shared" si="5"/>
        <v>D</v>
      </c>
      <c r="L138" s="397"/>
      <c r="M138" s="397"/>
      <c r="N138" s="328"/>
      <c r="O138" s="328"/>
      <c r="P138" s="397"/>
      <c r="Q138" s="328"/>
    </row>
    <row r="139" spans="1:17" ht="75" x14ac:dyDescent="0.25">
      <c r="A139" s="237">
        <v>4</v>
      </c>
      <c r="B139" s="323"/>
      <c r="C139" s="237">
        <v>23</v>
      </c>
      <c r="D139" s="323"/>
      <c r="E139" s="52" t="s">
        <v>104</v>
      </c>
      <c r="F139" s="42" t="s">
        <v>238</v>
      </c>
      <c r="G139" s="97" t="str">
        <f>'Integración Apreciación '!O398</f>
        <v>NA</v>
      </c>
      <c r="H139" s="105">
        <f>'Integración Documental'!J367</f>
        <v>5</v>
      </c>
      <c r="I139" s="45">
        <f>Estadistica!K146</f>
        <v>5</v>
      </c>
      <c r="J139" s="105">
        <f t="shared" si="4"/>
        <v>5</v>
      </c>
      <c r="K139" s="17" t="str">
        <f t="shared" si="5"/>
        <v>A</v>
      </c>
      <c r="L139" s="398"/>
      <c r="M139" s="397"/>
      <c r="N139" s="329"/>
      <c r="O139" s="328"/>
      <c r="P139" s="397"/>
      <c r="Q139" s="328"/>
    </row>
    <row r="140" spans="1:17" ht="60" x14ac:dyDescent="0.25">
      <c r="A140" s="237">
        <v>4</v>
      </c>
      <c r="B140" s="323"/>
      <c r="C140" s="237">
        <v>24</v>
      </c>
      <c r="D140" s="323" t="s">
        <v>239</v>
      </c>
      <c r="E140" s="52" t="s">
        <v>55</v>
      </c>
      <c r="F140" s="42" t="s">
        <v>240</v>
      </c>
      <c r="G140" s="97" t="str">
        <f>'Integración Apreciación '!O399</f>
        <v>NA</v>
      </c>
      <c r="H140" s="105">
        <f>'Integración Documental'!J369</f>
        <v>5</v>
      </c>
      <c r="I140" s="45" t="str">
        <f>Estadistica!K147</f>
        <v>NA</v>
      </c>
      <c r="J140" s="105">
        <f t="shared" si="4"/>
        <v>5</v>
      </c>
      <c r="K140" s="17" t="str">
        <f t="shared" si="5"/>
        <v>A</v>
      </c>
      <c r="L140" s="396">
        <f>AVERAGE(J140:J145)</f>
        <v>4.430324597718144</v>
      </c>
      <c r="M140" s="397"/>
      <c r="N140" s="327" t="s">
        <v>37</v>
      </c>
      <c r="O140" s="328"/>
      <c r="P140" s="397"/>
      <c r="Q140" s="328"/>
    </row>
    <row r="141" spans="1:17" ht="45" x14ac:dyDescent="0.25">
      <c r="A141" s="237">
        <v>4</v>
      </c>
      <c r="B141" s="323"/>
      <c r="C141" s="237">
        <v>24</v>
      </c>
      <c r="D141" s="323"/>
      <c r="E141" s="52" t="s">
        <v>56</v>
      </c>
      <c r="F141" s="42" t="s">
        <v>241</v>
      </c>
      <c r="G141" s="97" t="str">
        <f>'Integración Apreciación '!O400</f>
        <v>NA</v>
      </c>
      <c r="H141" s="105">
        <f>'Integración Documental'!J374</f>
        <v>5</v>
      </c>
      <c r="I141" s="45" t="str">
        <f>Estadistica!K148</f>
        <v>NA</v>
      </c>
      <c r="J141" s="105">
        <f t="shared" si="4"/>
        <v>5</v>
      </c>
      <c r="K141" s="17" t="str">
        <f t="shared" si="5"/>
        <v>A</v>
      </c>
      <c r="L141" s="397"/>
      <c r="M141" s="397"/>
      <c r="N141" s="328"/>
      <c r="O141" s="328"/>
      <c r="P141" s="397"/>
      <c r="Q141" s="328"/>
    </row>
    <row r="142" spans="1:17" ht="48" customHeight="1" x14ac:dyDescent="0.25">
      <c r="A142" s="237">
        <v>4</v>
      </c>
      <c r="B142" s="323"/>
      <c r="C142" s="237">
        <v>24</v>
      </c>
      <c r="D142" s="323"/>
      <c r="E142" s="52" t="s">
        <v>80</v>
      </c>
      <c r="F142" s="50" t="s">
        <v>379</v>
      </c>
      <c r="G142" s="97" t="str">
        <f>'Integración Apreciación '!O401</f>
        <v>NA</v>
      </c>
      <c r="H142" s="105">
        <f>'Integración Documental'!J379</f>
        <v>4</v>
      </c>
      <c r="I142" s="45" t="str">
        <f>Estadistica!K149</f>
        <v>NA</v>
      </c>
      <c r="J142" s="105">
        <f t="shared" si="4"/>
        <v>4</v>
      </c>
      <c r="K142" s="17" t="str">
        <f t="shared" si="5"/>
        <v>B</v>
      </c>
      <c r="L142" s="397"/>
      <c r="M142" s="397"/>
      <c r="N142" s="328"/>
      <c r="O142" s="328"/>
      <c r="P142" s="397"/>
      <c r="Q142" s="328"/>
    </row>
    <row r="143" spans="1:17" ht="60" x14ac:dyDescent="0.25">
      <c r="A143" s="237">
        <v>4</v>
      </c>
      <c r="B143" s="323"/>
      <c r="C143" s="237">
        <v>24</v>
      </c>
      <c r="D143" s="323"/>
      <c r="E143" s="52" t="s">
        <v>81</v>
      </c>
      <c r="F143" s="42" t="s">
        <v>242</v>
      </c>
      <c r="G143" s="97" t="str">
        <f>'Integración Apreciación '!O402</f>
        <v>NA</v>
      </c>
      <c r="H143" s="105">
        <f>'Integración Documental'!J384</f>
        <v>4</v>
      </c>
      <c r="I143" s="45" t="str">
        <f>Estadistica!K150</f>
        <v>NA</v>
      </c>
      <c r="J143" s="105">
        <f t="shared" si="4"/>
        <v>4</v>
      </c>
      <c r="K143" s="17" t="str">
        <f t="shared" si="5"/>
        <v>B</v>
      </c>
      <c r="L143" s="397"/>
      <c r="M143" s="397"/>
      <c r="N143" s="328"/>
      <c r="O143" s="328"/>
      <c r="P143" s="397"/>
      <c r="Q143" s="328"/>
    </row>
    <row r="144" spans="1:17" ht="46.5" customHeight="1" x14ac:dyDescent="0.25">
      <c r="A144" s="237">
        <v>4</v>
      </c>
      <c r="B144" s="323"/>
      <c r="C144" s="237">
        <v>24</v>
      </c>
      <c r="D144" s="323"/>
      <c r="E144" s="52" t="s">
        <v>87</v>
      </c>
      <c r="F144" s="42" t="s">
        <v>243</v>
      </c>
      <c r="G144" s="97" t="str">
        <f>'Integración Apreciación '!O403</f>
        <v>NA</v>
      </c>
      <c r="H144" s="213">
        <f>'Integración Documental'!J389</f>
        <v>5</v>
      </c>
      <c r="I144" s="45">
        <f>Estadistica!K151</f>
        <v>5</v>
      </c>
      <c r="J144" s="105">
        <f t="shared" si="4"/>
        <v>5</v>
      </c>
      <c r="K144" s="17" t="str">
        <f t="shared" si="5"/>
        <v>A</v>
      </c>
      <c r="L144" s="397"/>
      <c r="M144" s="397"/>
      <c r="N144" s="328"/>
      <c r="O144" s="328"/>
      <c r="P144" s="397"/>
      <c r="Q144" s="328"/>
    </row>
    <row r="145" spans="1:17" ht="30.75" customHeight="1" x14ac:dyDescent="0.25">
      <c r="A145" s="237">
        <v>4</v>
      </c>
      <c r="B145" s="323"/>
      <c r="C145" s="237">
        <v>24</v>
      </c>
      <c r="D145" s="323"/>
      <c r="E145" s="52" t="s">
        <v>88</v>
      </c>
      <c r="F145" s="42" t="s">
        <v>244</v>
      </c>
      <c r="G145" s="213">
        <f>'Integración Apreciación '!O404</f>
        <v>3.5819475863088637</v>
      </c>
      <c r="H145" s="105" t="str">
        <f>'Integración Documental'!J392</f>
        <v>NA</v>
      </c>
      <c r="I145" s="45" t="str">
        <f>Estadistica!K152</f>
        <v>NA</v>
      </c>
      <c r="J145" s="213">
        <f t="shared" si="4"/>
        <v>3.5819475863088637</v>
      </c>
      <c r="K145" s="17" t="str">
        <f t="shared" si="5"/>
        <v>C</v>
      </c>
      <c r="L145" s="398"/>
      <c r="M145" s="397"/>
      <c r="N145" s="329"/>
      <c r="O145" s="328"/>
      <c r="P145" s="397"/>
      <c r="Q145" s="328"/>
    </row>
    <row r="146" spans="1:17" ht="60" x14ac:dyDescent="0.25">
      <c r="A146" s="237">
        <v>4</v>
      </c>
      <c r="B146" s="323"/>
      <c r="C146" s="237">
        <v>25</v>
      </c>
      <c r="D146" s="323" t="s">
        <v>245</v>
      </c>
      <c r="E146" s="52" t="s">
        <v>55</v>
      </c>
      <c r="F146" s="42" t="s">
        <v>246</v>
      </c>
      <c r="G146" s="97" t="str">
        <f>'Integración Apreciación '!O410</f>
        <v>NA</v>
      </c>
      <c r="H146" s="213">
        <f>'Integración Documental'!J393</f>
        <v>5</v>
      </c>
      <c r="I146" s="45" t="str">
        <f>Estadistica!K153</f>
        <v>NA</v>
      </c>
      <c r="J146" s="105">
        <f t="shared" si="4"/>
        <v>5</v>
      </c>
      <c r="K146" s="17" t="str">
        <f t="shared" si="5"/>
        <v>A</v>
      </c>
      <c r="L146" s="396">
        <f>AVERAGE(J146:J151)</f>
        <v>4.6193611547751372</v>
      </c>
      <c r="M146" s="397"/>
      <c r="N146" s="327" t="str">
        <f>IF(((L146&gt;=$Z$4)*AND(L146&lt;=$AA$4)),$Y$4,IF(((L146&gt;$AA$4)*AND(L146&lt;=$AA$5)),$Y$5,IF(((L146&gt;$AA$5)*AND(L146&lt;=$AA$6)),$Y$6,IF(((L146&gt;$AA$6)*AND(L146&lt;=$AA$7)),$Y$7,IF(((L146&gt;$AA$7)*AND(L146&lt;=$AA$8)),$Y$8,IF(EXACT(L146,$Y$9),$Z$9))))))</f>
        <v>A</v>
      </c>
      <c r="O146" s="328"/>
      <c r="P146" s="397"/>
      <c r="Q146" s="328"/>
    </row>
    <row r="147" spans="1:17" ht="45" x14ac:dyDescent="0.25">
      <c r="A147" s="237">
        <v>4</v>
      </c>
      <c r="B147" s="323"/>
      <c r="C147" s="237">
        <v>25</v>
      </c>
      <c r="D147" s="323"/>
      <c r="E147" s="52" t="s">
        <v>56</v>
      </c>
      <c r="F147" s="42" t="s">
        <v>247</v>
      </c>
      <c r="G147" s="97" t="str">
        <f>'Integración Apreciación '!O411</f>
        <v>NA</v>
      </c>
      <c r="H147" s="105">
        <f>'Integración Documental'!J399</f>
        <v>5</v>
      </c>
      <c r="I147" s="45" t="str">
        <f>Estadistica!K154</f>
        <v>NA</v>
      </c>
      <c r="J147" s="105">
        <f t="shared" si="4"/>
        <v>5</v>
      </c>
      <c r="K147" s="17" t="str">
        <f t="shared" si="5"/>
        <v>A</v>
      </c>
      <c r="L147" s="397"/>
      <c r="M147" s="397"/>
      <c r="N147" s="328"/>
      <c r="O147" s="328"/>
      <c r="P147" s="397"/>
      <c r="Q147" s="328"/>
    </row>
    <row r="148" spans="1:17" ht="60" x14ac:dyDescent="0.25">
      <c r="A148" s="237">
        <v>4</v>
      </c>
      <c r="B148" s="323"/>
      <c r="C148" s="237">
        <v>25</v>
      </c>
      <c r="D148" s="323"/>
      <c r="E148" s="52" t="s">
        <v>80</v>
      </c>
      <c r="F148" s="42" t="s">
        <v>248</v>
      </c>
      <c r="G148" s="97" t="str">
        <f>'Integración Apreciación '!O412</f>
        <v>NA</v>
      </c>
      <c r="H148" s="105">
        <f>'Integración Documental'!J400</f>
        <v>4</v>
      </c>
      <c r="I148" s="45" t="str">
        <f>Estadistica!K155</f>
        <v>NA</v>
      </c>
      <c r="J148" s="105">
        <f t="shared" si="4"/>
        <v>4</v>
      </c>
      <c r="K148" s="17" t="str">
        <f t="shared" si="5"/>
        <v>B</v>
      </c>
      <c r="L148" s="397"/>
      <c r="M148" s="397"/>
      <c r="N148" s="328"/>
      <c r="O148" s="328"/>
      <c r="P148" s="397"/>
      <c r="Q148" s="328"/>
    </row>
    <row r="149" spans="1:17" ht="45" x14ac:dyDescent="0.25">
      <c r="A149" s="237">
        <v>4</v>
      </c>
      <c r="B149" s="323"/>
      <c r="C149" s="237">
        <v>25</v>
      </c>
      <c r="D149" s="323"/>
      <c r="E149" s="52" t="s">
        <v>81</v>
      </c>
      <c r="F149" s="42" t="s">
        <v>380</v>
      </c>
      <c r="G149" s="97" t="str">
        <f>'Integración Apreciación '!O413</f>
        <v>NA</v>
      </c>
      <c r="H149" s="105">
        <f>'Integración Documental'!J405</f>
        <v>5</v>
      </c>
      <c r="I149" s="45" t="str">
        <f>Estadistica!K156</f>
        <v>NA</v>
      </c>
      <c r="J149" s="105">
        <f t="shared" si="4"/>
        <v>5</v>
      </c>
      <c r="K149" s="17" t="str">
        <f t="shared" si="5"/>
        <v>A</v>
      </c>
      <c r="L149" s="397"/>
      <c r="M149" s="397"/>
      <c r="N149" s="328"/>
      <c r="O149" s="328"/>
      <c r="P149" s="397"/>
      <c r="Q149" s="328"/>
    </row>
    <row r="150" spans="1:17" ht="45" x14ac:dyDescent="0.25">
      <c r="A150" s="237">
        <v>4</v>
      </c>
      <c r="B150" s="323"/>
      <c r="C150" s="237">
        <v>25</v>
      </c>
      <c r="D150" s="323"/>
      <c r="E150" s="52" t="s">
        <v>87</v>
      </c>
      <c r="F150" s="42" t="s">
        <v>249</v>
      </c>
      <c r="G150" s="97" t="str">
        <f>'Integración Apreciación '!O414</f>
        <v>NA</v>
      </c>
      <c r="H150" s="105">
        <f>'Integración Documental'!J407</f>
        <v>5</v>
      </c>
      <c r="I150" s="45" t="str">
        <f>Estadistica!K157</f>
        <v>NA</v>
      </c>
      <c r="J150" s="105">
        <f t="shared" si="4"/>
        <v>5</v>
      </c>
      <c r="K150" s="17" t="str">
        <f t="shared" si="5"/>
        <v>A</v>
      </c>
      <c r="L150" s="397"/>
      <c r="M150" s="397"/>
      <c r="N150" s="328"/>
      <c r="O150" s="328"/>
      <c r="P150" s="397"/>
      <c r="Q150" s="328"/>
    </row>
    <row r="151" spans="1:17" ht="43.5" customHeight="1" x14ac:dyDescent="0.25">
      <c r="A151" s="237">
        <v>4</v>
      </c>
      <c r="B151" s="323"/>
      <c r="C151" s="237">
        <v>25</v>
      </c>
      <c r="D151" s="323"/>
      <c r="E151" s="52" t="s">
        <v>88</v>
      </c>
      <c r="F151" s="42" t="s">
        <v>608</v>
      </c>
      <c r="G151" s="213">
        <f>'Integración Apreciación '!O415</f>
        <v>3.7161669286508197</v>
      </c>
      <c r="H151" s="105" t="str">
        <f>'Integración Documental'!J409</f>
        <v>NA</v>
      </c>
      <c r="I151" s="45" t="str">
        <f>Estadistica!K158</f>
        <v>NA</v>
      </c>
      <c r="J151" s="213">
        <f t="shared" si="4"/>
        <v>3.7161669286508197</v>
      </c>
      <c r="K151" s="17" t="str">
        <f t="shared" si="5"/>
        <v>C</v>
      </c>
      <c r="L151" s="398"/>
      <c r="M151" s="397"/>
      <c r="N151" s="329"/>
      <c r="O151" s="328"/>
      <c r="P151" s="397"/>
      <c r="Q151" s="328"/>
    </row>
    <row r="152" spans="1:17" ht="45" x14ac:dyDescent="0.25">
      <c r="A152" s="237">
        <v>4</v>
      </c>
      <c r="B152" s="323"/>
      <c r="C152" s="237">
        <v>26</v>
      </c>
      <c r="D152" s="323" t="s">
        <v>250</v>
      </c>
      <c r="E152" s="52" t="s">
        <v>55</v>
      </c>
      <c r="F152" s="42" t="s">
        <v>251</v>
      </c>
      <c r="G152" s="97" t="str">
        <f>'Integración Apreciación '!O425</f>
        <v>NA</v>
      </c>
      <c r="H152" s="105">
        <f>'Integración Documental'!J410</f>
        <v>3.75</v>
      </c>
      <c r="I152" s="45" t="str">
        <f>Estadistica!K159</f>
        <v>NA</v>
      </c>
      <c r="J152" s="105">
        <f t="shared" si="4"/>
        <v>3.75</v>
      </c>
      <c r="K152" s="17" t="str">
        <f t="shared" si="5"/>
        <v>C</v>
      </c>
      <c r="L152" s="396">
        <f>AVERAGE(J152:J157)</f>
        <v>4.3668106942617131</v>
      </c>
      <c r="M152" s="397"/>
      <c r="N152" s="327" t="str">
        <f>IF(((L152&gt;=$Z$4)*AND(L152&lt;=$AA$4)),$Y$4,IF(((L152&gt;$AA$4)*AND(L152&lt;=$AA$5)),$Y$5,IF(((L152&gt;$AA$5)*AND(L152&lt;=$AA$6)),$Y$6,IF(((L152&gt;$AA$6)*AND(L152&lt;=$AA$7)),$Y$7,IF(((L152&gt;$AA$7)*AND(L152&lt;=$AA$8)),$Y$8,IF(EXACT(L152,$Y$9),$Z$9))))))</f>
        <v>B</v>
      </c>
      <c r="O152" s="328"/>
      <c r="P152" s="397"/>
      <c r="Q152" s="328"/>
    </row>
    <row r="153" spans="1:17" ht="60" x14ac:dyDescent="0.25">
      <c r="A153" s="237">
        <v>4</v>
      </c>
      <c r="B153" s="323"/>
      <c r="C153" s="237">
        <v>26</v>
      </c>
      <c r="D153" s="323"/>
      <c r="E153" s="52" t="s">
        <v>56</v>
      </c>
      <c r="F153" s="42" t="s">
        <v>252</v>
      </c>
      <c r="G153" s="97" t="str">
        <f>'Integración Apreciación '!O426</f>
        <v>NA</v>
      </c>
      <c r="H153" s="105">
        <f>'Integración Documental'!J415</f>
        <v>5</v>
      </c>
      <c r="I153" s="45" t="str">
        <f>Estadistica!K160</f>
        <v>NA</v>
      </c>
      <c r="J153" s="105">
        <f t="shared" si="4"/>
        <v>5</v>
      </c>
      <c r="K153" s="17" t="str">
        <f t="shared" si="5"/>
        <v>A</v>
      </c>
      <c r="L153" s="397"/>
      <c r="M153" s="397"/>
      <c r="N153" s="328"/>
      <c r="O153" s="328"/>
      <c r="P153" s="397"/>
      <c r="Q153" s="328"/>
    </row>
    <row r="154" spans="1:17" ht="45" x14ac:dyDescent="0.25">
      <c r="A154" s="237">
        <v>4</v>
      </c>
      <c r="B154" s="323"/>
      <c r="C154" s="237">
        <v>26</v>
      </c>
      <c r="D154" s="323"/>
      <c r="E154" s="52" t="s">
        <v>80</v>
      </c>
      <c r="F154" s="42" t="s">
        <v>381</v>
      </c>
      <c r="G154" s="97" t="str">
        <f>'Integración Apreciación '!O427</f>
        <v>NA</v>
      </c>
      <c r="H154" s="105">
        <f>'Integración Documental'!J417</f>
        <v>5</v>
      </c>
      <c r="I154" s="45" t="str">
        <f>Estadistica!K161</f>
        <v>NA</v>
      </c>
      <c r="J154" s="105">
        <f t="shared" si="4"/>
        <v>5</v>
      </c>
      <c r="K154" s="17" t="str">
        <f t="shared" si="5"/>
        <v>A</v>
      </c>
      <c r="L154" s="397"/>
      <c r="M154" s="397"/>
      <c r="N154" s="328"/>
      <c r="O154" s="328"/>
      <c r="P154" s="397"/>
      <c r="Q154" s="328"/>
    </row>
    <row r="155" spans="1:17" ht="60" x14ac:dyDescent="0.25">
      <c r="A155" s="237">
        <v>4</v>
      </c>
      <c r="B155" s="323"/>
      <c r="C155" s="237">
        <v>26</v>
      </c>
      <c r="D155" s="323"/>
      <c r="E155" s="52" t="s">
        <v>81</v>
      </c>
      <c r="F155" s="42" t="s">
        <v>253</v>
      </c>
      <c r="G155" s="97" t="str">
        <f>'Integración Apreciación '!O428</f>
        <v>NA</v>
      </c>
      <c r="H155" s="105">
        <f>'Integración Documental'!J419</f>
        <v>5</v>
      </c>
      <c r="I155" s="45" t="str">
        <f>Estadistica!K162</f>
        <v>NA</v>
      </c>
      <c r="J155" s="105">
        <f t="shared" si="4"/>
        <v>5</v>
      </c>
      <c r="K155" s="17" t="str">
        <f t="shared" si="5"/>
        <v>A</v>
      </c>
      <c r="L155" s="397"/>
      <c r="M155" s="397"/>
      <c r="N155" s="328"/>
      <c r="O155" s="328"/>
      <c r="P155" s="397"/>
      <c r="Q155" s="328"/>
    </row>
    <row r="156" spans="1:17" ht="60" x14ac:dyDescent="0.25">
      <c r="A156" s="237">
        <v>4</v>
      </c>
      <c r="B156" s="323"/>
      <c r="C156" s="237">
        <v>26</v>
      </c>
      <c r="D156" s="323"/>
      <c r="E156" s="52" t="s">
        <v>87</v>
      </c>
      <c r="F156" s="42" t="s">
        <v>382</v>
      </c>
      <c r="G156" s="97" t="str">
        <f>'Integración Apreciación '!O429</f>
        <v>NA</v>
      </c>
      <c r="H156" s="213">
        <f>'Integración Documental'!J424</f>
        <v>3.75</v>
      </c>
      <c r="I156" s="45" t="str">
        <f>Estadistica!K163</f>
        <v>NA</v>
      </c>
      <c r="J156" s="213">
        <f t="shared" si="4"/>
        <v>3.75</v>
      </c>
      <c r="K156" s="17" t="str">
        <f t="shared" si="5"/>
        <v>C</v>
      </c>
      <c r="L156" s="397"/>
      <c r="M156" s="397"/>
      <c r="N156" s="328"/>
      <c r="O156" s="328"/>
      <c r="P156" s="397"/>
      <c r="Q156" s="328"/>
    </row>
    <row r="157" spans="1:17" ht="60" x14ac:dyDescent="0.25">
      <c r="A157" s="237">
        <v>4</v>
      </c>
      <c r="B157" s="323"/>
      <c r="C157" s="237">
        <v>26</v>
      </c>
      <c r="D157" s="323"/>
      <c r="E157" s="52" t="s">
        <v>88</v>
      </c>
      <c r="F157" s="42" t="s">
        <v>254</v>
      </c>
      <c r="G157" s="213">
        <f>'Integración Apreciación '!O430</f>
        <v>3.7008641655702803</v>
      </c>
      <c r="H157" s="105" t="str">
        <f>'Integración Documental'!J428</f>
        <v>NA</v>
      </c>
      <c r="I157" s="45" t="str">
        <f>Estadistica!K164</f>
        <v>NA</v>
      </c>
      <c r="J157" s="213">
        <f t="shared" si="4"/>
        <v>3.7008641655702803</v>
      </c>
      <c r="K157" s="17" t="str">
        <f t="shared" si="5"/>
        <v>C</v>
      </c>
      <c r="L157" s="398"/>
      <c r="M157" s="398"/>
      <c r="N157" s="329"/>
      <c r="O157" s="329"/>
      <c r="P157" s="397"/>
      <c r="Q157" s="328"/>
    </row>
    <row r="158" spans="1:17" ht="45" customHeight="1" x14ac:dyDescent="0.25">
      <c r="A158" s="237">
        <v>5</v>
      </c>
      <c r="B158" s="323" t="s">
        <v>255</v>
      </c>
      <c r="C158" s="237">
        <v>27</v>
      </c>
      <c r="D158" s="323" t="s">
        <v>256</v>
      </c>
      <c r="E158" s="52" t="s">
        <v>55</v>
      </c>
      <c r="F158" s="42" t="s">
        <v>257</v>
      </c>
      <c r="G158" s="97" t="str">
        <f>'Integración Apreciación '!O451</f>
        <v>NA</v>
      </c>
      <c r="H158" s="105">
        <f>'Integración Documental'!J429</f>
        <v>5</v>
      </c>
      <c r="I158" s="45" t="str">
        <f>Estadistica!K165</f>
        <v>NA</v>
      </c>
      <c r="J158" s="105">
        <f t="shared" si="4"/>
        <v>5</v>
      </c>
      <c r="K158" s="17" t="str">
        <f t="shared" si="5"/>
        <v>A</v>
      </c>
      <c r="L158" s="396">
        <f>AVERAGE(J158:J168)</f>
        <v>3.6363636363636362</v>
      </c>
      <c r="M158" s="396">
        <f>(L158*Ponderación!D28)+(L169*Ponderación!D29)</f>
        <v>3.5449999999999999</v>
      </c>
      <c r="N158" s="327" t="str">
        <f>IF(((L158&gt;=$Z$4)*AND(L158&lt;=$AA$4)),$Y$4,IF(((L158&gt;$AA$4)*AND(L158&lt;=$AA$5)),$Y$5,IF(((L158&gt;$AA$5)*AND(L158&lt;=$AA$6)),$Y$6,IF(((L158&gt;$AA$6)*AND(L158&lt;=$AA$7)),$Y$7,IF(((L158&gt;$AA$7)*AND(L158&lt;=$AA$8)),$Y$8,IF(EXACT(L158,$Y$9),$Z$9))))))</f>
        <v>C</v>
      </c>
      <c r="O158" s="327" t="str">
        <f>IF(((M158&gt;=$Z$4)*AND(M158&lt;=$AA$4)),$Y$4,IF(((M158&gt;$AA$4)*AND(M158&lt;=$AA$5)),$Y$5,IF(((M158&gt;$AA$5)*AND(M158&lt;=$AA$6)),$Y$6,IF(((M158&gt;$AA$6)*AND(M158&lt;=$AA$7)),$Y$7,IF(((M158&gt;$AA$7)*AND(M158&lt;=$AA$8)),$Y$8,IF(EXACT(M158,$Y$9),$Z$9))))))</f>
        <v>C</v>
      </c>
      <c r="P158" s="397"/>
      <c r="Q158" s="328"/>
    </row>
    <row r="159" spans="1:17" ht="45" x14ac:dyDescent="0.25">
      <c r="A159" s="237">
        <v>5</v>
      </c>
      <c r="B159" s="323"/>
      <c r="C159" s="237">
        <v>27</v>
      </c>
      <c r="D159" s="323"/>
      <c r="E159" s="52" t="s">
        <v>56</v>
      </c>
      <c r="F159" s="42" t="s">
        <v>258</v>
      </c>
      <c r="G159" s="97" t="str">
        <f>'Integración Apreciación '!O452</f>
        <v>NA</v>
      </c>
      <c r="H159" s="105">
        <f>'Integración Documental'!J430</f>
        <v>2.5</v>
      </c>
      <c r="I159" s="45" t="str">
        <f>Estadistica!K166</f>
        <v>NA</v>
      </c>
      <c r="J159" s="105">
        <f t="shared" si="4"/>
        <v>2.5</v>
      </c>
      <c r="K159" s="17" t="str">
        <f t="shared" si="5"/>
        <v>D</v>
      </c>
      <c r="L159" s="397"/>
      <c r="M159" s="397"/>
      <c r="N159" s="328"/>
      <c r="O159" s="328"/>
      <c r="P159" s="397"/>
      <c r="Q159" s="328"/>
    </row>
    <row r="160" spans="1:17" ht="45" customHeight="1" x14ac:dyDescent="0.25">
      <c r="A160" s="237">
        <v>5</v>
      </c>
      <c r="B160" s="323"/>
      <c r="C160" s="237">
        <v>27</v>
      </c>
      <c r="D160" s="323"/>
      <c r="E160" s="52" t="s">
        <v>80</v>
      </c>
      <c r="F160" s="42" t="s">
        <v>383</v>
      </c>
      <c r="G160" s="97" t="str">
        <f>'Integración Apreciación '!O453</f>
        <v>NA</v>
      </c>
      <c r="H160" s="105">
        <f>'Integración Documental'!J432</f>
        <v>2.5</v>
      </c>
      <c r="I160" s="45" t="str">
        <f>Estadistica!K167</f>
        <v>NA</v>
      </c>
      <c r="J160" s="105">
        <f t="shared" si="4"/>
        <v>2.5</v>
      </c>
      <c r="K160" s="17" t="str">
        <f t="shared" si="5"/>
        <v>D</v>
      </c>
      <c r="L160" s="397"/>
      <c r="M160" s="397"/>
      <c r="N160" s="328"/>
      <c r="O160" s="328"/>
      <c r="P160" s="397"/>
      <c r="Q160" s="328"/>
    </row>
    <row r="161" spans="1:17" ht="60" x14ac:dyDescent="0.25">
      <c r="A161" s="237">
        <v>5</v>
      </c>
      <c r="B161" s="323"/>
      <c r="C161" s="237">
        <v>27</v>
      </c>
      <c r="D161" s="323"/>
      <c r="E161" s="52" t="s">
        <v>81</v>
      </c>
      <c r="F161" s="42" t="s">
        <v>384</v>
      </c>
      <c r="G161" s="97" t="str">
        <f>'Integración Apreciación '!O454</f>
        <v>NA</v>
      </c>
      <c r="H161" s="317">
        <f>'Integración Documental'!J436</f>
        <v>5</v>
      </c>
      <c r="I161" s="45">
        <f>Estadistica!K168</f>
        <v>5</v>
      </c>
      <c r="J161" s="213">
        <f t="shared" si="4"/>
        <v>5</v>
      </c>
      <c r="K161" s="17" t="str">
        <f t="shared" si="5"/>
        <v>A</v>
      </c>
      <c r="L161" s="397"/>
      <c r="M161" s="397"/>
      <c r="N161" s="328"/>
      <c r="O161" s="328"/>
      <c r="P161" s="397"/>
      <c r="Q161" s="328"/>
    </row>
    <row r="162" spans="1:17" ht="60" x14ac:dyDescent="0.25">
      <c r="A162" s="237">
        <v>5</v>
      </c>
      <c r="B162" s="323"/>
      <c r="C162" s="237">
        <v>27</v>
      </c>
      <c r="D162" s="323"/>
      <c r="E162" s="52" t="s">
        <v>87</v>
      </c>
      <c r="F162" s="42" t="s">
        <v>259</v>
      </c>
      <c r="G162" s="97" t="str">
        <f>'Integración Apreciación '!O455</f>
        <v>NA</v>
      </c>
      <c r="H162" s="105">
        <f>'Integración Documental'!J439</f>
        <v>5</v>
      </c>
      <c r="I162" s="45">
        <f>Estadistica!K169</f>
        <v>5</v>
      </c>
      <c r="J162" s="213">
        <f t="shared" si="4"/>
        <v>5</v>
      </c>
      <c r="K162" s="17" t="str">
        <f t="shared" si="5"/>
        <v>A</v>
      </c>
      <c r="L162" s="397"/>
      <c r="M162" s="397"/>
      <c r="N162" s="328"/>
      <c r="O162" s="328"/>
      <c r="P162" s="397"/>
      <c r="Q162" s="328"/>
    </row>
    <row r="163" spans="1:17" ht="90" x14ac:dyDescent="0.25">
      <c r="A163" s="237">
        <v>5</v>
      </c>
      <c r="B163" s="323"/>
      <c r="C163" s="237">
        <v>27</v>
      </c>
      <c r="D163" s="323"/>
      <c r="E163" s="52" t="s">
        <v>88</v>
      </c>
      <c r="F163" s="42" t="s">
        <v>260</v>
      </c>
      <c r="G163" s="97" t="str">
        <f>'Integración Apreciación '!O456</f>
        <v>NA</v>
      </c>
      <c r="H163" s="105">
        <f>'Integración Documental'!J443</f>
        <v>5</v>
      </c>
      <c r="I163" s="45">
        <f>Estadistica!K170</f>
        <v>5</v>
      </c>
      <c r="J163" s="105">
        <f t="shared" si="4"/>
        <v>5</v>
      </c>
      <c r="K163" s="17" t="str">
        <f t="shared" si="5"/>
        <v>A</v>
      </c>
      <c r="L163" s="397"/>
      <c r="M163" s="397"/>
      <c r="N163" s="328"/>
      <c r="O163" s="328"/>
      <c r="P163" s="397"/>
      <c r="Q163" s="328"/>
    </row>
    <row r="164" spans="1:17" ht="60" x14ac:dyDescent="0.25">
      <c r="A164" s="237">
        <v>5</v>
      </c>
      <c r="B164" s="323"/>
      <c r="C164" s="237">
        <v>27</v>
      </c>
      <c r="D164" s="323"/>
      <c r="E164" s="52" t="s">
        <v>102</v>
      </c>
      <c r="F164" s="42" t="s">
        <v>261</v>
      </c>
      <c r="G164" s="97" t="str">
        <f>'Integración Apreciación '!O457</f>
        <v>NA</v>
      </c>
      <c r="H164" s="105">
        <f>'Integración Documental'!J444</f>
        <v>5</v>
      </c>
      <c r="I164" s="45">
        <f>Estadistica!K171</f>
        <v>5</v>
      </c>
      <c r="J164" s="105">
        <f t="shared" si="4"/>
        <v>5</v>
      </c>
      <c r="K164" s="17" t="str">
        <f t="shared" si="5"/>
        <v>A</v>
      </c>
      <c r="L164" s="397"/>
      <c r="M164" s="397"/>
      <c r="N164" s="328"/>
      <c r="O164" s="328"/>
      <c r="P164" s="397"/>
      <c r="Q164" s="328"/>
    </row>
    <row r="165" spans="1:17" ht="30" x14ac:dyDescent="0.25">
      <c r="A165" s="237">
        <v>5</v>
      </c>
      <c r="B165" s="323"/>
      <c r="C165" s="237">
        <v>27</v>
      </c>
      <c r="D165" s="323"/>
      <c r="E165" s="52" t="s">
        <v>104</v>
      </c>
      <c r="F165" s="42" t="s">
        <v>262</v>
      </c>
      <c r="G165" s="97" t="str">
        <f>'Integración Apreciación '!O458</f>
        <v>NA</v>
      </c>
      <c r="H165" s="105">
        <f>'Integración Documental'!J445</f>
        <v>5</v>
      </c>
      <c r="I165" s="45" t="str">
        <f>Estadistica!K172</f>
        <v>NA</v>
      </c>
      <c r="J165" s="105">
        <f t="shared" si="4"/>
        <v>5</v>
      </c>
      <c r="K165" s="17" t="str">
        <f t="shared" si="5"/>
        <v>A</v>
      </c>
      <c r="L165" s="397"/>
      <c r="M165" s="397"/>
      <c r="N165" s="328"/>
      <c r="O165" s="328"/>
      <c r="P165" s="397"/>
      <c r="Q165" s="328"/>
    </row>
    <row r="166" spans="1:17" ht="45" x14ac:dyDescent="0.25">
      <c r="A166" s="237">
        <v>5</v>
      </c>
      <c r="B166" s="323"/>
      <c r="C166" s="237">
        <v>27</v>
      </c>
      <c r="D166" s="323"/>
      <c r="E166" s="52" t="s">
        <v>106</v>
      </c>
      <c r="F166" s="42" t="s">
        <v>263</v>
      </c>
      <c r="G166" s="97" t="str">
        <f>'Integración Apreciación '!O459</f>
        <v>NA</v>
      </c>
      <c r="H166" s="105">
        <f>'Integración Documental'!J446</f>
        <v>0</v>
      </c>
      <c r="I166" s="45" t="str">
        <f>Estadistica!K173</f>
        <v>NA</v>
      </c>
      <c r="J166" s="105">
        <f t="shared" si="4"/>
        <v>0</v>
      </c>
      <c r="K166" s="17" t="str">
        <f t="shared" si="5"/>
        <v>E</v>
      </c>
      <c r="L166" s="397"/>
      <c r="M166" s="397"/>
      <c r="N166" s="328"/>
      <c r="O166" s="328"/>
      <c r="P166" s="397"/>
      <c r="Q166" s="328"/>
    </row>
    <row r="167" spans="1:17" ht="45" x14ac:dyDescent="0.25">
      <c r="A167" s="237">
        <v>5</v>
      </c>
      <c r="B167" s="323"/>
      <c r="C167" s="237">
        <v>27</v>
      </c>
      <c r="D167" s="323"/>
      <c r="E167" s="52" t="s">
        <v>177</v>
      </c>
      <c r="F167" s="42" t="s">
        <v>264</v>
      </c>
      <c r="G167" s="97" t="str">
        <f>'Integración Apreciación '!O460</f>
        <v>NA</v>
      </c>
      <c r="H167" s="105">
        <f>'Integración Documental'!J448</f>
        <v>2.5</v>
      </c>
      <c r="I167" s="45" t="str">
        <f>Estadistica!K174</f>
        <v>NA</v>
      </c>
      <c r="J167" s="105">
        <f t="shared" si="4"/>
        <v>2.5</v>
      </c>
      <c r="K167" s="17" t="str">
        <f t="shared" si="5"/>
        <v>D</v>
      </c>
      <c r="L167" s="397"/>
      <c r="M167" s="397"/>
      <c r="N167" s="328"/>
      <c r="O167" s="328"/>
      <c r="P167" s="397"/>
      <c r="Q167" s="328"/>
    </row>
    <row r="168" spans="1:17" ht="30" x14ac:dyDescent="0.25">
      <c r="A168" s="237">
        <v>5</v>
      </c>
      <c r="B168" s="323"/>
      <c r="C168" s="237">
        <v>27</v>
      </c>
      <c r="D168" s="323"/>
      <c r="E168" s="52" t="s">
        <v>181</v>
      </c>
      <c r="F168" s="42" t="s">
        <v>265</v>
      </c>
      <c r="G168" s="97" t="str">
        <f>'Integración Apreciación '!O461</f>
        <v>NA</v>
      </c>
      <c r="H168" s="105">
        <f>'Integración Documental'!J451</f>
        <v>2.5</v>
      </c>
      <c r="I168" s="45" t="str">
        <f>Estadistica!K175</f>
        <v>NA</v>
      </c>
      <c r="J168" s="105">
        <f t="shared" si="4"/>
        <v>2.5</v>
      </c>
      <c r="K168" s="17" t="str">
        <f t="shared" si="5"/>
        <v>D</v>
      </c>
      <c r="L168" s="398"/>
      <c r="M168" s="397"/>
      <c r="N168" s="329"/>
      <c r="O168" s="328"/>
      <c r="P168" s="397"/>
      <c r="Q168" s="328"/>
    </row>
    <row r="169" spans="1:17" x14ac:dyDescent="0.25">
      <c r="A169" s="237">
        <v>5</v>
      </c>
      <c r="B169" s="323"/>
      <c r="C169" s="237">
        <v>28</v>
      </c>
      <c r="D169" s="323" t="s">
        <v>266</v>
      </c>
      <c r="E169" s="52" t="s">
        <v>55</v>
      </c>
      <c r="F169" s="57" t="s">
        <v>267</v>
      </c>
      <c r="G169" s="97" t="str">
        <f>'Integración Apreciación '!O462</f>
        <v>NA</v>
      </c>
      <c r="H169" s="105">
        <f>'Integración Documental'!J453</f>
        <v>5</v>
      </c>
      <c r="I169" s="45">
        <f>Estadistica!K176</f>
        <v>5</v>
      </c>
      <c r="J169" s="105">
        <f t="shared" si="4"/>
        <v>5</v>
      </c>
      <c r="K169" s="17" t="str">
        <f t="shared" si="5"/>
        <v>A</v>
      </c>
      <c r="L169" s="396">
        <v>3.5</v>
      </c>
      <c r="M169" s="397"/>
      <c r="N169" s="327" t="str">
        <f>IF(((L169&gt;=$Z$4)*AND(L169&lt;=$AA$4)),$Y$4,IF(((L169&gt;$AA$4)*AND(L169&lt;=$AA$5)),$Y$5,IF(((L169&gt;$AA$5)*AND(L169&lt;=$AA$6)),$Y$6,IF(((L169&gt;$AA$6)*AND(L169&lt;=$AA$7)),$Y$7,IF(((L169&gt;$AA$7)*AND(L169&lt;=$AA$8)),$Y$8,IF(EXACT(L169,$Y$9),$Z$9))))))</f>
        <v>C</v>
      </c>
      <c r="O169" s="328"/>
      <c r="P169" s="397"/>
      <c r="Q169" s="328"/>
    </row>
    <row r="170" spans="1:17" x14ac:dyDescent="0.25">
      <c r="A170" s="237">
        <v>5</v>
      </c>
      <c r="B170" s="323"/>
      <c r="C170" s="237">
        <v>28</v>
      </c>
      <c r="D170" s="323"/>
      <c r="E170" s="52" t="s">
        <v>56</v>
      </c>
      <c r="F170" s="57" t="s">
        <v>268</v>
      </c>
      <c r="G170" s="97" t="str">
        <f>'Integración Apreciación '!O463</f>
        <v>NA</v>
      </c>
      <c r="H170" s="105">
        <f>'Integración Documental'!J455</f>
        <v>0</v>
      </c>
      <c r="I170" s="45" t="str">
        <f>Estadistica!K177</f>
        <v>NA</v>
      </c>
      <c r="J170" s="105">
        <f t="shared" si="4"/>
        <v>0</v>
      </c>
      <c r="K170" s="17" t="str">
        <f t="shared" si="5"/>
        <v>E</v>
      </c>
      <c r="L170" s="397"/>
      <c r="M170" s="397"/>
      <c r="N170" s="328"/>
      <c r="O170" s="328"/>
      <c r="P170" s="397"/>
      <c r="Q170" s="328"/>
    </row>
    <row r="171" spans="1:17" ht="30" x14ac:dyDescent="0.25">
      <c r="A171" s="237">
        <v>5</v>
      </c>
      <c r="B171" s="323"/>
      <c r="C171" s="237">
        <v>28</v>
      </c>
      <c r="D171" s="323"/>
      <c r="E171" s="52" t="s">
        <v>80</v>
      </c>
      <c r="F171" s="42" t="s">
        <v>269</v>
      </c>
      <c r="G171" s="97" t="str">
        <f>'Integración Apreciación '!O464</f>
        <v>NA</v>
      </c>
      <c r="H171" s="105">
        <f>'Integración Documental'!J456</f>
        <v>5</v>
      </c>
      <c r="I171" s="45" t="str">
        <f>Estadistica!K178</f>
        <v>NA</v>
      </c>
      <c r="J171" s="105">
        <f t="shared" si="4"/>
        <v>5</v>
      </c>
      <c r="K171" s="17" t="str">
        <f t="shared" si="5"/>
        <v>A</v>
      </c>
      <c r="L171" s="397"/>
      <c r="M171" s="397"/>
      <c r="N171" s="328"/>
      <c r="O171" s="328"/>
      <c r="P171" s="397"/>
      <c r="Q171" s="328"/>
    </row>
    <row r="172" spans="1:17" ht="30" x14ac:dyDescent="0.25">
      <c r="A172" s="237">
        <v>5</v>
      </c>
      <c r="B172" s="323"/>
      <c r="C172" s="237">
        <v>28</v>
      </c>
      <c r="D172" s="323"/>
      <c r="E172" s="52" t="s">
        <v>81</v>
      </c>
      <c r="F172" s="42" t="s">
        <v>270</v>
      </c>
      <c r="G172" s="97" t="str">
        <f>'Integración Apreciación '!O465</f>
        <v>NA</v>
      </c>
      <c r="H172" s="105">
        <f>'Integración Documental'!J458</f>
        <v>5</v>
      </c>
      <c r="I172" s="45" t="str">
        <f>Estadistica!K179</f>
        <v>NA</v>
      </c>
      <c r="J172" s="105">
        <f t="shared" si="4"/>
        <v>5</v>
      </c>
      <c r="K172" s="17" t="str">
        <f t="shared" si="5"/>
        <v>A</v>
      </c>
      <c r="L172" s="397"/>
      <c r="M172" s="397"/>
      <c r="N172" s="328"/>
      <c r="O172" s="328"/>
      <c r="P172" s="397"/>
      <c r="Q172" s="328"/>
    </row>
    <row r="173" spans="1:17" ht="120" x14ac:dyDescent="0.25">
      <c r="A173" s="237">
        <v>5</v>
      </c>
      <c r="B173" s="323"/>
      <c r="C173" s="237">
        <v>28</v>
      </c>
      <c r="D173" s="323"/>
      <c r="E173" s="52" t="s">
        <v>87</v>
      </c>
      <c r="F173" s="42" t="s">
        <v>271</v>
      </c>
      <c r="G173" s="97" t="str">
        <f>'Integración Apreciación '!O466</f>
        <v>NA</v>
      </c>
      <c r="H173" s="105">
        <f>'Integración Documental'!J460</f>
        <v>5</v>
      </c>
      <c r="I173" s="45">
        <f>Estadistica!K180</f>
        <v>5</v>
      </c>
      <c r="J173" s="105">
        <f t="shared" si="4"/>
        <v>5</v>
      </c>
      <c r="K173" s="17" t="str">
        <f t="shared" si="5"/>
        <v>A</v>
      </c>
      <c r="L173" s="397"/>
      <c r="M173" s="397"/>
      <c r="N173" s="328"/>
      <c r="O173" s="328"/>
      <c r="P173" s="397"/>
      <c r="Q173" s="328"/>
    </row>
    <row r="174" spans="1:17" ht="30" x14ac:dyDescent="0.25">
      <c r="A174" s="237">
        <v>5</v>
      </c>
      <c r="B174" s="323"/>
      <c r="C174" s="237">
        <v>28</v>
      </c>
      <c r="D174" s="323"/>
      <c r="E174" s="52" t="s">
        <v>88</v>
      </c>
      <c r="F174" s="42" t="s">
        <v>385</v>
      </c>
      <c r="G174" s="97" t="str">
        <f>'Integración Apreciación '!O467</f>
        <v>NA</v>
      </c>
      <c r="H174" s="105">
        <f>'Integración Documental'!J461</f>
        <v>2.5</v>
      </c>
      <c r="I174" s="45" t="str">
        <f>Estadistica!K181</f>
        <v>NA</v>
      </c>
      <c r="J174" s="105">
        <f t="shared" si="4"/>
        <v>2.5</v>
      </c>
      <c r="K174" s="17" t="str">
        <f t="shared" si="5"/>
        <v>D</v>
      </c>
      <c r="L174" s="397"/>
      <c r="M174" s="397"/>
      <c r="N174" s="328"/>
      <c r="O174" s="328"/>
      <c r="P174" s="397"/>
      <c r="Q174" s="328"/>
    </row>
    <row r="175" spans="1:17" ht="45" x14ac:dyDescent="0.25">
      <c r="A175" s="237">
        <v>5</v>
      </c>
      <c r="B175" s="323"/>
      <c r="C175" s="237">
        <v>28</v>
      </c>
      <c r="D175" s="323"/>
      <c r="E175" s="52" t="s">
        <v>102</v>
      </c>
      <c r="F175" s="42" t="s">
        <v>272</v>
      </c>
      <c r="G175" s="97" t="str">
        <f>'Integración Apreciación '!O468</f>
        <v>NA</v>
      </c>
      <c r="H175" s="105">
        <f>'Integración Documental'!J463</f>
        <v>2.5</v>
      </c>
      <c r="I175" s="45" t="str">
        <f>Estadistica!K182</f>
        <v>NA</v>
      </c>
      <c r="J175" s="105">
        <f t="shared" si="4"/>
        <v>2.5</v>
      </c>
      <c r="K175" s="17" t="str">
        <f t="shared" si="5"/>
        <v>D</v>
      </c>
      <c r="L175" s="397"/>
      <c r="M175" s="397"/>
      <c r="N175" s="328"/>
      <c r="O175" s="328"/>
      <c r="P175" s="397"/>
      <c r="Q175" s="328"/>
    </row>
    <row r="176" spans="1:17" ht="45" x14ac:dyDescent="0.25">
      <c r="A176" s="237">
        <v>5</v>
      </c>
      <c r="B176" s="323"/>
      <c r="C176" s="237">
        <v>28</v>
      </c>
      <c r="D176" s="323"/>
      <c r="E176" s="52" t="s">
        <v>104</v>
      </c>
      <c r="F176" s="42" t="s">
        <v>273</v>
      </c>
      <c r="G176" s="97" t="str">
        <f>'Integración Apreciación '!O469</f>
        <v>NA</v>
      </c>
      <c r="H176" s="105">
        <f>'Integración Documental'!J465</f>
        <v>2.5</v>
      </c>
      <c r="I176" s="45" t="str">
        <f>Estadistica!K183</f>
        <v>NA</v>
      </c>
      <c r="J176" s="105">
        <f t="shared" si="4"/>
        <v>2.5</v>
      </c>
      <c r="K176" s="17" t="str">
        <f t="shared" si="5"/>
        <v>D</v>
      </c>
      <c r="L176" s="398"/>
      <c r="M176" s="398"/>
      <c r="N176" s="329"/>
      <c r="O176" s="329"/>
      <c r="P176" s="397"/>
      <c r="Q176" s="328"/>
    </row>
    <row r="177" spans="1:17" ht="45" customHeight="1" x14ac:dyDescent="0.25">
      <c r="A177" s="237">
        <v>6</v>
      </c>
      <c r="B177" s="323" t="s">
        <v>274</v>
      </c>
      <c r="C177" s="237">
        <v>29</v>
      </c>
      <c r="D177" s="323" t="s">
        <v>275</v>
      </c>
      <c r="E177" s="52" t="s">
        <v>55</v>
      </c>
      <c r="F177" s="42" t="s">
        <v>276</v>
      </c>
      <c r="G177" s="213">
        <f>'Integración Apreciación '!O470</f>
        <v>3.6742795889702076</v>
      </c>
      <c r="H177" s="213">
        <f>'Integración Documental'!J468</f>
        <v>4.166666666666667</v>
      </c>
      <c r="I177" s="45" t="str">
        <f>Estadistica!K184</f>
        <v>NA</v>
      </c>
      <c r="J177" s="213">
        <f t="shared" si="4"/>
        <v>3.920473127818437</v>
      </c>
      <c r="K177" s="17" t="str">
        <f t="shared" si="5"/>
        <v>B</v>
      </c>
      <c r="L177" s="396">
        <f>AVERAGE(J177:J186)</f>
        <v>3.8120149053744363</v>
      </c>
      <c r="M177" s="396">
        <f>(L177*Ponderación!D30)+(L187*Ponderación!D31)</f>
        <v>4.2243596335107565</v>
      </c>
      <c r="N177" s="327" t="str">
        <f>IF(((L177&gt;=$Z$4)*AND(L177&lt;=$AA$4)),$Y$4,IF(((L177&gt;$AA$4)*AND(L177&lt;=$AA$5)),$Y$5,IF(((L177&gt;$AA$5)*AND(L177&lt;=$AA$6)),$Y$6,IF(((L177&gt;$AA$6)*AND(L177&lt;=$AA$7)),$Y$7,IF(((L177&gt;$AA$7)*AND(L177&lt;=$AA$8)),$Y$8,IF(EXACT(L177,$Y$9),$Z$9))))))</f>
        <v>C</v>
      </c>
      <c r="O177" s="327" t="str">
        <f>IF(((M177&gt;=$Z$4)*AND(M177&lt;=$AA$4)),$Y$4,IF(((M177&gt;$AA$4)*AND(M177&lt;=$AA$5)),$Y$5,IF(((M177&gt;$AA$5)*AND(M177&lt;=$AA$6)),$Y$6,IF(((M177&gt;$AA$6)*AND(M177&lt;=$AA$7)),$Y$7,IF(((M177&gt;$AA$7)*AND(M177&lt;=$AA$8)),$Y$8,IF(EXACT(M177,$Y$9),$Z$9))))))</f>
        <v>B</v>
      </c>
      <c r="P177" s="397"/>
      <c r="Q177" s="328"/>
    </row>
    <row r="178" spans="1:17" ht="60" x14ac:dyDescent="0.25">
      <c r="A178" s="237">
        <v>6</v>
      </c>
      <c r="B178" s="323"/>
      <c r="C178" s="237">
        <v>29</v>
      </c>
      <c r="D178" s="323"/>
      <c r="E178" s="52" t="s">
        <v>56</v>
      </c>
      <c r="F178" s="42" t="s">
        <v>386</v>
      </c>
      <c r="G178" s="213">
        <f>'Integración Apreciación '!O476</f>
        <v>3.8377101352849858</v>
      </c>
      <c r="H178" s="213">
        <f>'Integración Documental'!J474</f>
        <v>1.6666666666666667</v>
      </c>
      <c r="I178" s="45" t="str">
        <f>Estadistica!K185</f>
        <v>NA</v>
      </c>
      <c r="J178" s="213">
        <f t="shared" si="4"/>
        <v>2.7521884009758262</v>
      </c>
      <c r="K178" s="17" t="str">
        <f t="shared" si="5"/>
        <v>D</v>
      </c>
      <c r="L178" s="397"/>
      <c r="M178" s="397"/>
      <c r="N178" s="328"/>
      <c r="O178" s="328"/>
      <c r="P178" s="397"/>
      <c r="Q178" s="328"/>
    </row>
    <row r="179" spans="1:17" ht="30" x14ac:dyDescent="0.25">
      <c r="A179" s="237">
        <v>6</v>
      </c>
      <c r="B179" s="323"/>
      <c r="C179" s="237">
        <v>29</v>
      </c>
      <c r="D179" s="323"/>
      <c r="E179" s="52" t="s">
        <v>80</v>
      </c>
      <c r="F179" s="42" t="s">
        <v>387</v>
      </c>
      <c r="G179" s="97" t="str">
        <f>'Integración Apreciación '!O478</f>
        <v>NA</v>
      </c>
      <c r="H179" s="105" t="str">
        <f>'Integración Documental'!J477</f>
        <v>NA</v>
      </c>
      <c r="I179" s="45">
        <f>Estadistica!K186</f>
        <v>2.5</v>
      </c>
      <c r="J179" s="105">
        <f t="shared" si="4"/>
        <v>2.5</v>
      </c>
      <c r="K179" s="17" t="str">
        <f t="shared" si="5"/>
        <v>D</v>
      </c>
      <c r="L179" s="397"/>
      <c r="M179" s="397"/>
      <c r="N179" s="328"/>
      <c r="O179" s="328"/>
      <c r="P179" s="397"/>
      <c r="Q179" s="328"/>
    </row>
    <row r="180" spans="1:17" ht="30" x14ac:dyDescent="0.25">
      <c r="A180" s="237">
        <v>6</v>
      </c>
      <c r="B180" s="323"/>
      <c r="C180" s="237">
        <v>29</v>
      </c>
      <c r="D180" s="323"/>
      <c r="E180" s="52" t="s">
        <v>81</v>
      </c>
      <c r="F180" s="42" t="s">
        <v>388</v>
      </c>
      <c r="G180" s="97" t="str">
        <f>'Integración Apreciación '!O479</f>
        <v>NA</v>
      </c>
      <c r="H180" s="105" t="str">
        <f>'Integración Documental'!J478</f>
        <v>NA</v>
      </c>
      <c r="I180" s="45">
        <f>Estadistica!K188</f>
        <v>5</v>
      </c>
      <c r="J180" s="105">
        <f t="shared" si="4"/>
        <v>5</v>
      </c>
      <c r="K180" s="17" t="str">
        <f t="shared" si="5"/>
        <v>A</v>
      </c>
      <c r="L180" s="397"/>
      <c r="M180" s="397"/>
      <c r="N180" s="328"/>
      <c r="O180" s="328"/>
      <c r="P180" s="397"/>
      <c r="Q180" s="328"/>
    </row>
    <row r="181" spans="1:17" ht="45" x14ac:dyDescent="0.25">
      <c r="A181" s="237">
        <v>6</v>
      </c>
      <c r="B181" s="323"/>
      <c r="C181" s="237">
        <v>29</v>
      </c>
      <c r="D181" s="323"/>
      <c r="E181" s="52" t="s">
        <v>87</v>
      </c>
      <c r="F181" s="42" t="s">
        <v>277</v>
      </c>
      <c r="G181" s="97" t="str">
        <f>'Integración Apreciación '!O480</f>
        <v>NA</v>
      </c>
      <c r="H181" s="105" t="str">
        <f>'Integración Documental'!J479</f>
        <v>NA</v>
      </c>
      <c r="I181" s="45">
        <f>Estadistica!K189</f>
        <v>0</v>
      </c>
      <c r="J181" s="105">
        <f t="shared" si="4"/>
        <v>0</v>
      </c>
      <c r="K181" s="17" t="str">
        <f t="shared" si="5"/>
        <v>E</v>
      </c>
      <c r="L181" s="397"/>
      <c r="M181" s="397"/>
      <c r="N181" s="328"/>
      <c r="O181" s="328"/>
      <c r="P181" s="397"/>
      <c r="Q181" s="328"/>
    </row>
    <row r="182" spans="1:17" ht="45" x14ac:dyDescent="0.25">
      <c r="A182" s="237">
        <v>6</v>
      </c>
      <c r="B182" s="323"/>
      <c r="C182" s="237">
        <v>29</v>
      </c>
      <c r="D182" s="323"/>
      <c r="E182" s="52" t="s">
        <v>88</v>
      </c>
      <c r="F182" s="42" t="s">
        <v>389</v>
      </c>
      <c r="G182" s="97" t="str">
        <f>'Integración Apreciación '!O481</f>
        <v>NA</v>
      </c>
      <c r="H182" s="105" t="str">
        <f>'Integración Documental'!J480</f>
        <v>NA</v>
      </c>
      <c r="I182" s="45">
        <f>Estadistica!K190</f>
        <v>5</v>
      </c>
      <c r="J182" s="105">
        <f t="shared" si="4"/>
        <v>5</v>
      </c>
      <c r="K182" s="17" t="str">
        <f t="shared" si="5"/>
        <v>A</v>
      </c>
      <c r="L182" s="397"/>
      <c r="M182" s="397"/>
      <c r="N182" s="328"/>
      <c r="O182" s="328"/>
      <c r="P182" s="397"/>
      <c r="Q182" s="328"/>
    </row>
    <row r="183" spans="1:17" ht="75" x14ac:dyDescent="0.25">
      <c r="A183" s="237">
        <v>6</v>
      </c>
      <c r="B183" s="323"/>
      <c r="C183" s="237">
        <v>29</v>
      </c>
      <c r="D183" s="323"/>
      <c r="E183" s="52" t="s">
        <v>102</v>
      </c>
      <c r="F183" s="42" t="s">
        <v>390</v>
      </c>
      <c r="G183" s="97" t="str">
        <f>'Integración Apreciación '!O482</f>
        <v>NA</v>
      </c>
      <c r="H183" s="105">
        <f>'Integración Documental'!J481</f>
        <v>5</v>
      </c>
      <c r="I183" s="45" t="str">
        <f>Estadistica!K191</f>
        <v>NA</v>
      </c>
      <c r="J183" s="105">
        <f t="shared" si="4"/>
        <v>5</v>
      </c>
      <c r="K183" s="17" t="str">
        <f t="shared" si="5"/>
        <v>A</v>
      </c>
      <c r="L183" s="397"/>
      <c r="M183" s="397"/>
      <c r="N183" s="328"/>
      <c r="O183" s="328"/>
      <c r="P183" s="397"/>
      <c r="Q183" s="328"/>
    </row>
    <row r="184" spans="1:17" x14ac:dyDescent="0.25">
      <c r="A184" s="237">
        <v>6</v>
      </c>
      <c r="B184" s="323"/>
      <c r="C184" s="237">
        <v>29</v>
      </c>
      <c r="D184" s="323"/>
      <c r="E184" s="52" t="s">
        <v>104</v>
      </c>
      <c r="F184" s="57" t="s">
        <v>278</v>
      </c>
      <c r="G184" s="97" t="str">
        <f>'Integración Apreciación '!O483</f>
        <v>NA</v>
      </c>
      <c r="H184" s="105" t="str">
        <f>'Integración Documental'!J484</f>
        <v>NA</v>
      </c>
      <c r="I184" s="45">
        <f>Estadistica!K192</f>
        <v>5</v>
      </c>
      <c r="J184" s="105">
        <f t="shared" si="4"/>
        <v>5</v>
      </c>
      <c r="K184" s="17" t="str">
        <f t="shared" si="5"/>
        <v>A</v>
      </c>
      <c r="L184" s="397"/>
      <c r="M184" s="397"/>
      <c r="N184" s="328"/>
      <c r="O184" s="328"/>
      <c r="P184" s="397"/>
      <c r="Q184" s="328"/>
    </row>
    <row r="185" spans="1:17" ht="30" x14ac:dyDescent="0.25">
      <c r="A185" s="237">
        <v>6</v>
      </c>
      <c r="B185" s="323"/>
      <c r="C185" s="237">
        <v>29</v>
      </c>
      <c r="D185" s="323"/>
      <c r="E185" s="52" t="s">
        <v>106</v>
      </c>
      <c r="F185" s="42" t="s">
        <v>279</v>
      </c>
      <c r="G185" s="97" t="str">
        <f>'Integración Apreciación '!O484</f>
        <v>NA</v>
      </c>
      <c r="H185" s="105" t="str">
        <f>'Integración Documental'!J485</f>
        <v>NA</v>
      </c>
      <c r="I185" s="45">
        <f>Estadistica!K193</f>
        <v>5</v>
      </c>
      <c r="J185" s="105">
        <f t="shared" si="4"/>
        <v>5</v>
      </c>
      <c r="K185" s="17" t="str">
        <f t="shared" si="5"/>
        <v>A</v>
      </c>
      <c r="L185" s="397"/>
      <c r="M185" s="397"/>
      <c r="N185" s="328"/>
      <c r="O185" s="328"/>
      <c r="P185" s="397"/>
      <c r="Q185" s="328"/>
    </row>
    <row r="186" spans="1:17" ht="30" x14ac:dyDescent="0.25">
      <c r="A186" s="237">
        <v>6</v>
      </c>
      <c r="B186" s="323"/>
      <c r="C186" s="237">
        <v>29</v>
      </c>
      <c r="D186" s="323"/>
      <c r="E186" s="52" t="s">
        <v>177</v>
      </c>
      <c r="F186" s="42" t="s">
        <v>280</v>
      </c>
      <c r="G186" s="213">
        <f>'Integración Apreciación '!O485</f>
        <v>2.8949750499002</v>
      </c>
      <c r="H186" s="105" t="str">
        <f>'Integración Documental'!J486</f>
        <v>NA</v>
      </c>
      <c r="I186" s="45">
        <f>Estadistica!K194</f>
        <v>5</v>
      </c>
      <c r="J186" s="213">
        <f t="shared" si="4"/>
        <v>3.9474875249501</v>
      </c>
      <c r="K186" s="17" t="str">
        <f t="shared" si="5"/>
        <v>B</v>
      </c>
      <c r="L186" s="398"/>
      <c r="M186" s="397"/>
      <c r="N186" s="329"/>
      <c r="O186" s="328"/>
      <c r="P186" s="397"/>
      <c r="Q186" s="328"/>
    </row>
    <row r="187" spans="1:17" ht="57.75" customHeight="1" x14ac:dyDescent="0.25">
      <c r="A187" s="237">
        <v>6</v>
      </c>
      <c r="B187" s="323"/>
      <c r="C187" s="237">
        <v>30</v>
      </c>
      <c r="D187" s="323" t="s">
        <v>281</v>
      </c>
      <c r="E187" s="52" t="s">
        <v>55</v>
      </c>
      <c r="F187" s="42" t="s">
        <v>296</v>
      </c>
      <c r="G187" s="97" t="str">
        <f>'Integración Apreciación '!O487</f>
        <v>NA</v>
      </c>
      <c r="H187" s="105">
        <f>'Integración Documental'!J487</f>
        <v>5</v>
      </c>
      <c r="I187" s="45" t="str">
        <f>Estadistica!K195</f>
        <v>NA</v>
      </c>
      <c r="J187" s="105">
        <f t="shared" si="4"/>
        <v>5</v>
      </c>
      <c r="K187" s="17" t="str">
        <f t="shared" si="5"/>
        <v>A</v>
      </c>
      <c r="L187" s="396">
        <f>AVERAGE(J187:J194)</f>
        <v>4.5229540918163673</v>
      </c>
      <c r="M187" s="397"/>
      <c r="N187" s="327" t="str">
        <f>IF(((L187&gt;=$Z$4)*AND(L187&lt;=$AA$4)),$Y$4,IF(((L187&gt;$AA$4)*AND(L187&lt;=$AA$5)),$Y$5,IF(((L187&gt;$AA$5)*AND(L187&lt;=$AA$6)),$Y$6,IF(((L187&gt;$AA$6)*AND(L187&lt;=$AA$7)),$Y$7,IF(((L187&gt;$AA$7)*AND(L187&lt;=$AA$8)),$Y$8,IF(EXACT(L187,$Y$9),$Z$9))))))</f>
        <v>A</v>
      </c>
      <c r="O187" s="328"/>
      <c r="P187" s="397"/>
      <c r="Q187" s="328"/>
    </row>
    <row r="188" spans="1:17" ht="45" x14ac:dyDescent="0.25">
      <c r="A188" s="237">
        <v>6</v>
      </c>
      <c r="B188" s="323"/>
      <c r="C188" s="237">
        <v>30</v>
      </c>
      <c r="D188" s="323"/>
      <c r="E188" s="52" t="s">
        <v>56</v>
      </c>
      <c r="F188" s="42" t="s">
        <v>282</v>
      </c>
      <c r="G188" s="97" t="str">
        <f>'Integración Apreciación '!O488</f>
        <v>NA</v>
      </c>
      <c r="H188" s="105">
        <f>'Integración Documental'!J491</f>
        <v>5</v>
      </c>
      <c r="I188" s="45">
        <f>Estadistica!K196</f>
        <v>2.5</v>
      </c>
      <c r="J188" s="105">
        <f t="shared" si="4"/>
        <v>3.75</v>
      </c>
      <c r="K188" s="17" t="str">
        <f t="shared" si="5"/>
        <v>C</v>
      </c>
      <c r="L188" s="397"/>
      <c r="M188" s="397"/>
      <c r="N188" s="328"/>
      <c r="O188" s="328"/>
      <c r="P188" s="397"/>
      <c r="Q188" s="328"/>
    </row>
    <row r="189" spans="1:17" ht="45" x14ac:dyDescent="0.25">
      <c r="A189" s="237">
        <v>6</v>
      </c>
      <c r="B189" s="323"/>
      <c r="C189" s="237">
        <v>30</v>
      </c>
      <c r="D189" s="323"/>
      <c r="E189" s="52" t="s">
        <v>80</v>
      </c>
      <c r="F189" s="42" t="s">
        <v>283</v>
      </c>
      <c r="G189" s="213">
        <f>'Integración Apreciación '!O489</f>
        <v>3.2005988023952097</v>
      </c>
      <c r="H189" s="105" t="str">
        <f>'Integración Documental'!J492</f>
        <v>NA</v>
      </c>
      <c r="I189" s="45">
        <f>Estadistica!K198</f>
        <v>5</v>
      </c>
      <c r="J189" s="213">
        <f t="shared" si="4"/>
        <v>4.1002994011976046</v>
      </c>
      <c r="K189" s="17" t="str">
        <f t="shared" si="5"/>
        <v>B</v>
      </c>
      <c r="L189" s="397"/>
      <c r="M189" s="397"/>
      <c r="N189" s="328"/>
      <c r="O189" s="328"/>
      <c r="P189" s="397"/>
      <c r="Q189" s="328"/>
    </row>
    <row r="190" spans="1:17" ht="30" x14ac:dyDescent="0.25">
      <c r="A190" s="237">
        <v>6</v>
      </c>
      <c r="B190" s="323"/>
      <c r="C190" s="237">
        <v>30</v>
      </c>
      <c r="D190" s="323"/>
      <c r="E190" s="52" t="s">
        <v>81</v>
      </c>
      <c r="F190" s="42" t="s">
        <v>391</v>
      </c>
      <c r="G190" s="97" t="str">
        <f>'Integración Apreciación '!O490</f>
        <v>NA</v>
      </c>
      <c r="H190" s="105" t="str">
        <f>'Integración Documental'!J493</f>
        <v>NA</v>
      </c>
      <c r="I190" s="213">
        <f>Estadistica!K200</f>
        <v>3.3333333333333335</v>
      </c>
      <c r="J190" s="213">
        <f t="shared" si="4"/>
        <v>3.3333333333333335</v>
      </c>
      <c r="K190" s="17" t="str">
        <f t="shared" si="5"/>
        <v>D</v>
      </c>
      <c r="L190" s="397"/>
      <c r="M190" s="397"/>
      <c r="N190" s="328"/>
      <c r="O190" s="328"/>
      <c r="P190" s="397"/>
      <c r="Q190" s="328"/>
    </row>
    <row r="191" spans="1:17" ht="30" x14ac:dyDescent="0.25">
      <c r="A191" s="237">
        <v>6</v>
      </c>
      <c r="B191" s="323"/>
      <c r="C191" s="237">
        <v>30</v>
      </c>
      <c r="D191" s="323"/>
      <c r="E191" s="52" t="s">
        <v>87</v>
      </c>
      <c r="F191" s="42" t="s">
        <v>284</v>
      </c>
      <c r="G191" s="97" t="str">
        <f>'Integración Apreciación '!O491</f>
        <v>NA</v>
      </c>
      <c r="H191" s="105">
        <f>'Integración Documental'!J494</f>
        <v>5</v>
      </c>
      <c r="I191" s="45" t="str">
        <f>Estadistica!K203</f>
        <v>NA</v>
      </c>
      <c r="J191" s="105">
        <f t="shared" si="4"/>
        <v>5</v>
      </c>
      <c r="K191" s="17" t="str">
        <f t="shared" si="5"/>
        <v>A</v>
      </c>
      <c r="L191" s="397"/>
      <c r="M191" s="397"/>
      <c r="N191" s="328"/>
      <c r="O191" s="328"/>
      <c r="P191" s="397"/>
      <c r="Q191" s="328"/>
    </row>
    <row r="192" spans="1:17" ht="105" x14ac:dyDescent="0.25">
      <c r="A192" s="237">
        <v>6</v>
      </c>
      <c r="B192" s="323"/>
      <c r="C192" s="237">
        <v>30</v>
      </c>
      <c r="D192" s="323"/>
      <c r="E192" s="52" t="s">
        <v>88</v>
      </c>
      <c r="F192" s="42" t="s">
        <v>285</v>
      </c>
      <c r="G192" s="97" t="str">
        <f>'Integración Apreciación '!O492</f>
        <v>NA</v>
      </c>
      <c r="H192" s="105">
        <f>'Integración Documental'!J498</f>
        <v>5</v>
      </c>
      <c r="I192" s="45">
        <f>Estadistica!K204</f>
        <v>5</v>
      </c>
      <c r="J192" s="105">
        <f t="shared" si="4"/>
        <v>5</v>
      </c>
      <c r="K192" s="17" t="str">
        <f t="shared" si="5"/>
        <v>A</v>
      </c>
      <c r="L192" s="397"/>
      <c r="M192" s="397"/>
      <c r="N192" s="328"/>
      <c r="O192" s="328"/>
      <c r="P192" s="397"/>
      <c r="Q192" s="328"/>
    </row>
    <row r="193" spans="1:17" ht="75" x14ac:dyDescent="0.25">
      <c r="A193" s="237">
        <v>6</v>
      </c>
      <c r="B193" s="323"/>
      <c r="C193" s="237">
        <v>30</v>
      </c>
      <c r="D193" s="323"/>
      <c r="E193" s="52" t="s">
        <v>102</v>
      </c>
      <c r="F193" s="42" t="s">
        <v>286</v>
      </c>
      <c r="G193" s="97" t="str">
        <f>'Integración Apreciación '!O493</f>
        <v>NA</v>
      </c>
      <c r="H193" s="105">
        <f>'Integración Documental'!J499</f>
        <v>5</v>
      </c>
      <c r="I193" s="45">
        <f>Estadistica!K205</f>
        <v>5</v>
      </c>
      <c r="J193" s="105">
        <f t="shared" si="4"/>
        <v>5</v>
      </c>
      <c r="K193" s="17" t="str">
        <f t="shared" si="5"/>
        <v>A</v>
      </c>
      <c r="L193" s="397"/>
      <c r="M193" s="397"/>
      <c r="N193" s="328"/>
      <c r="O193" s="328"/>
      <c r="P193" s="397"/>
      <c r="Q193" s="328"/>
    </row>
    <row r="194" spans="1:17" ht="105.75" customHeight="1" x14ac:dyDescent="0.25">
      <c r="A194" s="237">
        <v>6</v>
      </c>
      <c r="B194" s="323"/>
      <c r="C194" s="237">
        <v>30</v>
      </c>
      <c r="D194" s="323"/>
      <c r="E194" s="52" t="s">
        <v>104</v>
      </c>
      <c r="F194" s="42" t="s">
        <v>287</v>
      </c>
      <c r="G194" s="97" t="str">
        <f>'Integración Apreciación '!O494</f>
        <v>NA</v>
      </c>
      <c r="H194" s="105">
        <f>'Integración Documental'!J504</f>
        <v>5</v>
      </c>
      <c r="I194" s="45">
        <f>Estadistica!K206</f>
        <v>5</v>
      </c>
      <c r="J194" s="105">
        <f t="shared" si="4"/>
        <v>5</v>
      </c>
      <c r="K194" s="17" t="str">
        <f t="shared" si="5"/>
        <v>A</v>
      </c>
      <c r="L194" s="398"/>
      <c r="M194" s="398"/>
      <c r="N194" s="329"/>
      <c r="O194" s="329"/>
      <c r="P194" s="397"/>
      <c r="Q194" s="328"/>
    </row>
    <row r="195" spans="1:17" ht="45" customHeight="1" x14ac:dyDescent="0.25">
      <c r="A195" s="237">
        <v>7</v>
      </c>
      <c r="B195" s="323" t="s">
        <v>288</v>
      </c>
      <c r="C195" s="237">
        <v>31</v>
      </c>
      <c r="D195" s="323" t="s">
        <v>289</v>
      </c>
      <c r="E195" s="52" t="s">
        <v>55</v>
      </c>
      <c r="F195" s="42" t="s">
        <v>392</v>
      </c>
      <c r="G195" s="97" t="str">
        <f>'Integración Apreciación '!O495</f>
        <v>NA</v>
      </c>
      <c r="H195" s="105">
        <f>'Integración Documental'!J505</f>
        <v>5</v>
      </c>
      <c r="I195" s="45" t="str">
        <f>Estadistica!K207</f>
        <v>NA</v>
      </c>
      <c r="J195" s="105">
        <f t="shared" ref="J195:J256" si="6">IF(OR(EXACT(G195,$Y$9),EXACT(H195,$Y$9),EXACT(I195,$Y$9)),AVERAGE(G195:I195),((G195*$U$6)+(H195*$U$4)+(I195*$U$5)))</f>
        <v>5</v>
      </c>
      <c r="K195" s="17" t="str">
        <f t="shared" ref="K195:K257" si="7">IF(((J195&gt;=$Z$4)*AND(J195&lt;=$AA$4)),$Y$4,IF(((J195&gt;$AA$4)*AND(J195&lt;=$AA$5)),$Y$5,IF(((J195&gt;$AA$5)*AND(J195&lt;=$AA$6)),$Y$6,IF(((J195&gt;$AA$6)*AND(J195&lt;=$AA$7)),$Y$7,IF(((J195&gt;$AA$7)*AND(J195&lt;=$AA$8)),$Y$8,IF(EXACT(J195,$Y$9),$Z$9))))))</f>
        <v>A</v>
      </c>
      <c r="L195" s="396">
        <f>AVERAGE(J195:J203)</f>
        <v>4.1832666003276096</v>
      </c>
      <c r="M195" s="396">
        <f>(L195*Ponderación!D32)+(L204*Ponderación!D33)</f>
        <v>3.6903053054709294</v>
      </c>
      <c r="N195" s="327" t="str">
        <f>IF(((L195&gt;=$Z$4)*AND(L195&lt;=$AA$4)),$Y$4,IF(((L195&gt;$AA$4)*AND(L195&lt;=$AA$5)),$Y$5,IF(((L195&gt;$AA$5)*AND(L195&lt;=$AA$6)),$Y$6,IF(((L195&gt;$AA$6)*AND(L195&lt;=$AA$7)),$Y$7,IF(((L195&gt;$AA$7)*AND(L195&lt;=$AA$8)),$Y$8,IF(EXACT(L195,$Y$9),$Z$9))))))</f>
        <v>B</v>
      </c>
      <c r="O195" s="327" t="str">
        <f>IF(((M195&gt;=$Z$4)*AND(M195&lt;=$AA$4)),$Y$4,IF(((M195&gt;$AA$4)*AND(M195&lt;=$AA$5)),$Y$5,IF(((M195&gt;$AA$5)*AND(M195&lt;=$AA$6)),$Y$6,IF(((M195&gt;$AA$6)*AND(M195&lt;=$AA$7)),$Y$7,IF(((M195&gt;$AA$7)*AND(M195&lt;=$AA$8)),$Y$8,IF(EXACT(M195,$Y$9),$Z$9))))))</f>
        <v>C</v>
      </c>
      <c r="P195" s="397"/>
      <c r="Q195" s="328"/>
    </row>
    <row r="196" spans="1:17" ht="30" x14ac:dyDescent="0.25">
      <c r="A196" s="237">
        <v>7</v>
      </c>
      <c r="B196" s="323"/>
      <c r="C196" s="237">
        <v>31</v>
      </c>
      <c r="D196" s="323"/>
      <c r="E196" s="52" t="s">
        <v>56</v>
      </c>
      <c r="F196" s="42" t="s">
        <v>290</v>
      </c>
      <c r="G196" s="97" t="str">
        <f>'Integración Apreciación '!O496</f>
        <v>NA</v>
      </c>
      <c r="H196" s="105">
        <f>'Integración Documental'!J509</f>
        <v>5</v>
      </c>
      <c r="I196" s="45" t="str">
        <f>Estadistica!K208</f>
        <v>NA</v>
      </c>
      <c r="J196" s="105">
        <f t="shared" si="6"/>
        <v>5</v>
      </c>
      <c r="K196" s="17" t="str">
        <f t="shared" si="7"/>
        <v>A</v>
      </c>
      <c r="L196" s="397"/>
      <c r="M196" s="397"/>
      <c r="N196" s="328"/>
      <c r="O196" s="328"/>
      <c r="P196" s="397"/>
      <c r="Q196" s="328"/>
    </row>
    <row r="197" spans="1:17" ht="30" x14ac:dyDescent="0.25">
      <c r="A197" s="237">
        <v>7</v>
      </c>
      <c r="B197" s="323"/>
      <c r="C197" s="237">
        <v>31</v>
      </c>
      <c r="D197" s="323"/>
      <c r="E197" s="52" t="s">
        <v>80</v>
      </c>
      <c r="F197" s="42" t="s">
        <v>291</v>
      </c>
      <c r="G197" s="97" t="str">
        <f>'Integración Apreciación '!O497</f>
        <v>NA</v>
      </c>
      <c r="H197" s="105">
        <f>'Integración Documental'!J513</f>
        <v>5</v>
      </c>
      <c r="I197" s="45" t="str">
        <f>Estadistica!K209</f>
        <v>NA</v>
      </c>
      <c r="J197" s="105">
        <f t="shared" si="6"/>
        <v>5</v>
      </c>
      <c r="K197" s="17" t="str">
        <f t="shared" si="7"/>
        <v>A</v>
      </c>
      <c r="L197" s="397"/>
      <c r="M197" s="397"/>
      <c r="N197" s="328"/>
      <c r="O197" s="328"/>
      <c r="P197" s="397"/>
      <c r="Q197" s="328"/>
    </row>
    <row r="198" spans="1:17" ht="30" x14ac:dyDescent="0.25">
      <c r="A198" s="237">
        <v>7</v>
      </c>
      <c r="B198" s="323"/>
      <c r="C198" s="237">
        <v>31</v>
      </c>
      <c r="D198" s="323"/>
      <c r="E198" s="52" t="s">
        <v>81</v>
      </c>
      <c r="F198" s="42" t="s">
        <v>292</v>
      </c>
      <c r="G198" s="97" t="str">
        <f>'Integración Apreciación '!O498</f>
        <v>NA</v>
      </c>
      <c r="H198" s="105" t="str">
        <f>'Integración Documental'!J514</f>
        <v>NA</v>
      </c>
      <c r="I198" s="45">
        <f>Estadistica!K210</f>
        <v>5</v>
      </c>
      <c r="J198" s="105">
        <f t="shared" si="6"/>
        <v>5</v>
      </c>
      <c r="K198" s="17" t="str">
        <f t="shared" si="7"/>
        <v>A</v>
      </c>
      <c r="L198" s="397"/>
      <c r="M198" s="397"/>
      <c r="N198" s="328"/>
      <c r="O198" s="328"/>
      <c r="P198" s="397"/>
      <c r="Q198" s="328"/>
    </row>
    <row r="199" spans="1:17" ht="45" x14ac:dyDescent="0.25">
      <c r="A199" s="237">
        <v>7</v>
      </c>
      <c r="B199" s="323"/>
      <c r="C199" s="237">
        <v>31</v>
      </c>
      <c r="D199" s="323"/>
      <c r="E199" s="52" t="s">
        <v>87</v>
      </c>
      <c r="F199" s="42" t="s">
        <v>393</v>
      </c>
      <c r="G199" s="213">
        <f>'Integración Apreciación '!O499</f>
        <v>3.46613280262088</v>
      </c>
      <c r="H199" s="105" t="str">
        <f>'Integración Documental'!J515</f>
        <v>NA</v>
      </c>
      <c r="I199" s="45" t="str">
        <f>Estadistica!K211</f>
        <v>NA</v>
      </c>
      <c r="J199" s="213">
        <f t="shared" si="6"/>
        <v>3.46613280262088</v>
      </c>
      <c r="K199" s="17" t="str">
        <f t="shared" si="7"/>
        <v>C</v>
      </c>
      <c r="L199" s="397"/>
      <c r="M199" s="397"/>
      <c r="N199" s="328"/>
      <c r="O199" s="328"/>
      <c r="P199" s="397"/>
      <c r="Q199" s="328"/>
    </row>
    <row r="200" spans="1:17" ht="30" x14ac:dyDescent="0.25">
      <c r="A200" s="237">
        <v>7</v>
      </c>
      <c r="B200" s="323"/>
      <c r="C200" s="237">
        <v>31</v>
      </c>
      <c r="D200" s="323"/>
      <c r="E200" s="52" t="s">
        <v>88</v>
      </c>
      <c r="F200" s="42" t="s">
        <v>394</v>
      </c>
      <c r="G200" s="97" t="str">
        <f>'Integración Apreciación '!O510</f>
        <v>NA</v>
      </c>
      <c r="H200" s="105">
        <f>'Integración Documental'!J516</f>
        <v>5</v>
      </c>
      <c r="I200" s="45" t="str">
        <f>Estadistica!K212</f>
        <v>NA</v>
      </c>
      <c r="J200" s="105">
        <f t="shared" si="6"/>
        <v>5</v>
      </c>
      <c r="K200" s="17" t="str">
        <f t="shared" si="7"/>
        <v>A</v>
      </c>
      <c r="L200" s="397"/>
      <c r="M200" s="397"/>
      <c r="N200" s="328"/>
      <c r="O200" s="328"/>
      <c r="P200" s="397"/>
      <c r="Q200" s="328"/>
    </row>
    <row r="201" spans="1:17" ht="30" x14ac:dyDescent="0.25">
      <c r="A201" s="237">
        <v>7</v>
      </c>
      <c r="B201" s="323"/>
      <c r="C201" s="237">
        <v>31</v>
      </c>
      <c r="D201" s="323"/>
      <c r="E201" s="52" t="s">
        <v>102</v>
      </c>
      <c r="F201" s="42" t="s">
        <v>293</v>
      </c>
      <c r="G201" s="97" t="str">
        <f>'Integración Apreciación '!O511</f>
        <v>NA</v>
      </c>
      <c r="H201" s="105">
        <f>'Integración Documental'!J520</f>
        <v>2.5</v>
      </c>
      <c r="I201" s="45" t="str">
        <f>Estadistica!K213</f>
        <v>NA</v>
      </c>
      <c r="J201" s="105">
        <f t="shared" si="6"/>
        <v>2.5</v>
      </c>
      <c r="K201" s="17" t="str">
        <f t="shared" si="7"/>
        <v>D</v>
      </c>
      <c r="L201" s="397"/>
      <c r="M201" s="397"/>
      <c r="N201" s="328"/>
      <c r="O201" s="328"/>
      <c r="P201" s="397"/>
      <c r="Q201" s="328"/>
    </row>
    <row r="202" spans="1:17" ht="30" x14ac:dyDescent="0.25">
      <c r="A202" s="237">
        <v>7</v>
      </c>
      <c r="B202" s="323"/>
      <c r="C202" s="237">
        <v>31</v>
      </c>
      <c r="D202" s="323"/>
      <c r="E202" s="52" t="s">
        <v>104</v>
      </c>
      <c r="F202" s="42" t="s">
        <v>294</v>
      </c>
      <c r="G202" s="97" t="str">
        <f>'Integración Apreciación '!O512</f>
        <v>NA</v>
      </c>
      <c r="H202" s="105">
        <f>'Integración Documental'!J524</f>
        <v>0</v>
      </c>
      <c r="I202" s="45">
        <f>Estadistica!K214</f>
        <v>5</v>
      </c>
      <c r="J202" s="105">
        <f t="shared" si="6"/>
        <v>2.5</v>
      </c>
      <c r="K202" s="17" t="str">
        <f t="shared" si="7"/>
        <v>D</v>
      </c>
      <c r="L202" s="397"/>
      <c r="M202" s="397"/>
      <c r="N202" s="328"/>
      <c r="O202" s="328"/>
      <c r="P202" s="397"/>
      <c r="Q202" s="328"/>
    </row>
    <row r="203" spans="1:17" ht="30" x14ac:dyDescent="0.25">
      <c r="A203" s="237">
        <v>7</v>
      </c>
      <c r="B203" s="323"/>
      <c r="C203" s="237">
        <v>31</v>
      </c>
      <c r="D203" s="323"/>
      <c r="E203" s="52" t="s">
        <v>106</v>
      </c>
      <c r="F203" s="42" t="s">
        <v>295</v>
      </c>
      <c r="G203" s="97" t="str">
        <f>'Integración Apreciación '!O513</f>
        <v>NA</v>
      </c>
      <c r="H203" s="105" t="str">
        <f>'Integración Documental'!J526</f>
        <v>NA</v>
      </c>
      <c r="I203" s="45" t="str">
        <f>Estadistica!K215</f>
        <v>NA</v>
      </c>
      <c r="J203" s="105" t="s">
        <v>64</v>
      </c>
      <c r="K203" s="17" t="str">
        <f t="shared" si="7"/>
        <v>NA</v>
      </c>
      <c r="L203" s="398"/>
      <c r="M203" s="397"/>
      <c r="N203" s="329"/>
      <c r="O203" s="328"/>
      <c r="P203" s="397"/>
      <c r="Q203" s="328"/>
    </row>
    <row r="204" spans="1:17" ht="45" x14ac:dyDescent="0.25">
      <c r="A204" s="237">
        <v>7</v>
      </c>
      <c r="B204" s="323"/>
      <c r="C204" s="237">
        <v>32</v>
      </c>
      <c r="D204" s="323" t="s">
        <v>297</v>
      </c>
      <c r="E204" s="52" t="s">
        <v>55</v>
      </c>
      <c r="F204" s="42" t="s">
        <v>298</v>
      </c>
      <c r="G204" s="97" t="str">
        <f>'Integración Apreciación '!O514</f>
        <v>NA</v>
      </c>
      <c r="H204" s="105">
        <f>'Integración Documental'!J527</f>
        <v>5</v>
      </c>
      <c r="I204" s="45">
        <f>Estadistica!K216</f>
        <v>5</v>
      </c>
      <c r="J204" s="105">
        <f t="shared" si="6"/>
        <v>5</v>
      </c>
      <c r="K204" s="17" t="str">
        <f t="shared" si="7"/>
        <v>A</v>
      </c>
      <c r="L204" s="396">
        <f>AVERAGE(J204:J206)</f>
        <v>3.3333333333333335</v>
      </c>
      <c r="M204" s="397"/>
      <c r="N204" s="327" t="str">
        <f>IF(((L204&gt;=$Z$4)*AND(L204&lt;=$AA$4)),$Y$4,IF(((L204&gt;$AA$4)*AND(L204&lt;=$AA$5)),$Y$5,IF(((L204&gt;$AA$5)*AND(L204&lt;=$AA$6)),$Y$6,IF(((L204&gt;$AA$6)*AND(L204&lt;=$AA$7)),$Y$7,IF(((L204&gt;$AA$7)*AND(L204&lt;=$AA$8)),$Y$8,IF(EXACT(L204,$Y$9),$Z$9))))))</f>
        <v>D</v>
      </c>
      <c r="O204" s="328"/>
      <c r="P204" s="397"/>
      <c r="Q204" s="328"/>
    </row>
    <row r="205" spans="1:17" ht="30" x14ac:dyDescent="0.25">
      <c r="A205" s="237">
        <v>7</v>
      </c>
      <c r="B205" s="323"/>
      <c r="C205" s="237">
        <v>32</v>
      </c>
      <c r="D205" s="323"/>
      <c r="E205" s="52" t="s">
        <v>56</v>
      </c>
      <c r="F205" s="42" t="s">
        <v>299</v>
      </c>
      <c r="G205" s="97" t="str">
        <f>'Integración Apreciación '!O515</f>
        <v>NA</v>
      </c>
      <c r="H205" s="105">
        <f>'Integración Documental'!J528</f>
        <v>0</v>
      </c>
      <c r="I205" s="45" t="str">
        <f>Estadistica!K217</f>
        <v>NA</v>
      </c>
      <c r="J205" s="105">
        <f t="shared" si="6"/>
        <v>0</v>
      </c>
      <c r="K205" s="17" t="str">
        <f t="shared" si="7"/>
        <v>E</v>
      </c>
      <c r="L205" s="397"/>
      <c r="M205" s="397"/>
      <c r="N205" s="328"/>
      <c r="O205" s="328"/>
      <c r="P205" s="397"/>
      <c r="Q205" s="328"/>
    </row>
    <row r="206" spans="1:17" ht="45" x14ac:dyDescent="0.25">
      <c r="A206" s="237">
        <v>7</v>
      </c>
      <c r="B206" s="323"/>
      <c r="C206" s="237">
        <v>32</v>
      </c>
      <c r="D206" s="323"/>
      <c r="E206" s="52" t="s">
        <v>80</v>
      </c>
      <c r="F206" s="42" t="s">
        <v>300</v>
      </c>
      <c r="G206" s="97" t="str">
        <f>'Integración Apreciación '!O516</f>
        <v>NA</v>
      </c>
      <c r="H206" s="105">
        <f>'Integración Documental'!J529</f>
        <v>5</v>
      </c>
      <c r="I206" s="45">
        <f>Estadistica!K218</f>
        <v>5</v>
      </c>
      <c r="J206" s="105">
        <f t="shared" si="6"/>
        <v>5</v>
      </c>
      <c r="K206" s="17" t="str">
        <f t="shared" si="7"/>
        <v>A</v>
      </c>
      <c r="L206" s="398"/>
      <c r="M206" s="398"/>
      <c r="N206" s="329"/>
      <c r="O206" s="329"/>
      <c r="P206" s="397"/>
      <c r="Q206" s="328"/>
    </row>
    <row r="207" spans="1:17" ht="45" customHeight="1" x14ac:dyDescent="0.25">
      <c r="A207" s="237">
        <v>8</v>
      </c>
      <c r="B207" s="323" t="s">
        <v>301</v>
      </c>
      <c r="C207" s="237">
        <v>33</v>
      </c>
      <c r="D207" s="323" t="s">
        <v>302</v>
      </c>
      <c r="E207" s="52" t="s">
        <v>55</v>
      </c>
      <c r="F207" s="42" t="s">
        <v>303</v>
      </c>
      <c r="G207" s="213">
        <f>'Integración Apreciación '!O517</f>
        <v>3.8278899608191024</v>
      </c>
      <c r="H207" s="105">
        <f>'Integración Documental'!J533</f>
        <v>5</v>
      </c>
      <c r="I207" s="45" t="str">
        <f>Estadistica!K219</f>
        <v>NA</v>
      </c>
      <c r="J207" s="213">
        <f t="shared" si="6"/>
        <v>4.4139449804095516</v>
      </c>
      <c r="K207" s="17" t="str">
        <f t="shared" si="7"/>
        <v>A</v>
      </c>
      <c r="L207" s="396">
        <f>AVERAGE(J207:J214)</f>
        <v>4.4818102892678624</v>
      </c>
      <c r="M207" s="396">
        <f>(L207*Ponderación!D34)+(L215*Ponderación!D35)+(L224*Ponderación!D36)</f>
        <v>4.2419491588374418</v>
      </c>
      <c r="N207" s="327" t="s">
        <v>37</v>
      </c>
      <c r="O207" s="327" t="str">
        <f>IF(((M207&gt;=$Z$4)*AND(M207&lt;=$AA$4)),$Y$4,IF(((M207&gt;$AA$4)*AND(M207&lt;=$AA$5)),$Y$5,IF(((M207&gt;$AA$5)*AND(M207&lt;=$AA$6)),$Y$6,IF(((M207&gt;$AA$6)*AND(M207&lt;=$AA$7)),$Y$7,IF(((M207&gt;$AA$7)*AND(M207&lt;=$AA$8)),$Y$8,IF(EXACT(M207,$Y$9),$Z$9))))))</f>
        <v>B</v>
      </c>
      <c r="P207" s="397"/>
      <c r="Q207" s="328"/>
    </row>
    <row r="208" spans="1:17" ht="30" x14ac:dyDescent="0.25">
      <c r="A208" s="237">
        <v>8</v>
      </c>
      <c r="B208" s="323"/>
      <c r="C208" s="237">
        <v>33</v>
      </c>
      <c r="D208" s="323"/>
      <c r="E208" s="52" t="s">
        <v>56</v>
      </c>
      <c r="F208" s="42" t="s">
        <v>395</v>
      </c>
      <c r="G208" s="213">
        <f>'Integración Apreciación '!O523</f>
        <v>3.3275455560987783</v>
      </c>
      <c r="H208" s="105">
        <f>'Integración Documental'!J536</f>
        <v>5</v>
      </c>
      <c r="I208" s="45" t="str">
        <f>Estadistica!K220</f>
        <v>NA</v>
      </c>
      <c r="J208" s="213">
        <f t="shared" si="6"/>
        <v>4.1637727780493892</v>
      </c>
      <c r="K208" s="17" t="str">
        <f t="shared" si="7"/>
        <v>B</v>
      </c>
      <c r="L208" s="397"/>
      <c r="M208" s="397"/>
      <c r="N208" s="328"/>
      <c r="O208" s="328"/>
      <c r="P208" s="397"/>
      <c r="Q208" s="328"/>
    </row>
    <row r="209" spans="1:17" ht="30" x14ac:dyDescent="0.25">
      <c r="A209" s="237">
        <v>8</v>
      </c>
      <c r="B209" s="323"/>
      <c r="C209" s="237">
        <v>33</v>
      </c>
      <c r="D209" s="323"/>
      <c r="E209" s="52" t="s">
        <v>305</v>
      </c>
      <c r="F209" s="42" t="s">
        <v>304</v>
      </c>
      <c r="G209" s="213">
        <f>'Integración Apreciación '!O528</f>
        <v>3.5325737705874802</v>
      </c>
      <c r="H209" s="105">
        <f>'Integración Documental'!J540</f>
        <v>5</v>
      </c>
      <c r="I209" s="45" t="str">
        <f>Estadistica!K221</f>
        <v>NA</v>
      </c>
      <c r="J209" s="213">
        <f t="shared" si="6"/>
        <v>4.2662868852937397</v>
      </c>
      <c r="K209" s="17" t="str">
        <f t="shared" si="7"/>
        <v>B</v>
      </c>
      <c r="L209" s="397"/>
      <c r="M209" s="397"/>
      <c r="N209" s="328"/>
      <c r="O209" s="328"/>
      <c r="P209" s="397"/>
      <c r="Q209" s="328"/>
    </row>
    <row r="210" spans="1:17" ht="45" x14ac:dyDescent="0.25">
      <c r="A210" s="237">
        <v>8</v>
      </c>
      <c r="B210" s="323"/>
      <c r="C210" s="237">
        <v>33</v>
      </c>
      <c r="D210" s="323"/>
      <c r="E210" s="52" t="s">
        <v>306</v>
      </c>
      <c r="F210" s="42" t="s">
        <v>396</v>
      </c>
      <c r="G210" s="97" t="str">
        <f>'Integración Apreciación '!O531</f>
        <v>NA</v>
      </c>
      <c r="H210" s="213">
        <f>'Integración Documental'!J545</f>
        <v>5</v>
      </c>
      <c r="I210" s="45" t="str">
        <f>Estadistica!K222</f>
        <v>NA</v>
      </c>
      <c r="J210" s="213">
        <f t="shared" si="6"/>
        <v>5</v>
      </c>
      <c r="K210" s="17" t="str">
        <f t="shared" si="7"/>
        <v>A</v>
      </c>
      <c r="L210" s="397"/>
      <c r="M210" s="397"/>
      <c r="N210" s="328"/>
      <c r="O210" s="328"/>
      <c r="P210" s="397"/>
      <c r="Q210" s="328"/>
    </row>
    <row r="211" spans="1:17" ht="15" customHeight="1" x14ac:dyDescent="0.25">
      <c r="A211" s="237">
        <v>8</v>
      </c>
      <c r="B211" s="323"/>
      <c r="C211" s="237">
        <v>33</v>
      </c>
      <c r="D211" s="323"/>
      <c r="E211" s="52" t="s">
        <v>81</v>
      </c>
      <c r="F211" s="42" t="s">
        <v>307</v>
      </c>
      <c r="G211" s="97" t="str">
        <f>'Integración Apreciación '!O532</f>
        <v>NA</v>
      </c>
      <c r="H211" s="213">
        <f>'Integración Documental'!J548</f>
        <v>5</v>
      </c>
      <c r="I211" s="45" t="str">
        <f>Estadistica!K223</f>
        <v>NA</v>
      </c>
      <c r="J211" s="213">
        <f t="shared" si="6"/>
        <v>5</v>
      </c>
      <c r="K211" s="17" t="str">
        <f t="shared" si="7"/>
        <v>A</v>
      </c>
      <c r="L211" s="397"/>
      <c r="M211" s="397"/>
      <c r="N211" s="328"/>
      <c r="O211" s="328"/>
      <c r="P211" s="397"/>
      <c r="Q211" s="328"/>
    </row>
    <row r="212" spans="1:17" x14ac:dyDescent="0.25">
      <c r="A212" s="237">
        <v>8</v>
      </c>
      <c r="B212" s="323"/>
      <c r="C212" s="237">
        <v>33</v>
      </c>
      <c r="D212" s="323"/>
      <c r="E212" s="52" t="s">
        <v>87</v>
      </c>
      <c r="F212" s="57" t="s">
        <v>308</v>
      </c>
      <c r="G212" s="97" t="str">
        <f>'Integración Apreciación '!O533</f>
        <v>NA</v>
      </c>
      <c r="H212" s="105">
        <f>'Integración Documental'!J551</f>
        <v>5</v>
      </c>
      <c r="I212" s="45" t="str">
        <f>Estadistica!K224</f>
        <v>NA</v>
      </c>
      <c r="J212" s="213">
        <f t="shared" si="6"/>
        <v>5</v>
      </c>
      <c r="K212" s="17" t="str">
        <f t="shared" si="7"/>
        <v>A</v>
      </c>
      <c r="L212" s="397"/>
      <c r="M212" s="397"/>
      <c r="N212" s="328"/>
      <c r="O212" s="328"/>
      <c r="P212" s="397"/>
      <c r="Q212" s="328"/>
    </row>
    <row r="213" spans="1:17" ht="45" x14ac:dyDescent="0.25">
      <c r="A213" s="237">
        <v>8</v>
      </c>
      <c r="B213" s="323"/>
      <c r="C213" s="237">
        <v>33</v>
      </c>
      <c r="D213" s="323"/>
      <c r="E213" s="52" t="s">
        <v>88</v>
      </c>
      <c r="F213" s="42" t="s">
        <v>309</v>
      </c>
      <c r="G213" s="213">
        <f>'Integración Apreciación '!O534</f>
        <v>4.0960526315789476</v>
      </c>
      <c r="H213" s="105" t="str">
        <f>'Integración Documental'!J552</f>
        <v>NA</v>
      </c>
      <c r="I213" s="45" t="str">
        <f>Estadistica!K225</f>
        <v>NA</v>
      </c>
      <c r="J213" s="213">
        <f t="shared" si="6"/>
        <v>4.0960526315789476</v>
      </c>
      <c r="K213" s="17" t="str">
        <f t="shared" si="7"/>
        <v>B</v>
      </c>
      <c r="L213" s="397"/>
      <c r="M213" s="397"/>
      <c r="N213" s="328"/>
      <c r="O213" s="328"/>
      <c r="P213" s="397"/>
      <c r="Q213" s="328"/>
    </row>
    <row r="214" spans="1:17" ht="45" x14ac:dyDescent="0.25">
      <c r="A214" s="237">
        <v>8</v>
      </c>
      <c r="B214" s="323"/>
      <c r="C214" s="237">
        <v>33</v>
      </c>
      <c r="D214" s="323"/>
      <c r="E214" s="52" t="s">
        <v>102</v>
      </c>
      <c r="F214" s="42" t="s">
        <v>310</v>
      </c>
      <c r="G214" s="213">
        <f>'Integración Apreciación '!O538</f>
        <v>3.9144250388112658</v>
      </c>
      <c r="H214" s="105" t="str">
        <f>'Integración Documental'!J553</f>
        <v>NA</v>
      </c>
      <c r="I214" s="45" t="str">
        <f>Estadistica!K226</f>
        <v>NA</v>
      </c>
      <c r="J214" s="213">
        <f t="shared" si="6"/>
        <v>3.9144250388112658</v>
      </c>
      <c r="K214" s="17" t="str">
        <f t="shared" si="7"/>
        <v>B</v>
      </c>
      <c r="L214" s="398"/>
      <c r="M214" s="397"/>
      <c r="N214" s="329"/>
      <c r="O214" s="328"/>
      <c r="P214" s="397"/>
      <c r="Q214" s="328"/>
    </row>
    <row r="215" spans="1:17" ht="30" x14ac:dyDescent="0.25">
      <c r="A215" s="237">
        <v>8</v>
      </c>
      <c r="B215" s="323"/>
      <c r="C215" s="237">
        <v>34</v>
      </c>
      <c r="D215" s="323" t="s">
        <v>311</v>
      </c>
      <c r="E215" s="52" t="s">
        <v>55</v>
      </c>
      <c r="F215" s="42" t="s">
        <v>312</v>
      </c>
      <c r="G215" s="97" t="str">
        <f>'Integración Apreciación '!O546</f>
        <v>NA</v>
      </c>
      <c r="H215" s="105">
        <f>'Integración Documental'!J554</f>
        <v>3</v>
      </c>
      <c r="I215" s="45" t="str">
        <f>Estadistica!K227</f>
        <v>NA</v>
      </c>
      <c r="J215" s="213">
        <f t="shared" si="6"/>
        <v>3</v>
      </c>
      <c r="K215" s="17" t="str">
        <f t="shared" si="7"/>
        <v>D</v>
      </c>
      <c r="L215" s="396">
        <f>AVERAGE(J215:J223)</f>
        <v>3.926463263369298</v>
      </c>
      <c r="M215" s="397"/>
      <c r="N215" s="327" t="s">
        <v>40</v>
      </c>
      <c r="O215" s="328"/>
      <c r="P215" s="397"/>
      <c r="Q215" s="328"/>
    </row>
    <row r="216" spans="1:17" ht="45" x14ac:dyDescent="0.25">
      <c r="A216" s="237">
        <v>8</v>
      </c>
      <c r="B216" s="323"/>
      <c r="C216" s="237">
        <v>34</v>
      </c>
      <c r="D216" s="323"/>
      <c r="E216" s="52" t="s">
        <v>56</v>
      </c>
      <c r="F216" s="42" t="s">
        <v>397</v>
      </c>
      <c r="G216" s="97" t="str">
        <f>'Integración Apreciación '!O547</f>
        <v>NA</v>
      </c>
      <c r="H216" s="213">
        <f>'Integración Documental'!J559</f>
        <v>1.6666666666666667</v>
      </c>
      <c r="I216" s="45" t="str">
        <f>Estadistica!K228</f>
        <v>NA</v>
      </c>
      <c r="J216" s="213">
        <f t="shared" si="6"/>
        <v>1.6666666666666667</v>
      </c>
      <c r="K216" s="17" t="str">
        <f t="shared" si="7"/>
        <v>E</v>
      </c>
      <c r="L216" s="397"/>
      <c r="M216" s="397"/>
      <c r="N216" s="328"/>
      <c r="O216" s="328"/>
      <c r="P216" s="397"/>
      <c r="Q216" s="328"/>
    </row>
    <row r="217" spans="1:17" ht="30" x14ac:dyDescent="0.25">
      <c r="A217" s="237">
        <v>8</v>
      </c>
      <c r="B217" s="323"/>
      <c r="C217" s="237">
        <v>34</v>
      </c>
      <c r="D217" s="323"/>
      <c r="E217" s="52" t="s">
        <v>80</v>
      </c>
      <c r="F217" s="42" t="s">
        <v>313</v>
      </c>
      <c r="G217" s="97" t="str">
        <f>'Integración Apreciación '!O548</f>
        <v>NA</v>
      </c>
      <c r="H217" s="105">
        <f>'Integración Documental'!J565</f>
        <v>5</v>
      </c>
      <c r="I217" s="45" t="str">
        <f>Estadistica!K229</f>
        <v>NA</v>
      </c>
      <c r="J217" s="105">
        <f t="shared" si="6"/>
        <v>5</v>
      </c>
      <c r="K217" s="17" t="str">
        <f t="shared" si="7"/>
        <v>A</v>
      </c>
      <c r="L217" s="397"/>
      <c r="M217" s="397"/>
      <c r="N217" s="328"/>
      <c r="O217" s="328"/>
      <c r="P217" s="397"/>
      <c r="Q217" s="328"/>
    </row>
    <row r="218" spans="1:17" ht="30" x14ac:dyDescent="0.25">
      <c r="A218" s="237">
        <v>8</v>
      </c>
      <c r="B218" s="323"/>
      <c r="C218" s="237">
        <v>34</v>
      </c>
      <c r="D218" s="323"/>
      <c r="E218" s="52" t="s">
        <v>81</v>
      </c>
      <c r="F218" s="42" t="s">
        <v>314</v>
      </c>
      <c r="G218" s="97" t="str">
        <f>'Integración Apreciación '!O549</f>
        <v>NA</v>
      </c>
      <c r="H218" s="105">
        <f>'Integración Documental'!J567</f>
        <v>5</v>
      </c>
      <c r="I218" s="45" t="str">
        <f>Estadistica!K230</f>
        <v>NA</v>
      </c>
      <c r="J218" s="105">
        <f t="shared" si="6"/>
        <v>5</v>
      </c>
      <c r="K218" s="17" t="str">
        <f t="shared" si="7"/>
        <v>A</v>
      </c>
      <c r="L218" s="397"/>
      <c r="M218" s="397"/>
      <c r="N218" s="328"/>
      <c r="O218" s="328"/>
      <c r="P218" s="397"/>
      <c r="Q218" s="328"/>
    </row>
    <row r="219" spans="1:17" ht="30" x14ac:dyDescent="0.25">
      <c r="A219" s="237">
        <v>8</v>
      </c>
      <c r="B219" s="323"/>
      <c r="C219" s="237">
        <v>34</v>
      </c>
      <c r="D219" s="323"/>
      <c r="E219" s="52" t="s">
        <v>87</v>
      </c>
      <c r="F219" s="42" t="s">
        <v>315</v>
      </c>
      <c r="G219" s="97" t="str">
        <f>'Integración Apreciación '!O550</f>
        <v>NA</v>
      </c>
      <c r="H219" s="105">
        <f>'Integración Documental'!J568</f>
        <v>2.5</v>
      </c>
      <c r="I219" s="45" t="str">
        <f>Estadistica!K231</f>
        <v>NA</v>
      </c>
      <c r="J219" s="105">
        <f t="shared" si="6"/>
        <v>2.5</v>
      </c>
      <c r="K219" s="17" t="str">
        <f t="shared" si="7"/>
        <v>D</v>
      </c>
      <c r="L219" s="397"/>
      <c r="M219" s="397"/>
      <c r="N219" s="328"/>
      <c r="O219" s="328"/>
      <c r="P219" s="397"/>
      <c r="Q219" s="328"/>
    </row>
    <row r="220" spans="1:17" ht="45" x14ac:dyDescent="0.25">
      <c r="A220" s="237">
        <v>8</v>
      </c>
      <c r="B220" s="323"/>
      <c r="C220" s="237">
        <v>34</v>
      </c>
      <c r="D220" s="323"/>
      <c r="E220" s="52" t="s">
        <v>88</v>
      </c>
      <c r="F220" s="42" t="s">
        <v>316</v>
      </c>
      <c r="G220" s="213">
        <f>'Integración Apreciación '!O551</f>
        <v>3.7900304118857799</v>
      </c>
      <c r="H220" s="105" t="str">
        <f>'Integración Documental'!J570</f>
        <v>NA</v>
      </c>
      <c r="I220" s="45" t="str">
        <f>Estadistica!K232</f>
        <v>NA</v>
      </c>
      <c r="J220" s="213">
        <f t="shared" si="6"/>
        <v>3.7900304118857799</v>
      </c>
      <c r="K220" s="17" t="str">
        <f t="shared" si="7"/>
        <v>C</v>
      </c>
      <c r="L220" s="397"/>
      <c r="M220" s="397"/>
      <c r="N220" s="328"/>
      <c r="O220" s="328"/>
      <c r="P220" s="397"/>
      <c r="Q220" s="328"/>
    </row>
    <row r="221" spans="1:17" ht="30" x14ac:dyDescent="0.25">
      <c r="A221" s="237">
        <v>8</v>
      </c>
      <c r="B221" s="323"/>
      <c r="C221" s="237">
        <v>34</v>
      </c>
      <c r="D221" s="323"/>
      <c r="E221" s="52" t="s">
        <v>102</v>
      </c>
      <c r="F221" s="42" t="s">
        <v>317</v>
      </c>
      <c r="G221" s="213">
        <f>'Integración Apreciación '!O558</f>
        <v>3.7629445835424669</v>
      </c>
      <c r="H221" s="105">
        <f>'Integración Documental'!J571</f>
        <v>5</v>
      </c>
      <c r="I221" s="45" t="str">
        <f>Estadistica!K233</f>
        <v>NA</v>
      </c>
      <c r="J221" s="213">
        <f t="shared" si="6"/>
        <v>4.3814722917712334</v>
      </c>
      <c r="K221" s="17" t="str">
        <f t="shared" si="7"/>
        <v>B</v>
      </c>
      <c r="L221" s="397"/>
      <c r="M221" s="397"/>
      <c r="N221" s="328"/>
      <c r="O221" s="328"/>
      <c r="P221" s="397"/>
      <c r="Q221" s="328"/>
    </row>
    <row r="222" spans="1:17" ht="30" x14ac:dyDescent="0.25">
      <c r="A222" s="237">
        <v>8</v>
      </c>
      <c r="B222" s="323"/>
      <c r="C222" s="237">
        <v>34</v>
      </c>
      <c r="D222" s="323"/>
      <c r="E222" s="52" t="s">
        <v>104</v>
      </c>
      <c r="F222" s="42" t="s">
        <v>318</v>
      </c>
      <c r="G222" s="97" t="str">
        <f>'Integración Apreciación '!O563</f>
        <v>NA</v>
      </c>
      <c r="H222" s="105">
        <f>'Integración Documental'!J572</f>
        <v>5</v>
      </c>
      <c r="I222" s="45" t="str">
        <f>Estadistica!K234</f>
        <v>NA</v>
      </c>
      <c r="J222" s="105">
        <f t="shared" si="6"/>
        <v>5</v>
      </c>
      <c r="K222" s="17" t="str">
        <f t="shared" si="7"/>
        <v>A</v>
      </c>
      <c r="L222" s="397"/>
      <c r="M222" s="397"/>
      <c r="N222" s="328"/>
      <c r="O222" s="328"/>
      <c r="P222" s="397"/>
      <c r="Q222" s="328"/>
    </row>
    <row r="223" spans="1:17" ht="30" x14ac:dyDescent="0.25">
      <c r="A223" s="237">
        <v>8</v>
      </c>
      <c r="B223" s="323"/>
      <c r="C223" s="237">
        <v>34</v>
      </c>
      <c r="D223" s="323"/>
      <c r="E223" s="52" t="s">
        <v>106</v>
      </c>
      <c r="F223" s="42" t="s">
        <v>319</v>
      </c>
      <c r="G223" s="97" t="str">
        <f>'Integración Apreciación '!O564</f>
        <v>NA</v>
      </c>
      <c r="H223" s="105">
        <f>'Integración Documental'!J573</f>
        <v>5</v>
      </c>
      <c r="I223" s="45" t="str">
        <f>Estadistica!K235</f>
        <v>NA</v>
      </c>
      <c r="J223" s="105">
        <f t="shared" si="6"/>
        <v>5</v>
      </c>
      <c r="K223" s="17" t="str">
        <f t="shared" si="7"/>
        <v>A</v>
      </c>
      <c r="L223" s="398"/>
      <c r="M223" s="397"/>
      <c r="N223" s="329"/>
      <c r="O223" s="328"/>
      <c r="P223" s="397"/>
      <c r="Q223" s="328"/>
    </row>
    <row r="224" spans="1:17" ht="30" x14ac:dyDescent="0.25">
      <c r="A224" s="237">
        <v>8</v>
      </c>
      <c r="B224" s="323"/>
      <c r="C224" s="237">
        <v>35</v>
      </c>
      <c r="D224" s="323" t="s">
        <v>320</v>
      </c>
      <c r="E224" s="52" t="s">
        <v>55</v>
      </c>
      <c r="F224" s="42" t="s">
        <v>321</v>
      </c>
      <c r="G224" s="213">
        <f>'Integración Apreciación '!O565</f>
        <v>3.9864949292448246</v>
      </c>
      <c r="H224" s="105" t="str">
        <f>'Integración Documental'!J575</f>
        <v>NA</v>
      </c>
      <c r="I224" s="45" t="str">
        <f>Estadistica!K236</f>
        <v>NA</v>
      </c>
      <c r="J224" s="213">
        <f t="shared" si="6"/>
        <v>3.9864949292448246</v>
      </c>
      <c r="K224" s="17" t="str">
        <f t="shared" si="7"/>
        <v>B</v>
      </c>
      <c r="L224" s="396">
        <f>AVERAGE(J224:J227)</f>
        <v>4.5511299420483518</v>
      </c>
      <c r="M224" s="397"/>
      <c r="N224" s="327" t="str">
        <f>IF(((L224&gt;=$Z$4)*AND(L224&lt;=$AA$4)),$Y$4,IF(((L224&gt;$AA$4)*AND(L224&lt;=$AA$5)),$Y$5,IF(((L224&gt;$AA$5)*AND(L224&lt;=$AA$6)),$Y$6,IF(((L224&gt;$AA$6)*AND(L224&lt;=$AA$7)),$Y$7,IF(((L224&gt;$AA$7)*AND(L224&lt;=$AA$8)),$Y$8,IF(EXACT(L224,$Y$9),$Z$9))))))</f>
        <v>A</v>
      </c>
      <c r="O224" s="328"/>
      <c r="P224" s="397"/>
      <c r="Q224" s="328"/>
    </row>
    <row r="225" spans="1:17" ht="30" x14ac:dyDescent="0.25">
      <c r="A225" s="237">
        <v>8</v>
      </c>
      <c r="B225" s="323"/>
      <c r="C225" s="237">
        <v>35</v>
      </c>
      <c r="D225" s="323"/>
      <c r="E225" s="52" t="s">
        <v>56</v>
      </c>
      <c r="F225" s="42" t="s">
        <v>322</v>
      </c>
      <c r="G225" s="97" t="str">
        <f>'Integración Apreciación '!O571</f>
        <v>NA</v>
      </c>
      <c r="H225" s="105">
        <f>'Integración Documental'!J576</f>
        <v>5</v>
      </c>
      <c r="I225" s="45" t="str">
        <f>Estadistica!K237</f>
        <v>NA</v>
      </c>
      <c r="J225" s="105">
        <f t="shared" si="6"/>
        <v>5</v>
      </c>
      <c r="K225" s="17" t="str">
        <f t="shared" si="7"/>
        <v>A</v>
      </c>
      <c r="L225" s="397"/>
      <c r="M225" s="397"/>
      <c r="N225" s="328"/>
      <c r="O225" s="328"/>
      <c r="P225" s="397"/>
      <c r="Q225" s="328"/>
    </row>
    <row r="226" spans="1:17" ht="30" x14ac:dyDescent="0.25">
      <c r="A226" s="237">
        <v>8</v>
      </c>
      <c r="B226" s="323"/>
      <c r="C226" s="237">
        <v>35</v>
      </c>
      <c r="D226" s="323"/>
      <c r="E226" s="52" t="s">
        <v>80</v>
      </c>
      <c r="F226" s="42" t="s">
        <v>323</v>
      </c>
      <c r="G226" s="97" t="str">
        <f>'Integración Apreciación '!O572</f>
        <v>NA</v>
      </c>
      <c r="H226" s="105">
        <f>'Integración Documental'!J578</f>
        <v>5</v>
      </c>
      <c r="I226" s="45" t="str">
        <f>Estadistica!K238</f>
        <v>NA</v>
      </c>
      <c r="J226" s="105">
        <f t="shared" si="6"/>
        <v>5</v>
      </c>
      <c r="K226" s="17" t="str">
        <f t="shared" si="7"/>
        <v>A</v>
      </c>
      <c r="L226" s="397"/>
      <c r="M226" s="397"/>
      <c r="N226" s="328"/>
      <c r="O226" s="328"/>
      <c r="P226" s="397"/>
      <c r="Q226" s="328"/>
    </row>
    <row r="227" spans="1:17" ht="30" x14ac:dyDescent="0.25">
      <c r="A227" s="237">
        <v>8</v>
      </c>
      <c r="B227" s="323"/>
      <c r="C227" s="237">
        <v>35</v>
      </c>
      <c r="D227" s="323"/>
      <c r="E227" s="52" t="s">
        <v>81</v>
      </c>
      <c r="F227" s="42" t="s">
        <v>324</v>
      </c>
      <c r="G227" s="213">
        <f>'Integración Apreciación '!O573</f>
        <v>3.4360496778971665</v>
      </c>
      <c r="H227" s="105">
        <f>'Integración Documental'!J580</f>
        <v>5</v>
      </c>
      <c r="I227" s="45" t="str">
        <f>Estadistica!K239</f>
        <v>NA</v>
      </c>
      <c r="J227" s="213">
        <f t="shared" si="6"/>
        <v>4.2180248389485833</v>
      </c>
      <c r="K227" s="17" t="str">
        <f t="shared" si="7"/>
        <v>B</v>
      </c>
      <c r="L227" s="398"/>
      <c r="M227" s="398"/>
      <c r="N227" s="329"/>
      <c r="O227" s="329"/>
      <c r="P227" s="397"/>
      <c r="Q227" s="328"/>
    </row>
    <row r="228" spans="1:17" ht="30" customHeight="1" x14ac:dyDescent="0.25">
      <c r="A228" s="237">
        <v>9</v>
      </c>
      <c r="B228" s="323" t="s">
        <v>325</v>
      </c>
      <c r="C228" s="237">
        <v>36</v>
      </c>
      <c r="D228" s="323" t="s">
        <v>326</v>
      </c>
      <c r="E228" s="52" t="s">
        <v>55</v>
      </c>
      <c r="F228" s="42" t="s">
        <v>327</v>
      </c>
      <c r="G228" s="97" t="str">
        <f>'Integración Apreciación '!O583</f>
        <v>NA</v>
      </c>
      <c r="H228" s="105">
        <f>'Integración Documental'!J581</f>
        <v>0</v>
      </c>
      <c r="I228" s="45">
        <f>Estadistica!K240</f>
        <v>5</v>
      </c>
      <c r="J228" s="105">
        <f t="shared" si="6"/>
        <v>2.5</v>
      </c>
      <c r="K228" s="17" t="str">
        <f t="shared" si="7"/>
        <v>D</v>
      </c>
      <c r="L228" s="396">
        <f>AVERAGE(J228:J235)</f>
        <v>4.3214491689697532</v>
      </c>
      <c r="M228" s="396">
        <f>(L228*Ponderación!D37)+(L236*Ponderación!D38)</f>
        <v>4.0069408249663674</v>
      </c>
      <c r="N228" s="327" t="str">
        <f>IF(((L228&gt;=$Z$4)*AND(L228&lt;=$AA$4)),$Y$4,IF(((L228&gt;$AA$4)*AND(L228&lt;=$AA$5)),$Y$5,IF(((L228&gt;$AA$5)*AND(L228&lt;=$AA$6)),$Y$6,IF(((L228&gt;$AA$6)*AND(L228&lt;=$AA$7)),$Y$7,IF(((L228&gt;$AA$7)*AND(L228&lt;=$AA$8)),$Y$8,IF(EXACT(L228,$Y$9),$Z$9))))))</f>
        <v>B</v>
      </c>
      <c r="O228" s="327" t="str">
        <f>IF(((M228&gt;=$Z$4)*AND(M228&lt;=$AA$4)),$Y$4,IF(((M228&gt;$AA$4)*AND(M228&lt;=$AA$5)),$Y$5,IF(((M228&gt;$AA$5)*AND(M228&lt;=$AA$6)),$Y$6,IF(((M228&gt;$AA$6)*AND(M228&lt;=$AA$7)),$Y$7,IF(((M228&gt;$AA$7)*AND(M228&lt;=$AA$8)),$Y$8,IF(EXACT(M228,$Y$9),$Z$9))))))</f>
        <v>B</v>
      </c>
      <c r="P228" s="397"/>
      <c r="Q228" s="328"/>
    </row>
    <row r="229" spans="1:17" ht="30" x14ac:dyDescent="0.25">
      <c r="A229" s="237">
        <v>9</v>
      </c>
      <c r="B229" s="323"/>
      <c r="C229" s="237">
        <v>36</v>
      </c>
      <c r="D229" s="323"/>
      <c r="E229" s="52" t="s">
        <v>56</v>
      </c>
      <c r="F229" s="42" t="s">
        <v>328</v>
      </c>
      <c r="G229" s="213">
        <f>'Integración Apreciación '!O584</f>
        <v>3.9326923076923075</v>
      </c>
      <c r="H229" s="105">
        <f>'Integración Documental'!J582</f>
        <v>5</v>
      </c>
      <c r="I229" s="45" t="str">
        <f>Estadistica!K241</f>
        <v>NA</v>
      </c>
      <c r="J229" s="213">
        <f t="shared" si="6"/>
        <v>4.4663461538461533</v>
      </c>
      <c r="K229" s="17" t="str">
        <f t="shared" si="7"/>
        <v>A</v>
      </c>
      <c r="L229" s="397"/>
      <c r="M229" s="397"/>
      <c r="N229" s="328"/>
      <c r="O229" s="328"/>
      <c r="P229" s="397"/>
      <c r="Q229" s="328"/>
    </row>
    <row r="230" spans="1:17" ht="30" x14ac:dyDescent="0.25">
      <c r="A230" s="237">
        <v>9</v>
      </c>
      <c r="B230" s="323"/>
      <c r="C230" s="237">
        <v>36</v>
      </c>
      <c r="D230" s="323"/>
      <c r="E230" s="52" t="s">
        <v>80</v>
      </c>
      <c r="F230" s="42" t="s">
        <v>329</v>
      </c>
      <c r="G230" s="213">
        <f>'Integración Apreciación '!O585</f>
        <v>3.9874724909156045</v>
      </c>
      <c r="H230" s="105">
        <f>'Integración Documental'!J584</f>
        <v>5</v>
      </c>
      <c r="I230" s="45" t="str">
        <f>Estadistica!K242</f>
        <v>NA</v>
      </c>
      <c r="J230" s="213">
        <f t="shared" si="6"/>
        <v>4.4937362454578018</v>
      </c>
      <c r="K230" s="17" t="str">
        <f t="shared" si="7"/>
        <v>A</v>
      </c>
      <c r="L230" s="397"/>
      <c r="M230" s="397"/>
      <c r="N230" s="328"/>
      <c r="O230" s="328"/>
      <c r="P230" s="397"/>
      <c r="Q230" s="328"/>
    </row>
    <row r="231" spans="1:17" ht="30" x14ac:dyDescent="0.25">
      <c r="A231" s="237">
        <v>9</v>
      </c>
      <c r="B231" s="323"/>
      <c r="C231" s="237">
        <v>36</v>
      </c>
      <c r="D231" s="323"/>
      <c r="E231" s="52" t="s">
        <v>81</v>
      </c>
      <c r="F231" s="42" t="s">
        <v>330</v>
      </c>
      <c r="G231" s="213">
        <f>'Integración Apreciación '!O589</f>
        <v>3.723021904908133</v>
      </c>
      <c r="H231" s="105">
        <f>'Integración Documental'!J587</f>
        <v>2.5</v>
      </c>
      <c r="I231" s="45" t="str">
        <f>Estadistica!K243</f>
        <v>NA</v>
      </c>
      <c r="J231" s="213">
        <f t="shared" si="6"/>
        <v>3.1115109524540667</v>
      </c>
      <c r="K231" s="17" t="str">
        <f t="shared" si="7"/>
        <v>D</v>
      </c>
      <c r="L231" s="397"/>
      <c r="M231" s="397"/>
      <c r="N231" s="328"/>
      <c r="O231" s="328"/>
      <c r="P231" s="397"/>
      <c r="Q231" s="328"/>
    </row>
    <row r="232" spans="1:17" ht="30" x14ac:dyDescent="0.25">
      <c r="A232" s="237">
        <v>9</v>
      </c>
      <c r="B232" s="323"/>
      <c r="C232" s="237">
        <v>36</v>
      </c>
      <c r="D232" s="323"/>
      <c r="E232" s="52" t="s">
        <v>87</v>
      </c>
      <c r="F232" s="42" t="s">
        <v>331</v>
      </c>
      <c r="G232" s="97" t="str">
        <f>'Integración Apreciación '!O592</f>
        <v>NA</v>
      </c>
      <c r="H232" s="105">
        <f>'Integración Documental'!J590</f>
        <v>5</v>
      </c>
      <c r="I232" s="45" t="str">
        <f>Estadistica!K244</f>
        <v>NA</v>
      </c>
      <c r="J232" s="105">
        <f t="shared" si="6"/>
        <v>5</v>
      </c>
      <c r="K232" s="17" t="str">
        <f t="shared" si="7"/>
        <v>A</v>
      </c>
      <c r="L232" s="397"/>
      <c r="M232" s="397"/>
      <c r="N232" s="328"/>
      <c r="O232" s="328"/>
      <c r="P232" s="397"/>
      <c r="Q232" s="328"/>
    </row>
    <row r="233" spans="1:17" x14ac:dyDescent="0.25">
      <c r="A233" s="237">
        <v>9</v>
      </c>
      <c r="B233" s="323"/>
      <c r="C233" s="237">
        <v>36</v>
      </c>
      <c r="D233" s="323"/>
      <c r="E233" s="52" t="s">
        <v>88</v>
      </c>
      <c r="F233" s="57" t="s">
        <v>332</v>
      </c>
      <c r="G233" s="97" t="str">
        <f>'Integración Apreciación '!O593</f>
        <v>NA</v>
      </c>
      <c r="H233" s="105">
        <f>'Integración Documental'!J593</f>
        <v>5</v>
      </c>
      <c r="I233" s="45" t="str">
        <f>Estadistica!K245</f>
        <v>NA</v>
      </c>
      <c r="J233" s="105">
        <f t="shared" si="6"/>
        <v>5</v>
      </c>
      <c r="K233" s="17" t="str">
        <f t="shared" si="7"/>
        <v>A</v>
      </c>
      <c r="L233" s="397"/>
      <c r="M233" s="397"/>
      <c r="N233" s="328"/>
      <c r="O233" s="328"/>
      <c r="P233" s="397"/>
      <c r="Q233" s="328"/>
    </row>
    <row r="234" spans="1:17" ht="30" x14ac:dyDescent="0.25">
      <c r="A234" s="237">
        <v>9</v>
      </c>
      <c r="B234" s="323"/>
      <c r="C234" s="237">
        <v>36</v>
      </c>
      <c r="D234" s="323"/>
      <c r="E234" s="52" t="s">
        <v>102</v>
      </c>
      <c r="F234" s="42" t="s">
        <v>333</v>
      </c>
      <c r="G234" s="97" t="str">
        <f>'Integración Apreciación '!O594</f>
        <v>NA</v>
      </c>
      <c r="H234" s="105">
        <f>'Integración Documental'!J597</f>
        <v>5</v>
      </c>
      <c r="I234" s="45" t="str">
        <f>Estadistica!K246</f>
        <v>NA</v>
      </c>
      <c r="J234" s="105">
        <f t="shared" si="6"/>
        <v>5</v>
      </c>
      <c r="K234" s="17" t="str">
        <f t="shared" si="7"/>
        <v>A</v>
      </c>
      <c r="L234" s="397"/>
      <c r="M234" s="397"/>
      <c r="N234" s="328"/>
      <c r="O234" s="328"/>
      <c r="P234" s="397"/>
      <c r="Q234" s="328"/>
    </row>
    <row r="235" spans="1:17" x14ac:dyDescent="0.25">
      <c r="A235" s="237">
        <v>9</v>
      </c>
      <c r="B235" s="323"/>
      <c r="C235" s="237">
        <v>36</v>
      </c>
      <c r="D235" s="323"/>
      <c r="E235" s="52" t="s">
        <v>104</v>
      </c>
      <c r="F235" s="57" t="s">
        <v>334</v>
      </c>
      <c r="G235" s="97" t="str">
        <f>'Integración Apreciación '!O595</f>
        <v>NA</v>
      </c>
      <c r="H235" s="105">
        <f>'Integración Documental'!J600</f>
        <v>5</v>
      </c>
      <c r="I235" s="45" t="str">
        <f>Estadistica!K247</f>
        <v>NA</v>
      </c>
      <c r="J235" s="105">
        <f t="shared" si="6"/>
        <v>5</v>
      </c>
      <c r="K235" s="17" t="str">
        <f t="shared" si="7"/>
        <v>A</v>
      </c>
      <c r="L235" s="398"/>
      <c r="M235" s="397"/>
      <c r="N235" s="329"/>
      <c r="O235" s="328"/>
      <c r="P235" s="397"/>
      <c r="Q235" s="328"/>
    </row>
    <row r="236" spans="1:17" x14ac:dyDescent="0.25">
      <c r="A236" s="237">
        <v>9</v>
      </c>
      <c r="B236" s="323"/>
      <c r="C236" s="237">
        <v>37</v>
      </c>
      <c r="D236" s="323" t="s">
        <v>335</v>
      </c>
      <c r="E236" s="52" t="s">
        <v>55</v>
      </c>
      <c r="F236" s="57" t="s">
        <v>336</v>
      </c>
      <c r="G236" s="97" t="str">
        <f>'Integración Apreciación '!O596</f>
        <v>NA</v>
      </c>
      <c r="H236" s="105">
        <f>'Integración Documental'!J601</f>
        <v>5</v>
      </c>
      <c r="I236" s="45">
        <f>Estadistica!K248</f>
        <v>5</v>
      </c>
      <c r="J236" s="105">
        <f t="shared" si="6"/>
        <v>5</v>
      </c>
      <c r="K236" s="17" t="str">
        <f t="shared" si="7"/>
        <v>A</v>
      </c>
      <c r="L236" s="396">
        <f>AVERAGE(J236:J239)</f>
        <v>3.85203373015873</v>
      </c>
      <c r="M236" s="397"/>
      <c r="N236" s="327" t="str">
        <f>IF(((L236&gt;=$Z$4)*AND(L236&lt;=$AA$4)),$Y$4,IF(((L236&gt;$AA$4)*AND(L236&lt;=$AA$5)),$Y$5,IF(((L236&gt;$AA$5)*AND(L236&lt;=$AA$6)),$Y$6,IF(((L236&gt;$AA$6)*AND(L236&lt;=$AA$7)),$Y$7,IF(((L236&gt;$AA$7)*AND(L236&lt;=$AA$8)),$Y$8,IF(EXACT(L236,$Y$9),$Z$9))))))</f>
        <v>C</v>
      </c>
      <c r="O236" s="328"/>
      <c r="P236" s="397"/>
      <c r="Q236" s="328"/>
    </row>
    <row r="237" spans="1:17" ht="45" x14ac:dyDescent="0.25">
      <c r="A237" s="237">
        <v>9</v>
      </c>
      <c r="B237" s="323"/>
      <c r="C237" s="237">
        <v>37</v>
      </c>
      <c r="D237" s="323"/>
      <c r="E237" s="52" t="s">
        <v>56</v>
      </c>
      <c r="F237" s="42" t="s">
        <v>337</v>
      </c>
      <c r="G237" s="97" t="str">
        <f>'Integración Apreciación '!O597</f>
        <v>NA</v>
      </c>
      <c r="H237" s="105">
        <f>'Integración Documental'!J602</f>
        <v>0</v>
      </c>
      <c r="I237" s="213">
        <f>Estadistica!K249</f>
        <v>1.6666666666666667</v>
      </c>
      <c r="J237" s="213">
        <f t="shared" si="6"/>
        <v>0.83333333333333337</v>
      </c>
      <c r="K237" s="17" t="str">
        <f t="shared" si="7"/>
        <v>E</v>
      </c>
      <c r="L237" s="397"/>
      <c r="M237" s="397"/>
      <c r="N237" s="328"/>
      <c r="O237" s="328"/>
      <c r="P237" s="397"/>
      <c r="Q237" s="328"/>
    </row>
    <row r="238" spans="1:17" ht="45" x14ac:dyDescent="0.25">
      <c r="A238" s="237">
        <v>9</v>
      </c>
      <c r="B238" s="323"/>
      <c r="C238" s="237">
        <v>37</v>
      </c>
      <c r="D238" s="323"/>
      <c r="E238" s="52" t="s">
        <v>80</v>
      </c>
      <c r="F238" s="42" t="s">
        <v>338</v>
      </c>
      <c r="G238" s="97" t="str">
        <f>'Integración Apreciación '!O598</f>
        <v>NA</v>
      </c>
      <c r="H238" s="105">
        <f>'Integración Documental'!J603</f>
        <v>5</v>
      </c>
      <c r="I238" s="45">
        <f>Estadistica!K252</f>
        <v>5</v>
      </c>
      <c r="J238" s="105">
        <f t="shared" si="6"/>
        <v>5</v>
      </c>
      <c r="K238" s="17" t="str">
        <f t="shared" si="7"/>
        <v>A</v>
      </c>
      <c r="L238" s="397"/>
      <c r="M238" s="397"/>
      <c r="N238" s="328"/>
      <c r="O238" s="328"/>
      <c r="P238" s="397"/>
      <c r="Q238" s="328"/>
    </row>
    <row r="239" spans="1:17" ht="30" x14ac:dyDescent="0.25">
      <c r="A239" s="237">
        <v>9</v>
      </c>
      <c r="B239" s="323"/>
      <c r="C239" s="237">
        <v>37</v>
      </c>
      <c r="D239" s="323"/>
      <c r="E239" s="52" t="s">
        <v>81</v>
      </c>
      <c r="F239" s="42" t="s">
        <v>339</v>
      </c>
      <c r="G239" s="213">
        <f>'Integración Apreciación '!O599</f>
        <v>4.1496031746031745</v>
      </c>
      <c r="H239" s="105">
        <f>'Integración Documental'!J604</f>
        <v>5</v>
      </c>
      <c r="I239" s="45" t="str">
        <f>Estadistica!K253</f>
        <v>NA</v>
      </c>
      <c r="J239" s="213">
        <f t="shared" si="6"/>
        <v>4.5748015873015877</v>
      </c>
      <c r="K239" s="17" t="str">
        <f t="shared" si="7"/>
        <v>A</v>
      </c>
      <c r="L239" s="398"/>
      <c r="M239" s="398"/>
      <c r="N239" s="329"/>
      <c r="O239" s="329"/>
      <c r="P239" s="397"/>
      <c r="Q239" s="328"/>
    </row>
    <row r="240" spans="1:17" ht="45" customHeight="1" x14ac:dyDescent="0.25">
      <c r="A240" s="237">
        <v>10</v>
      </c>
      <c r="B240" s="323" t="s">
        <v>340</v>
      </c>
      <c r="C240" s="237">
        <v>38</v>
      </c>
      <c r="D240" s="323" t="s">
        <v>341</v>
      </c>
      <c r="E240" s="52" t="s">
        <v>55</v>
      </c>
      <c r="F240" s="50" t="s">
        <v>398</v>
      </c>
      <c r="G240" s="97" t="str">
        <f>'Integración Apreciación '!O613</f>
        <v>NA</v>
      </c>
      <c r="H240" s="105">
        <f>'Integración Documental'!J606</f>
        <v>5</v>
      </c>
      <c r="I240" s="45">
        <f>Estadistica!K254</f>
        <v>5</v>
      </c>
      <c r="J240" s="105">
        <f t="shared" si="6"/>
        <v>5</v>
      </c>
      <c r="K240" s="17" t="str">
        <f t="shared" si="7"/>
        <v>A</v>
      </c>
      <c r="L240" s="396">
        <f>AVERAGE(J240:J244)</f>
        <v>4.8695622199395876</v>
      </c>
      <c r="M240" s="396">
        <f>(L240*Ponderación!D39)+(L245*Ponderación!D40)+(L253*Ponderación!D41)</f>
        <v>4.7347911323746263</v>
      </c>
      <c r="N240" s="327" t="str">
        <f>IF(((L240&gt;=$Z$4)*AND(L240&lt;=$AA$4)),$Y$4,IF(((L240&gt;$AA$4)*AND(L240&lt;=$AA$5)),$Y$5,IF(((L240&gt;$AA$5)*AND(L240&lt;=$AA$6)),$Y$6,IF(((L240&gt;$AA$6)*AND(L240&lt;=$AA$7)),$Y$7,IF(((L240&gt;$AA$7)*AND(L240&lt;=$AA$8)),$Y$8,IF(EXACT(L240,$Y$9),$Z$9))))))</f>
        <v>A</v>
      </c>
      <c r="O240" s="327" t="str">
        <f>IF(((M240&gt;=$Z$4)*AND(M240&lt;=$AA$4)),$Y$4,IF(((M240&gt;$AA$4)*AND(M240&lt;=$AA$5)),$Y$5,IF(((M240&gt;$AA$5)*AND(M240&lt;=$AA$6)),$Y$6,IF(((M240&gt;$AA$6)*AND(M240&lt;=$AA$7)),$Y$7,IF(((M240&gt;$AA$7)*AND(M240&lt;=$AA$8)),$Y$8,IF(EXACT(M240,$Y$9),$Z$9))))))</f>
        <v>A</v>
      </c>
      <c r="P240" s="397"/>
      <c r="Q240" s="328"/>
    </row>
    <row r="241" spans="1:17" ht="60" x14ac:dyDescent="0.25">
      <c r="A241" s="237">
        <v>10</v>
      </c>
      <c r="B241" s="323"/>
      <c r="C241" s="237">
        <v>38</v>
      </c>
      <c r="D241" s="323"/>
      <c r="E241" s="52" t="s">
        <v>56</v>
      </c>
      <c r="F241" s="42" t="s">
        <v>342</v>
      </c>
      <c r="G241" s="97" t="str">
        <f>'Integración Apreciación '!O614</f>
        <v>NA</v>
      </c>
      <c r="H241" s="105" t="str">
        <f>'Integración Documental'!J608</f>
        <v>NA</v>
      </c>
      <c r="I241" s="45">
        <f>Estadistica!K255</f>
        <v>5</v>
      </c>
      <c r="J241" s="105">
        <f t="shared" si="6"/>
        <v>5</v>
      </c>
      <c r="K241" s="17" t="str">
        <f t="shared" si="7"/>
        <v>A</v>
      </c>
      <c r="L241" s="397"/>
      <c r="M241" s="397"/>
      <c r="N241" s="328"/>
      <c r="O241" s="328"/>
      <c r="P241" s="397"/>
      <c r="Q241" s="328"/>
    </row>
    <row r="242" spans="1:17" ht="45" x14ac:dyDescent="0.25">
      <c r="A242" s="237">
        <v>10</v>
      </c>
      <c r="B242" s="323"/>
      <c r="C242" s="237">
        <v>38</v>
      </c>
      <c r="D242" s="323"/>
      <c r="E242" s="52" t="s">
        <v>80</v>
      </c>
      <c r="F242" s="42" t="s">
        <v>343</v>
      </c>
      <c r="G242" s="97" t="str">
        <f>'Integración Apreciación '!O615</f>
        <v>NA</v>
      </c>
      <c r="H242" s="105">
        <f>'Integración Documental'!J609</f>
        <v>5</v>
      </c>
      <c r="I242" s="45" t="str">
        <f>Estadistica!K256</f>
        <v>NA</v>
      </c>
      <c r="J242" s="105">
        <f t="shared" si="6"/>
        <v>5</v>
      </c>
      <c r="K242" s="17" t="str">
        <f t="shared" si="7"/>
        <v>A</v>
      </c>
      <c r="L242" s="397"/>
      <c r="M242" s="397"/>
      <c r="N242" s="328"/>
      <c r="O242" s="328"/>
      <c r="P242" s="397"/>
      <c r="Q242" s="328"/>
    </row>
    <row r="243" spans="1:17" ht="43.5" customHeight="1" x14ac:dyDescent="0.25">
      <c r="A243" s="237">
        <v>10</v>
      </c>
      <c r="B243" s="323"/>
      <c r="C243" s="237">
        <v>38</v>
      </c>
      <c r="D243" s="323"/>
      <c r="E243" s="52" t="s">
        <v>81</v>
      </c>
      <c r="F243" s="42" t="s">
        <v>344</v>
      </c>
      <c r="G243" s="213">
        <f>'Integración Apreciación '!O616</f>
        <v>3.69562219939588</v>
      </c>
      <c r="H243" s="105">
        <f>'Integración Documental'!J611</f>
        <v>5</v>
      </c>
      <c r="I243" s="45" t="str">
        <f>Estadistica!K257</f>
        <v>NA</v>
      </c>
      <c r="J243" s="213">
        <f t="shared" si="6"/>
        <v>4.3478110996979398</v>
      </c>
      <c r="K243" s="17" t="str">
        <f t="shared" si="7"/>
        <v>B</v>
      </c>
      <c r="L243" s="397"/>
      <c r="M243" s="397"/>
      <c r="N243" s="328"/>
      <c r="O243" s="328"/>
      <c r="P243" s="397"/>
      <c r="Q243" s="328"/>
    </row>
    <row r="244" spans="1:17" ht="31.5" customHeight="1" x14ac:dyDescent="0.25">
      <c r="A244" s="237">
        <v>10</v>
      </c>
      <c r="B244" s="323"/>
      <c r="C244" s="237">
        <v>38</v>
      </c>
      <c r="D244" s="323"/>
      <c r="E244" s="52" t="s">
        <v>87</v>
      </c>
      <c r="F244" s="42" t="s">
        <v>345</v>
      </c>
      <c r="G244" s="97" t="str">
        <f>'Integración Apreciación '!O625</f>
        <v>NA</v>
      </c>
      <c r="H244" s="105">
        <f>'Integración Documental'!J613</f>
        <v>5</v>
      </c>
      <c r="I244" s="45">
        <f>Estadistica!K258</f>
        <v>5</v>
      </c>
      <c r="J244" s="105">
        <f t="shared" si="6"/>
        <v>5</v>
      </c>
      <c r="K244" s="17" t="str">
        <f t="shared" si="7"/>
        <v>A</v>
      </c>
      <c r="L244" s="398"/>
      <c r="M244" s="397"/>
      <c r="N244" s="329"/>
      <c r="O244" s="328"/>
      <c r="P244" s="397"/>
      <c r="Q244" s="328"/>
    </row>
    <row r="245" spans="1:17" ht="18.75" customHeight="1" x14ac:dyDescent="0.25">
      <c r="A245" s="237">
        <v>10</v>
      </c>
      <c r="B245" s="323"/>
      <c r="C245" s="237">
        <v>39</v>
      </c>
      <c r="D245" s="323" t="s">
        <v>346</v>
      </c>
      <c r="E245" s="52" t="s">
        <v>55</v>
      </c>
      <c r="F245" s="57" t="s">
        <v>347</v>
      </c>
      <c r="G245" s="97" t="str">
        <f>'Integración Apreciación '!O626</f>
        <v>NA</v>
      </c>
      <c r="H245" s="213">
        <f>'Integración Documental'!J614</f>
        <v>5</v>
      </c>
      <c r="I245" s="45" t="str">
        <f>Estadistica!K259</f>
        <v>NA</v>
      </c>
      <c r="J245" s="213">
        <f t="shared" si="6"/>
        <v>5</v>
      </c>
      <c r="K245" s="17" t="str">
        <f t="shared" si="7"/>
        <v>A</v>
      </c>
      <c r="L245" s="396">
        <f>AVERAGE(J245:J252)</f>
        <v>4.5024999999999995</v>
      </c>
      <c r="M245" s="397"/>
      <c r="N245" s="327" t="str">
        <f>IF(((L245&gt;=$Z$4)*AND(L245&lt;=$AA$4)),$Y$4,IF(((L245&gt;$AA$4)*AND(L245&lt;=$AA$5)),$Y$5,IF(((L245&gt;$AA$5)*AND(L245&lt;=$AA$6)),$Y$6,IF(((L245&gt;$AA$6)*AND(L245&lt;=$AA$7)),$Y$7,IF(((L245&gt;$AA$7)*AND(L245&lt;=$AA$8)),$Y$8,IF(EXACT(L245,$Y$9),$Z$9))))))</f>
        <v>A</v>
      </c>
      <c r="O245" s="328"/>
      <c r="P245" s="397"/>
      <c r="Q245" s="328"/>
    </row>
    <row r="246" spans="1:17" ht="30" x14ac:dyDescent="0.25">
      <c r="A246" s="237">
        <v>10</v>
      </c>
      <c r="B246" s="323"/>
      <c r="C246" s="237">
        <v>39</v>
      </c>
      <c r="D246" s="323"/>
      <c r="E246" s="52" t="s">
        <v>56</v>
      </c>
      <c r="F246" s="42" t="s">
        <v>348</v>
      </c>
      <c r="G246" s="97" t="str">
        <f>'Integración Apreciación '!O627</f>
        <v>NA</v>
      </c>
      <c r="H246" s="105">
        <f>'Integración Documental'!J617</f>
        <v>5</v>
      </c>
      <c r="I246" s="45" t="str">
        <f>Estadistica!K260</f>
        <v>NA</v>
      </c>
      <c r="J246" s="105">
        <f t="shared" si="6"/>
        <v>5</v>
      </c>
      <c r="K246" s="17" t="str">
        <f t="shared" si="7"/>
        <v>A</v>
      </c>
      <c r="L246" s="397"/>
      <c r="M246" s="397"/>
      <c r="N246" s="328"/>
      <c r="O246" s="328"/>
      <c r="P246" s="397"/>
      <c r="Q246" s="328"/>
    </row>
    <row r="247" spans="1:17" ht="45" x14ac:dyDescent="0.25">
      <c r="A247" s="237">
        <v>10</v>
      </c>
      <c r="B247" s="323"/>
      <c r="C247" s="237">
        <v>39</v>
      </c>
      <c r="D247" s="323"/>
      <c r="E247" s="52" t="s">
        <v>80</v>
      </c>
      <c r="F247" s="42" t="s">
        <v>349</v>
      </c>
      <c r="G247" s="97" t="str">
        <f>'Integración Apreciación '!O628</f>
        <v>NA</v>
      </c>
      <c r="H247" s="105">
        <f>'Integración Documental'!J619</f>
        <v>5</v>
      </c>
      <c r="I247" s="45" t="str">
        <f>Estadistica!K261</f>
        <v>NA</v>
      </c>
      <c r="J247" s="105">
        <f t="shared" si="6"/>
        <v>5</v>
      </c>
      <c r="K247" s="17" t="str">
        <f t="shared" si="7"/>
        <v>A</v>
      </c>
      <c r="L247" s="397"/>
      <c r="M247" s="397"/>
      <c r="N247" s="328"/>
      <c r="O247" s="328"/>
      <c r="P247" s="397"/>
      <c r="Q247" s="328"/>
    </row>
    <row r="248" spans="1:17" x14ac:dyDescent="0.25">
      <c r="A248" s="237">
        <v>10</v>
      </c>
      <c r="B248" s="323"/>
      <c r="C248" s="237">
        <v>39</v>
      </c>
      <c r="D248" s="323"/>
      <c r="E248" s="52" t="s">
        <v>81</v>
      </c>
      <c r="F248" s="57" t="s">
        <v>350</v>
      </c>
      <c r="G248" s="97" t="str">
        <f>'Integración Apreciación '!O629</f>
        <v>NA</v>
      </c>
      <c r="H248" s="105">
        <f>'Integración Documental'!J621</f>
        <v>5</v>
      </c>
      <c r="I248" s="45" t="str">
        <f>Estadistica!K262</f>
        <v>NA</v>
      </c>
      <c r="J248" s="105">
        <f t="shared" si="6"/>
        <v>5</v>
      </c>
      <c r="K248" s="17" t="str">
        <f t="shared" si="7"/>
        <v>A</v>
      </c>
      <c r="L248" s="397"/>
      <c r="M248" s="397"/>
      <c r="N248" s="328"/>
      <c r="O248" s="328"/>
      <c r="P248" s="397"/>
      <c r="Q248" s="328"/>
    </row>
    <row r="249" spans="1:17" ht="30" x14ac:dyDescent="0.25">
      <c r="A249" s="237">
        <v>10</v>
      </c>
      <c r="B249" s="323"/>
      <c r="C249" s="237">
        <v>39</v>
      </c>
      <c r="D249" s="323"/>
      <c r="E249" s="52" t="s">
        <v>87</v>
      </c>
      <c r="F249" s="42" t="s">
        <v>351</v>
      </c>
      <c r="G249" s="97" t="str">
        <f>'Integración Apreciación '!O630</f>
        <v>NA</v>
      </c>
      <c r="H249" s="105">
        <f>'Integración Documental'!J623</f>
        <v>5</v>
      </c>
      <c r="I249" s="45" t="str">
        <f>Estadistica!K263</f>
        <v>NA</v>
      </c>
      <c r="J249" s="105">
        <f t="shared" si="6"/>
        <v>5</v>
      </c>
      <c r="K249" s="17" t="str">
        <f t="shared" si="7"/>
        <v>A</v>
      </c>
      <c r="L249" s="397"/>
      <c r="M249" s="397"/>
      <c r="N249" s="328"/>
      <c r="O249" s="328"/>
      <c r="P249" s="397"/>
      <c r="Q249" s="328"/>
    </row>
    <row r="250" spans="1:17" ht="30" x14ac:dyDescent="0.25">
      <c r="A250" s="237">
        <v>10</v>
      </c>
      <c r="B250" s="323"/>
      <c r="C250" s="237">
        <v>39</v>
      </c>
      <c r="D250" s="323"/>
      <c r="E250" s="52" t="s">
        <v>88</v>
      </c>
      <c r="F250" s="42" t="s">
        <v>399</v>
      </c>
      <c r="G250" s="97">
        <f>'Integración Apreciación '!O631</f>
        <v>3.52</v>
      </c>
      <c r="H250" s="105" t="str">
        <f>'Integración Documental'!J625</f>
        <v>NA</v>
      </c>
      <c r="I250" s="45" t="str">
        <f>Estadistica!K264</f>
        <v>NA</v>
      </c>
      <c r="J250" s="105">
        <f t="shared" si="6"/>
        <v>3.52</v>
      </c>
      <c r="K250" s="17" t="str">
        <f t="shared" si="7"/>
        <v>C</v>
      </c>
      <c r="L250" s="397"/>
      <c r="M250" s="397"/>
      <c r="N250" s="328"/>
      <c r="O250" s="328"/>
      <c r="P250" s="397"/>
      <c r="Q250" s="328"/>
    </row>
    <row r="251" spans="1:17" ht="30" x14ac:dyDescent="0.25">
      <c r="A251" s="237">
        <v>10</v>
      </c>
      <c r="B251" s="323"/>
      <c r="C251" s="237">
        <v>39</v>
      </c>
      <c r="D251" s="323"/>
      <c r="E251" s="52" t="s">
        <v>102</v>
      </c>
      <c r="F251" s="42" t="s">
        <v>352</v>
      </c>
      <c r="G251" s="97" t="str">
        <f>'Integración Apreciación '!O642</f>
        <v>NA</v>
      </c>
      <c r="H251" s="105">
        <f>'Integración Documental'!J626</f>
        <v>5</v>
      </c>
      <c r="I251" s="45" t="str">
        <f>Estadistica!K265</f>
        <v>NA</v>
      </c>
      <c r="J251" s="105">
        <f t="shared" si="6"/>
        <v>5</v>
      </c>
      <c r="K251" s="17" t="str">
        <f t="shared" si="7"/>
        <v>A</v>
      </c>
      <c r="L251" s="397"/>
      <c r="M251" s="397"/>
      <c r="N251" s="328"/>
      <c r="O251" s="328"/>
      <c r="P251" s="397"/>
      <c r="Q251" s="328"/>
    </row>
    <row r="252" spans="1:17" ht="30" x14ac:dyDescent="0.25">
      <c r="A252" s="237">
        <v>10</v>
      </c>
      <c r="B252" s="323"/>
      <c r="C252" s="237">
        <v>39</v>
      </c>
      <c r="D252" s="323"/>
      <c r="E252" s="52" t="s">
        <v>104</v>
      </c>
      <c r="F252" s="42" t="s">
        <v>353</v>
      </c>
      <c r="G252" s="97" t="str">
        <f>'Integración Apreciación '!O643</f>
        <v>NA</v>
      </c>
      <c r="H252" s="105">
        <f>'Integración Documental'!J628</f>
        <v>2.5</v>
      </c>
      <c r="I252" s="45" t="str">
        <f>Estadistica!K266</f>
        <v>NA</v>
      </c>
      <c r="J252" s="105">
        <f t="shared" si="6"/>
        <v>2.5</v>
      </c>
      <c r="K252" s="17" t="str">
        <f t="shared" si="7"/>
        <v>D</v>
      </c>
      <c r="L252" s="398"/>
      <c r="M252" s="397"/>
      <c r="N252" s="329"/>
      <c r="O252" s="328"/>
      <c r="P252" s="397"/>
      <c r="Q252" s="328"/>
    </row>
    <row r="253" spans="1:17" ht="35.25" customHeight="1" x14ac:dyDescent="0.25">
      <c r="A253" s="237">
        <v>10</v>
      </c>
      <c r="B253" s="323"/>
      <c r="C253" s="237">
        <v>40</v>
      </c>
      <c r="D253" s="323" t="s">
        <v>354</v>
      </c>
      <c r="E253" s="52" t="s">
        <v>55</v>
      </c>
      <c r="F253" s="42" t="s">
        <v>355</v>
      </c>
      <c r="G253" s="97" t="str">
        <f>'Integración Apreciación '!O644</f>
        <v>NA</v>
      </c>
      <c r="H253" s="105">
        <f>'Integración Documental'!J632</f>
        <v>5</v>
      </c>
      <c r="I253" s="45" t="str">
        <f>Estadistica!K267</f>
        <v>NA</v>
      </c>
      <c r="J253" s="105">
        <f t="shared" si="6"/>
        <v>5</v>
      </c>
      <c r="K253" s="17" t="str">
        <f t="shared" si="7"/>
        <v>A</v>
      </c>
      <c r="L253" s="396">
        <f>AVERAGE(J253:J257)</f>
        <v>4.8149999999999995</v>
      </c>
      <c r="M253" s="397"/>
      <c r="N253" s="327" t="str">
        <f>IF(((L253&gt;=$Z$4)*AND(L253&lt;=$AA$4)),$Y$4,IF(((L253&gt;$AA$4)*AND(L253&lt;=$AA$5)),$Y$5,IF(((L253&gt;$AA$5)*AND(L253&lt;=$AA$6)),$Y$6,IF(((L253&gt;$AA$6)*AND(L253&lt;=$AA$7)),$Y$7,IF(((L253&gt;$AA$7)*AND(L253&lt;=$AA$8)),$Y$8,IF(EXACT(L253,$Y$9),$Z$9))))))</f>
        <v>A</v>
      </c>
      <c r="O253" s="328"/>
      <c r="P253" s="397"/>
      <c r="Q253" s="328"/>
    </row>
    <row r="254" spans="1:17" ht="30" x14ac:dyDescent="0.25">
      <c r="A254" s="237">
        <v>10</v>
      </c>
      <c r="B254" s="323"/>
      <c r="C254" s="237">
        <v>40</v>
      </c>
      <c r="D254" s="323"/>
      <c r="E254" s="52" t="s">
        <v>56</v>
      </c>
      <c r="F254" s="42" t="s">
        <v>356</v>
      </c>
      <c r="G254" s="97" t="str">
        <f>'Integración Apreciación '!O645</f>
        <v>NA</v>
      </c>
      <c r="H254" s="213">
        <f>'Integración Documental'!J636</f>
        <v>5</v>
      </c>
      <c r="I254" s="45" t="str">
        <f>Estadistica!K268</f>
        <v>NA</v>
      </c>
      <c r="J254" s="213">
        <f t="shared" si="6"/>
        <v>5</v>
      </c>
      <c r="K254" s="17" t="str">
        <f t="shared" si="7"/>
        <v>A</v>
      </c>
      <c r="L254" s="397"/>
      <c r="M254" s="397"/>
      <c r="N254" s="328"/>
      <c r="O254" s="328"/>
      <c r="P254" s="397"/>
      <c r="Q254" s="328"/>
    </row>
    <row r="255" spans="1:17" ht="30" x14ac:dyDescent="0.25">
      <c r="A255" s="237">
        <v>10</v>
      </c>
      <c r="B255" s="323"/>
      <c r="C255" s="237">
        <v>40</v>
      </c>
      <c r="D255" s="323"/>
      <c r="E255" s="52" t="s">
        <v>80</v>
      </c>
      <c r="F255" s="42" t="s">
        <v>357</v>
      </c>
      <c r="G255" s="97" t="str">
        <f>'Integración Apreciación '!O646</f>
        <v>NA</v>
      </c>
      <c r="H255" s="105">
        <f>'Integración Documental'!J641</f>
        <v>5</v>
      </c>
      <c r="I255" s="45" t="str">
        <f>Estadistica!K269</f>
        <v>NA</v>
      </c>
      <c r="J255" s="105">
        <f t="shared" si="6"/>
        <v>5</v>
      </c>
      <c r="K255" s="17" t="str">
        <f t="shared" si="7"/>
        <v>A</v>
      </c>
      <c r="L255" s="397"/>
      <c r="M255" s="397"/>
      <c r="N255" s="328"/>
      <c r="O255" s="328"/>
      <c r="P255" s="397"/>
      <c r="Q255" s="328"/>
    </row>
    <row r="256" spans="1:17" ht="30" x14ac:dyDescent="0.25">
      <c r="A256" s="237">
        <v>10</v>
      </c>
      <c r="B256" s="323"/>
      <c r="C256" s="237">
        <v>40</v>
      </c>
      <c r="D256" s="323"/>
      <c r="E256" s="52" t="s">
        <v>81</v>
      </c>
      <c r="F256" s="42" t="s">
        <v>358</v>
      </c>
      <c r="G256" s="97">
        <f>'Integración Apreciación '!O647</f>
        <v>3.52</v>
      </c>
      <c r="H256" s="105">
        <f>'Integración Documental'!J642</f>
        <v>5</v>
      </c>
      <c r="I256" s="45" t="str">
        <f>Estadistica!K270</f>
        <v>NA</v>
      </c>
      <c r="J256" s="105">
        <f t="shared" si="6"/>
        <v>4.26</v>
      </c>
      <c r="K256" s="17" t="str">
        <f t="shared" si="7"/>
        <v>B</v>
      </c>
      <c r="L256" s="397"/>
      <c r="M256" s="397"/>
      <c r="N256" s="328"/>
      <c r="O256" s="328"/>
      <c r="P256" s="397"/>
      <c r="Q256" s="328"/>
    </row>
    <row r="257" spans="1:17" ht="45" x14ac:dyDescent="0.25">
      <c r="A257" s="237">
        <v>10</v>
      </c>
      <c r="B257" s="323"/>
      <c r="C257" s="237">
        <v>40</v>
      </c>
      <c r="D257" s="323"/>
      <c r="E257" s="52" t="s">
        <v>87</v>
      </c>
      <c r="F257" s="42" t="s">
        <v>359</v>
      </c>
      <c r="G257" s="97" t="str">
        <f>'Integración Apreciación '!O658</f>
        <v>NA</v>
      </c>
      <c r="H257" s="105" t="str">
        <f>'Integración Documental'!J645</f>
        <v>NA</v>
      </c>
      <c r="I257" s="45" t="str">
        <f>Estadistica!K271</f>
        <v>NA</v>
      </c>
      <c r="J257" s="105" t="s">
        <v>64</v>
      </c>
      <c r="K257" s="17" t="str">
        <f t="shared" si="7"/>
        <v>NA</v>
      </c>
      <c r="L257" s="398"/>
      <c r="M257" s="398"/>
      <c r="N257" s="329"/>
      <c r="O257" s="329"/>
      <c r="P257" s="398"/>
      <c r="Q257" s="329"/>
    </row>
  </sheetData>
  <autoFilter ref="A1:AA257"/>
  <mergeCells count="153">
    <mergeCell ref="B240:B257"/>
    <mergeCell ref="D240:D244"/>
    <mergeCell ref="D245:D252"/>
    <mergeCell ref="D146:D151"/>
    <mergeCell ref="D152:D157"/>
    <mergeCell ref="B75:B157"/>
    <mergeCell ref="D128:D131"/>
    <mergeCell ref="D132:D139"/>
    <mergeCell ref="D140:D145"/>
    <mergeCell ref="D117:D122"/>
    <mergeCell ref="D75:D88"/>
    <mergeCell ref="D123:D127"/>
    <mergeCell ref="D89:D98"/>
    <mergeCell ref="D99:D101"/>
    <mergeCell ref="D102:D116"/>
    <mergeCell ref="D207:D214"/>
    <mergeCell ref="D177:D186"/>
    <mergeCell ref="D187:D194"/>
    <mergeCell ref="B177:B194"/>
    <mergeCell ref="D158:D168"/>
    <mergeCell ref="D169:D176"/>
    <mergeCell ref="B158:B176"/>
    <mergeCell ref="D224:D227"/>
    <mergeCell ref="B195:B206"/>
    <mergeCell ref="Z3:AA3"/>
    <mergeCell ref="L2:L7"/>
    <mergeCell ref="N2:N7"/>
    <mergeCell ref="D28:D31"/>
    <mergeCell ref="D32:D36"/>
    <mergeCell ref="P2:P257"/>
    <mergeCell ref="Q2:Q257"/>
    <mergeCell ref="M228:M239"/>
    <mergeCell ref="M240:M257"/>
    <mergeCell ref="O2:O20"/>
    <mergeCell ref="O21:O36"/>
    <mergeCell ref="O37:O74"/>
    <mergeCell ref="O75:O157"/>
    <mergeCell ref="O158:O176"/>
    <mergeCell ref="O177:O194"/>
    <mergeCell ref="O195:O206"/>
    <mergeCell ref="O207:O227"/>
    <mergeCell ref="D253:D257"/>
    <mergeCell ref="D228:D235"/>
    <mergeCell ref="D215:D223"/>
    <mergeCell ref="D195:D203"/>
    <mergeCell ref="D204:D206"/>
    <mergeCell ref="D236:D239"/>
    <mergeCell ref="L140:L145"/>
    <mergeCell ref="B21:B36"/>
    <mergeCell ref="D8:D11"/>
    <mergeCell ref="D12:D20"/>
    <mergeCell ref="B2:B20"/>
    <mergeCell ref="D2:D7"/>
    <mergeCell ref="D21:D24"/>
    <mergeCell ref="B37:B74"/>
    <mergeCell ref="D46:D53"/>
    <mergeCell ref="D25:D27"/>
    <mergeCell ref="D37:D39"/>
    <mergeCell ref="D40:D45"/>
    <mergeCell ref="D54:D59"/>
    <mergeCell ref="D60:D62"/>
    <mergeCell ref="D63:D66"/>
    <mergeCell ref="D67:D69"/>
    <mergeCell ref="D70:D74"/>
    <mergeCell ref="B207:B227"/>
    <mergeCell ref="B228:B239"/>
    <mergeCell ref="L8:L11"/>
    <mergeCell ref="L12:L20"/>
    <mergeCell ref="L21:L24"/>
    <mergeCell ref="L25:L27"/>
    <mergeCell ref="L28:L31"/>
    <mergeCell ref="L32:L36"/>
    <mergeCell ref="L37:L39"/>
    <mergeCell ref="L40:L45"/>
    <mergeCell ref="L46:L53"/>
    <mergeCell ref="L54:L59"/>
    <mergeCell ref="L60:L62"/>
    <mergeCell ref="L63:L66"/>
    <mergeCell ref="L67:L69"/>
    <mergeCell ref="L70:L74"/>
    <mergeCell ref="L75:L88"/>
    <mergeCell ref="L89:L98"/>
    <mergeCell ref="L99:L101"/>
    <mergeCell ref="L102:L116"/>
    <mergeCell ref="L117:L122"/>
    <mergeCell ref="L123:L127"/>
    <mergeCell ref="L128:L131"/>
    <mergeCell ref="L132:L139"/>
    <mergeCell ref="L146:L151"/>
    <mergeCell ref="L152:L157"/>
    <mergeCell ref="L245:L252"/>
    <mergeCell ref="L253:L257"/>
    <mergeCell ref="N8:N11"/>
    <mergeCell ref="N12:N20"/>
    <mergeCell ref="N21:N24"/>
    <mergeCell ref="N25:N27"/>
    <mergeCell ref="N28:N31"/>
    <mergeCell ref="N32:N36"/>
    <mergeCell ref="N37:N39"/>
    <mergeCell ref="N40:N45"/>
    <mergeCell ref="N46:N53"/>
    <mergeCell ref="N54:N59"/>
    <mergeCell ref="N60:N62"/>
    <mergeCell ref="N63:N66"/>
    <mergeCell ref="N67:N69"/>
    <mergeCell ref="N70:N74"/>
    <mergeCell ref="N75:N88"/>
    <mergeCell ref="N89:N98"/>
    <mergeCell ref="N99:N101"/>
    <mergeCell ref="N102:N116"/>
    <mergeCell ref="N117:N122"/>
    <mergeCell ref="L158:L168"/>
    <mergeCell ref="L169:L176"/>
    <mergeCell ref="L177:L186"/>
    <mergeCell ref="N152:N157"/>
    <mergeCell ref="N158:N168"/>
    <mergeCell ref="N169:N176"/>
    <mergeCell ref="N177:N186"/>
    <mergeCell ref="N187:N194"/>
    <mergeCell ref="N195:N203"/>
    <mergeCell ref="L228:L235"/>
    <mergeCell ref="L236:L239"/>
    <mergeCell ref="L240:L244"/>
    <mergeCell ref="L187:L194"/>
    <mergeCell ref="L195:L203"/>
    <mergeCell ref="L204:L206"/>
    <mergeCell ref="L207:L214"/>
    <mergeCell ref="L215:L223"/>
    <mergeCell ref="L224:L227"/>
    <mergeCell ref="O228:O239"/>
    <mergeCell ref="O240:O257"/>
    <mergeCell ref="N228:N235"/>
    <mergeCell ref="N236:N239"/>
    <mergeCell ref="N240:N244"/>
    <mergeCell ref="N245:N252"/>
    <mergeCell ref="N253:N257"/>
    <mergeCell ref="M2:M20"/>
    <mergeCell ref="M21:M36"/>
    <mergeCell ref="M37:M74"/>
    <mergeCell ref="M75:M157"/>
    <mergeCell ref="M158:M176"/>
    <mergeCell ref="M177:M194"/>
    <mergeCell ref="M195:M206"/>
    <mergeCell ref="M207:M227"/>
    <mergeCell ref="N204:N206"/>
    <mergeCell ref="N207:N214"/>
    <mergeCell ref="N123:N127"/>
    <mergeCell ref="N128:N131"/>
    <mergeCell ref="N215:N223"/>
    <mergeCell ref="N224:N227"/>
    <mergeCell ref="N132:N139"/>
    <mergeCell ref="N140:N145"/>
    <mergeCell ref="N146:N151"/>
  </mergeCells>
  <conditionalFormatting sqref="Y4">
    <cfRule type="containsText" dxfId="33" priority="58" operator="containsText" text="E">
      <formula>NOT(ISERROR(SEARCH("E",Y4)))</formula>
    </cfRule>
    <cfRule type="containsText" dxfId="32" priority="59" operator="containsText" text="D">
      <formula>NOT(ISERROR(SEARCH("D",Y4)))</formula>
    </cfRule>
    <cfRule type="containsText" dxfId="31" priority="60" operator="containsText" text="C">
      <formula>NOT(ISERROR(SEARCH("C",Y4)))</formula>
    </cfRule>
    <cfRule type="containsText" dxfId="30" priority="61" operator="containsText" text="B">
      <formula>NOT(ISERROR(SEARCH("B",Y4)))</formula>
    </cfRule>
    <cfRule type="containsText" dxfId="29" priority="62" operator="containsText" text="A">
      <formula>NOT(ISERROR(SEARCH("A",Y4)))</formula>
    </cfRule>
  </conditionalFormatting>
  <conditionalFormatting sqref="Y5:Y8">
    <cfRule type="containsText" dxfId="28" priority="53" operator="containsText" text="E">
      <formula>NOT(ISERROR(SEARCH("E",Y5)))</formula>
    </cfRule>
    <cfRule type="containsText" dxfId="27" priority="54" operator="containsText" text="D">
      <formula>NOT(ISERROR(SEARCH("D",Y5)))</formula>
    </cfRule>
    <cfRule type="containsText" dxfId="26" priority="55" operator="containsText" text="C">
      <formula>NOT(ISERROR(SEARCH("C",Y5)))</formula>
    </cfRule>
    <cfRule type="containsText" dxfId="25" priority="56" operator="containsText" text="B">
      <formula>NOT(ISERROR(SEARCH("B",Y5)))</formula>
    </cfRule>
    <cfRule type="containsText" dxfId="24" priority="57" operator="containsText" text="A">
      <formula>NOT(ISERROR(SEARCH("A",Y5)))</formula>
    </cfRule>
  </conditionalFormatting>
  <conditionalFormatting sqref="K2:K257">
    <cfRule type="containsText" dxfId="23" priority="38" operator="containsText" text="E">
      <formula>NOT(ISERROR(SEARCH("E",K2)))</formula>
    </cfRule>
    <cfRule type="containsText" dxfId="22" priority="39" operator="containsText" text="D">
      <formula>NOT(ISERROR(SEARCH("D",K2)))</formula>
    </cfRule>
    <cfRule type="containsText" dxfId="21" priority="40" operator="containsText" text="C">
      <formula>NOT(ISERROR(SEARCH("C",K2)))</formula>
    </cfRule>
    <cfRule type="containsText" dxfId="20" priority="41" operator="containsText" text="B">
      <formula>NOT(ISERROR(SEARCH("B",K2)))</formula>
    </cfRule>
    <cfRule type="containsText" dxfId="19" priority="42" operator="containsText" text="A">
      <formula>NOT(ISERROR(SEARCH("A",K2)))</formula>
    </cfRule>
  </conditionalFormatting>
  <conditionalFormatting sqref="N2 N8 N12 N21 N25 N28 N32 N37 N40 N46 N54 N60 N63 N67 N70 N75 N89 N99 N102 N117 N123 N128 N132 N140 N146 N152 N158 N169 N177 N187 N195 N204 N207 N215 N224 N228 N236 N240 N245 N253">
    <cfRule type="containsText" dxfId="18" priority="14" operator="containsText" text="E">
      <formula>NOT(ISERROR(SEARCH("E",N2)))</formula>
    </cfRule>
    <cfRule type="containsText" dxfId="17" priority="15" operator="containsText" text="D">
      <formula>NOT(ISERROR(SEARCH("D",N2)))</formula>
    </cfRule>
    <cfRule type="containsText" dxfId="16" priority="16" operator="containsText" text="C">
      <formula>NOT(ISERROR(SEARCH("C",N2)))</formula>
    </cfRule>
    <cfRule type="containsText" dxfId="15" priority="17" operator="containsText" text="B">
      <formula>NOT(ISERROR(SEARCH("B",N2)))</formula>
    </cfRule>
    <cfRule type="containsText" dxfId="14" priority="18" operator="containsText" text="A">
      <formula>NOT(ISERROR(SEARCH("A",N2)))</formula>
    </cfRule>
  </conditionalFormatting>
  <conditionalFormatting sqref="O2 O21 O37 O75 O158 O177 O195 O207 O228 O240">
    <cfRule type="containsText" dxfId="13" priority="8" operator="containsText" text="E">
      <formula>NOT(ISERROR(SEARCH("E",O2)))</formula>
    </cfRule>
    <cfRule type="containsText" dxfId="12" priority="9" operator="containsText" text="D">
      <formula>NOT(ISERROR(SEARCH("D",O2)))</formula>
    </cfRule>
    <cfRule type="containsText" dxfId="11" priority="10" operator="containsText" text="C">
      <formula>NOT(ISERROR(SEARCH("C",O2)))</formula>
    </cfRule>
    <cfRule type="containsText" dxfId="10" priority="11" operator="containsText" text="B">
      <formula>NOT(ISERROR(SEARCH("B",O2)))</formula>
    </cfRule>
    <cfRule type="containsText" dxfId="9" priority="12" operator="containsText" text="A">
      <formula>NOT(ISERROR(SEARCH("A",O2)))</formula>
    </cfRule>
  </conditionalFormatting>
  <conditionalFormatting sqref="Q2">
    <cfRule type="containsText" dxfId="8" priority="2" operator="containsText" text="E">
      <formula>NOT(ISERROR(SEARCH("E",Q2)))</formula>
    </cfRule>
    <cfRule type="containsText" dxfId="7" priority="3" operator="containsText" text="D">
      <formula>NOT(ISERROR(SEARCH("D",Q2)))</formula>
    </cfRule>
    <cfRule type="containsText" dxfId="6" priority="4" operator="containsText" text="C">
      <formula>NOT(ISERROR(SEARCH("C",Q2)))</formula>
    </cfRule>
    <cfRule type="containsText" dxfId="5" priority="5" operator="containsText" text="B">
      <formula>NOT(ISERROR(SEARCH("B",Q2)))</formula>
    </cfRule>
    <cfRule type="containsText" dxfId="4" priority="6" operator="containsText" text="A">
      <formula>NOT(ISERROR(SEARCH("A",Q2)))</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37" operator="containsText" id="{CA4069C4-5A1D-40FC-91BF-5C1BAD16C2F0}">
            <xm:f>NOT(ISERROR(SEARCH($Y$9,K2)))</xm:f>
            <xm:f>$Y$9</xm:f>
            <x14:dxf>
              <fill>
                <patternFill>
                  <bgColor theme="0" tint="-0.24994659260841701"/>
                </patternFill>
              </fill>
            </x14:dxf>
          </x14:cfRule>
          <xm:sqref>K2:K257</xm:sqref>
        </x14:conditionalFormatting>
        <x14:conditionalFormatting xmlns:xm="http://schemas.microsoft.com/office/excel/2006/main">
          <x14:cfRule type="containsText" priority="13" operator="containsText" id="{0BC6BF75-5F15-4CA0-BC70-86EC99A489C1}">
            <xm:f>NOT(ISERROR(SEARCH($Y$9,N2)))</xm:f>
            <xm:f>$Y$9</xm:f>
            <x14:dxf>
              <fill>
                <patternFill>
                  <bgColor theme="0" tint="-0.24994659260841701"/>
                </patternFill>
              </fill>
            </x14:dxf>
          </x14:cfRule>
          <xm:sqref>N2 N8 N12 N21 N25 N28 N32 N37 N40 N46 N54 N60 N63 N67 N70 N75 N89 N99 N102 N117 N123 N128 N132 N140 N146 N152 N158 N169 N177 N187 N195 N204 N207 N215 N224 N228 N236 N240 N245 N253</xm:sqref>
        </x14:conditionalFormatting>
        <x14:conditionalFormatting xmlns:xm="http://schemas.microsoft.com/office/excel/2006/main">
          <x14:cfRule type="containsText" priority="7" operator="containsText" id="{69F954C1-ABA5-429A-8AE6-1A2BBE4C3B48}">
            <xm:f>NOT(ISERROR(SEARCH($Y$9,O2)))</xm:f>
            <xm:f>$Y$9</xm:f>
            <x14:dxf>
              <fill>
                <patternFill>
                  <bgColor theme="0" tint="-0.24994659260841701"/>
                </patternFill>
              </fill>
            </x14:dxf>
          </x14:cfRule>
          <xm:sqref>O2 O21 O37 O75 O158 O177 O195 O207 O228 O240</xm:sqref>
        </x14:conditionalFormatting>
        <x14:conditionalFormatting xmlns:xm="http://schemas.microsoft.com/office/excel/2006/main">
          <x14:cfRule type="containsText" priority="1" operator="containsText" id="{55CA7C67-5023-489E-A298-CA1CAC6B34FC}">
            <xm:f>NOT(ISERROR(SEARCH($Y$9,Q2)))</xm:f>
            <xm:f>$Y$9</xm:f>
            <x14:dxf>
              <fill>
                <patternFill>
                  <bgColor theme="0" tint="-0.24994659260841701"/>
                </patternFill>
              </fill>
            </x14:dxf>
          </x14:cfRule>
          <xm:sqref>Q2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15"/>
  <sheetViews>
    <sheetView workbookViewId="0">
      <pane xSplit="5" ySplit="1" topLeftCell="F2" activePane="bottomRight" state="frozen"/>
      <selection pane="topRight" activeCell="F1" sqref="F1"/>
      <selection pane="bottomLeft" activeCell="C2" sqref="C2:C168"/>
      <selection pane="bottomRight" activeCell="D3" sqref="D3"/>
    </sheetView>
  </sheetViews>
  <sheetFormatPr baseColWidth="10" defaultColWidth="14.42578125" defaultRowHeight="15.75" customHeight="1" x14ac:dyDescent="0.2"/>
  <cols>
    <col min="1" max="2" width="21.42578125" style="161" customWidth="1"/>
    <col min="3" max="3" width="73.140625" style="161" customWidth="1"/>
    <col min="4" max="104" width="21.42578125" style="161" customWidth="1"/>
    <col min="105" max="16384" width="14.42578125" style="161"/>
  </cols>
  <sheetData>
    <row r="1" spans="1:104" ht="15.75" customHeight="1" x14ac:dyDescent="0.2">
      <c r="A1" s="161" t="s">
        <v>988</v>
      </c>
      <c r="B1" s="161" t="s">
        <v>989</v>
      </c>
      <c r="C1" s="161" t="s">
        <v>990</v>
      </c>
      <c r="D1" s="162" t="s">
        <v>991</v>
      </c>
      <c r="E1" s="161" t="s">
        <v>992</v>
      </c>
      <c r="F1" s="162" t="s">
        <v>993</v>
      </c>
      <c r="G1" s="162" t="s">
        <v>994</v>
      </c>
      <c r="H1" s="161" t="s">
        <v>995</v>
      </c>
      <c r="I1" s="161" t="s">
        <v>996</v>
      </c>
      <c r="J1" s="161" t="s">
        <v>997</v>
      </c>
      <c r="K1" s="161" t="s">
        <v>998</v>
      </c>
      <c r="L1" s="161" t="s">
        <v>999</v>
      </c>
      <c r="M1" s="161" t="s">
        <v>1000</v>
      </c>
      <c r="N1" s="162" t="s">
        <v>1001</v>
      </c>
      <c r="O1" s="162" t="s">
        <v>1002</v>
      </c>
      <c r="P1" s="162" t="s">
        <v>1003</v>
      </c>
      <c r="Q1" s="162" t="s">
        <v>1004</v>
      </c>
      <c r="R1" s="162" t="s">
        <v>1005</v>
      </c>
      <c r="S1" s="162" t="s">
        <v>1006</v>
      </c>
      <c r="T1" s="162" t="s">
        <v>1007</v>
      </c>
      <c r="U1" s="162" t="s">
        <v>1008</v>
      </c>
      <c r="V1" s="162" t="s">
        <v>1009</v>
      </c>
      <c r="W1" s="162" t="s">
        <v>1010</v>
      </c>
      <c r="X1" s="162" t="s">
        <v>1011</v>
      </c>
      <c r="Y1" s="162" t="s">
        <v>1012</v>
      </c>
      <c r="Z1" s="162" t="s">
        <v>1013</v>
      </c>
      <c r="AA1" s="162" t="s">
        <v>1014</v>
      </c>
      <c r="AB1" s="162" t="s">
        <v>1015</v>
      </c>
      <c r="AC1" s="162" t="s">
        <v>1016</v>
      </c>
      <c r="AD1" s="162" t="s">
        <v>1017</v>
      </c>
      <c r="AE1" s="162" t="s">
        <v>1018</v>
      </c>
      <c r="AF1" s="162" t="s">
        <v>1019</v>
      </c>
      <c r="AG1" s="162" t="s">
        <v>1020</v>
      </c>
      <c r="AH1" s="162" t="s">
        <v>1021</v>
      </c>
      <c r="AI1" s="162" t="s">
        <v>1022</v>
      </c>
      <c r="AJ1" s="162" t="s">
        <v>1023</v>
      </c>
      <c r="AK1" s="162" t="s">
        <v>1024</v>
      </c>
      <c r="AL1" s="162" t="s">
        <v>1025</v>
      </c>
      <c r="AM1" s="162" t="s">
        <v>1026</v>
      </c>
      <c r="AN1" s="162" t="s">
        <v>1027</v>
      </c>
      <c r="AO1" s="162" t="s">
        <v>1028</v>
      </c>
      <c r="AP1" s="162" t="s">
        <v>1029</v>
      </c>
      <c r="AQ1" s="162" t="s">
        <v>1030</v>
      </c>
      <c r="AR1" s="162" t="s">
        <v>1031</v>
      </c>
      <c r="AS1" s="162" t="s">
        <v>1032</v>
      </c>
      <c r="AT1" s="162" t="s">
        <v>1033</v>
      </c>
      <c r="AU1" s="162" t="s">
        <v>1034</v>
      </c>
      <c r="AV1" s="162" t="s">
        <v>1035</v>
      </c>
      <c r="AW1" s="162" t="s">
        <v>1036</v>
      </c>
      <c r="AX1" s="162" t="s">
        <v>1037</v>
      </c>
      <c r="AY1" s="162" t="s">
        <v>1038</v>
      </c>
      <c r="AZ1" s="162" t="s">
        <v>1039</v>
      </c>
      <c r="BA1" s="162" t="s">
        <v>1040</v>
      </c>
      <c r="BB1" s="162" t="s">
        <v>1041</v>
      </c>
      <c r="BC1" s="162" t="s">
        <v>1042</v>
      </c>
      <c r="BD1" s="162" t="s">
        <v>1043</v>
      </c>
      <c r="BE1" s="162" t="s">
        <v>1044</v>
      </c>
      <c r="BF1" s="162" t="s">
        <v>1045</v>
      </c>
      <c r="BG1" s="162" t="s">
        <v>1046</v>
      </c>
      <c r="BH1" s="162" t="s">
        <v>1047</v>
      </c>
      <c r="BI1" s="162" t="s">
        <v>1048</v>
      </c>
      <c r="BJ1" s="162" t="s">
        <v>1049</v>
      </c>
      <c r="BK1" s="162" t="s">
        <v>1050</v>
      </c>
      <c r="BL1" s="162" t="s">
        <v>1051</v>
      </c>
      <c r="BM1" s="162" t="s">
        <v>1052</v>
      </c>
      <c r="BN1" s="162" t="s">
        <v>1053</v>
      </c>
      <c r="BO1" s="162" t="s">
        <v>1054</v>
      </c>
      <c r="BP1" s="162" t="s">
        <v>1055</v>
      </c>
      <c r="BQ1" s="162" t="s">
        <v>1056</v>
      </c>
      <c r="BR1" s="162" t="s">
        <v>1057</v>
      </c>
      <c r="BS1" s="162" t="s">
        <v>1058</v>
      </c>
      <c r="BT1" s="162" t="s">
        <v>1059</v>
      </c>
      <c r="BU1" s="162" t="s">
        <v>1060</v>
      </c>
      <c r="BV1" s="162" t="s">
        <v>1061</v>
      </c>
      <c r="BW1" s="162" t="s">
        <v>1062</v>
      </c>
      <c r="BX1" s="162" t="s">
        <v>1063</v>
      </c>
      <c r="BY1" s="162" t="s">
        <v>1064</v>
      </c>
      <c r="BZ1" s="162" t="s">
        <v>1065</v>
      </c>
      <c r="CA1" s="162" t="s">
        <v>1066</v>
      </c>
      <c r="CB1" s="162" t="s">
        <v>1067</v>
      </c>
      <c r="CC1" s="162" t="s">
        <v>1068</v>
      </c>
      <c r="CD1" s="162" t="s">
        <v>1069</v>
      </c>
      <c r="CE1" s="162" t="s">
        <v>1070</v>
      </c>
      <c r="CF1" s="162" t="s">
        <v>1071</v>
      </c>
      <c r="CG1" s="162" t="s">
        <v>1072</v>
      </c>
      <c r="CH1" s="162" t="s">
        <v>1073</v>
      </c>
      <c r="CI1" s="162" t="s">
        <v>1074</v>
      </c>
      <c r="CJ1" s="162" t="s">
        <v>1075</v>
      </c>
      <c r="CK1" s="162" t="s">
        <v>1076</v>
      </c>
      <c r="CL1" s="162" t="s">
        <v>1077</v>
      </c>
      <c r="CM1" s="162" t="s">
        <v>1078</v>
      </c>
      <c r="CN1" s="162" t="s">
        <v>1079</v>
      </c>
      <c r="CO1" s="162" t="s">
        <v>1080</v>
      </c>
      <c r="CP1" s="162" t="s">
        <v>1081</v>
      </c>
      <c r="CQ1" s="162" t="s">
        <v>1082</v>
      </c>
      <c r="CR1" s="162" t="s">
        <v>1083</v>
      </c>
      <c r="CS1" s="162" t="s">
        <v>1084</v>
      </c>
      <c r="CT1" s="162" t="s">
        <v>1085</v>
      </c>
      <c r="CU1" s="162" t="s">
        <v>1086</v>
      </c>
      <c r="CV1" s="162" t="s">
        <v>1087</v>
      </c>
      <c r="CW1" s="162" t="s">
        <v>1088</v>
      </c>
      <c r="CX1" s="161" t="s">
        <v>1089</v>
      </c>
      <c r="CY1" s="162" t="s">
        <v>1090</v>
      </c>
      <c r="CZ1" s="162" t="s">
        <v>1091</v>
      </c>
    </row>
    <row r="2" spans="1:104" ht="15.75" customHeight="1" x14ac:dyDescent="0.2">
      <c r="A2" s="184">
        <v>42808.608890405092</v>
      </c>
      <c r="B2" s="185" t="s">
        <v>2234</v>
      </c>
      <c r="C2" s="185" t="s">
        <v>2235</v>
      </c>
      <c r="D2" s="185">
        <v>5</v>
      </c>
      <c r="E2" s="185" t="s">
        <v>1093</v>
      </c>
      <c r="F2" s="185" t="s">
        <v>1092</v>
      </c>
      <c r="G2" s="185" t="s">
        <v>2</v>
      </c>
      <c r="H2" s="185" t="s">
        <v>2</v>
      </c>
      <c r="I2" s="185" t="s">
        <v>2</v>
      </c>
      <c r="J2" s="185" t="s">
        <v>1093</v>
      </c>
      <c r="K2" s="185" t="s">
        <v>5</v>
      </c>
      <c r="L2" s="185" t="s">
        <v>3</v>
      </c>
      <c r="M2" s="185" t="s">
        <v>3</v>
      </c>
      <c r="N2" s="185" t="s">
        <v>2</v>
      </c>
      <c r="O2" s="185" t="s">
        <v>1</v>
      </c>
      <c r="P2" s="185" t="s">
        <v>1092</v>
      </c>
      <c r="Q2" s="185" t="s">
        <v>5</v>
      </c>
      <c r="R2" s="185" t="s">
        <v>2</v>
      </c>
      <c r="S2" s="185" t="s">
        <v>5</v>
      </c>
      <c r="T2" s="185" t="s">
        <v>5</v>
      </c>
      <c r="U2" s="185" t="s">
        <v>5</v>
      </c>
      <c r="V2" s="185" t="s">
        <v>5</v>
      </c>
      <c r="W2" s="185" t="s">
        <v>5</v>
      </c>
      <c r="X2" s="185" t="s">
        <v>5</v>
      </c>
      <c r="Y2" s="185" t="s">
        <v>5</v>
      </c>
      <c r="Z2" s="185" t="s">
        <v>5</v>
      </c>
      <c r="AA2" s="185" t="s">
        <v>5</v>
      </c>
      <c r="AB2" s="185" t="s">
        <v>5</v>
      </c>
      <c r="AC2" s="185" t="s">
        <v>5</v>
      </c>
      <c r="AD2" s="185" t="s">
        <v>5</v>
      </c>
      <c r="AE2" s="185" t="s">
        <v>3</v>
      </c>
      <c r="AF2" s="185" t="s">
        <v>3</v>
      </c>
      <c r="AG2" s="185" t="s">
        <v>3</v>
      </c>
      <c r="AH2" s="185" t="s">
        <v>3</v>
      </c>
      <c r="AI2" s="185" t="s">
        <v>2</v>
      </c>
      <c r="AJ2" s="185" t="s">
        <v>3</v>
      </c>
      <c r="AK2" s="185" t="s">
        <v>1092</v>
      </c>
      <c r="AL2" s="185" t="s">
        <v>1092</v>
      </c>
      <c r="AM2" s="185" t="s">
        <v>1093</v>
      </c>
      <c r="AN2" s="185" t="s">
        <v>2</v>
      </c>
      <c r="AO2" s="185" t="s">
        <v>2</v>
      </c>
      <c r="AP2" s="185" t="s">
        <v>5</v>
      </c>
      <c r="AQ2" s="185" t="s">
        <v>1</v>
      </c>
      <c r="AR2" s="185" t="s">
        <v>3</v>
      </c>
      <c r="AS2" s="185" t="s">
        <v>3</v>
      </c>
      <c r="AT2" s="185" t="s">
        <v>1092</v>
      </c>
      <c r="AU2" s="185" t="s">
        <v>2</v>
      </c>
      <c r="AV2" s="185" t="s">
        <v>2</v>
      </c>
      <c r="AW2" s="185" t="s">
        <v>3</v>
      </c>
      <c r="AX2" s="185" t="s">
        <v>1092</v>
      </c>
      <c r="AY2" s="185" t="s">
        <v>1092</v>
      </c>
      <c r="AZ2" s="185" t="s">
        <v>1093</v>
      </c>
      <c r="BA2" s="185" t="s">
        <v>1</v>
      </c>
      <c r="BB2" s="185" t="s">
        <v>1</v>
      </c>
      <c r="BC2" s="185" t="s">
        <v>1</v>
      </c>
      <c r="BD2" s="185" t="s">
        <v>1</v>
      </c>
      <c r="BE2" s="185" t="s">
        <v>2</v>
      </c>
      <c r="BF2" s="185" t="s">
        <v>2</v>
      </c>
      <c r="BG2" s="185" t="s">
        <v>3</v>
      </c>
      <c r="BH2" s="185" t="s">
        <v>2</v>
      </c>
      <c r="BI2" s="185" t="s">
        <v>5</v>
      </c>
      <c r="BJ2" s="185" t="s">
        <v>5</v>
      </c>
      <c r="BK2" s="185" t="s">
        <v>5</v>
      </c>
      <c r="BL2" s="185" t="s">
        <v>3</v>
      </c>
      <c r="BM2" s="185" t="s">
        <v>1</v>
      </c>
      <c r="BN2" s="185" t="s">
        <v>3</v>
      </c>
      <c r="BO2" s="185" t="s">
        <v>5</v>
      </c>
      <c r="BP2" s="185" t="s">
        <v>3</v>
      </c>
      <c r="BQ2" s="185" t="s">
        <v>2</v>
      </c>
      <c r="BR2" s="185" t="s">
        <v>1</v>
      </c>
      <c r="BS2" s="185" t="s">
        <v>1</v>
      </c>
      <c r="BT2" s="185" t="s">
        <v>3</v>
      </c>
      <c r="BU2" s="185" t="s">
        <v>2</v>
      </c>
      <c r="BV2" s="185" t="s">
        <v>3</v>
      </c>
      <c r="BW2" s="185" t="s">
        <v>2</v>
      </c>
      <c r="BX2" s="185" t="s">
        <v>2</v>
      </c>
      <c r="BY2" s="185" t="s">
        <v>1</v>
      </c>
      <c r="BZ2" s="185" t="s">
        <v>2</v>
      </c>
      <c r="CA2" s="185" t="s">
        <v>3</v>
      </c>
      <c r="CB2" s="185" t="s">
        <v>1</v>
      </c>
      <c r="CC2" s="185" t="s">
        <v>3</v>
      </c>
      <c r="CD2" s="185" t="s">
        <v>3</v>
      </c>
      <c r="CE2" s="185" t="s">
        <v>3</v>
      </c>
      <c r="CF2" s="185" t="s">
        <v>3</v>
      </c>
      <c r="CG2" s="185" t="s">
        <v>1092</v>
      </c>
      <c r="CH2" s="185" t="s">
        <v>2</v>
      </c>
      <c r="CI2" s="185" t="s">
        <v>3</v>
      </c>
      <c r="CJ2" s="185" t="s">
        <v>1092</v>
      </c>
      <c r="CK2" s="185" t="s">
        <v>3</v>
      </c>
      <c r="CL2" s="185" t="s">
        <v>2</v>
      </c>
      <c r="CM2" s="185" t="s">
        <v>1092</v>
      </c>
      <c r="CN2" s="185" t="s">
        <v>2</v>
      </c>
      <c r="CO2" s="185" t="s">
        <v>1</v>
      </c>
      <c r="CP2" s="185" t="s">
        <v>3</v>
      </c>
      <c r="CQ2" s="185" t="s">
        <v>5</v>
      </c>
      <c r="CR2" s="185" t="s">
        <v>3</v>
      </c>
      <c r="CS2" s="185" t="s">
        <v>3</v>
      </c>
      <c r="CT2" s="185" t="s">
        <v>2</v>
      </c>
      <c r="CU2" s="185" t="s">
        <v>1</v>
      </c>
      <c r="CV2" s="185" t="s">
        <v>3</v>
      </c>
      <c r="CW2" s="185" t="s">
        <v>1092</v>
      </c>
      <c r="CX2" s="186"/>
      <c r="CY2" s="185">
        <v>20151578010</v>
      </c>
    </row>
    <row r="3" spans="1:104" ht="15.75" customHeight="1" x14ac:dyDescent="0.2">
      <c r="A3" s="184">
        <v>42873.396528159719</v>
      </c>
      <c r="B3" s="185" t="s">
        <v>2236</v>
      </c>
      <c r="C3" s="185" t="s">
        <v>2237</v>
      </c>
      <c r="D3" s="185">
        <v>1</v>
      </c>
      <c r="E3" s="185" t="s">
        <v>1092</v>
      </c>
      <c r="F3" s="185" t="s">
        <v>1092</v>
      </c>
      <c r="G3" s="185" t="s">
        <v>1092</v>
      </c>
      <c r="H3" s="185" t="s">
        <v>2</v>
      </c>
      <c r="I3" s="185" t="s">
        <v>2</v>
      </c>
      <c r="J3" s="185" t="s">
        <v>3</v>
      </c>
      <c r="K3" s="185" t="s">
        <v>1092</v>
      </c>
      <c r="L3" s="185" t="s">
        <v>1092</v>
      </c>
      <c r="M3" s="185" t="s">
        <v>1092</v>
      </c>
      <c r="N3" s="185" t="s">
        <v>3</v>
      </c>
      <c r="O3" s="185" t="s">
        <v>2</v>
      </c>
      <c r="P3" s="185" t="s">
        <v>2</v>
      </c>
      <c r="Q3" s="185" t="s">
        <v>3</v>
      </c>
      <c r="R3" s="185" t="s">
        <v>3</v>
      </c>
      <c r="S3" s="185" t="s">
        <v>3</v>
      </c>
      <c r="T3" s="185" t="s">
        <v>3</v>
      </c>
      <c r="U3" s="185" t="s">
        <v>3</v>
      </c>
      <c r="V3" s="185" t="s">
        <v>1092</v>
      </c>
      <c r="W3" s="185" t="s">
        <v>1092</v>
      </c>
      <c r="X3" s="185" t="s">
        <v>1092</v>
      </c>
      <c r="Y3" s="185" t="s">
        <v>1092</v>
      </c>
      <c r="Z3" s="185" t="s">
        <v>1092</v>
      </c>
      <c r="AA3" s="185" t="s">
        <v>1092</v>
      </c>
      <c r="AB3" s="185" t="s">
        <v>3</v>
      </c>
      <c r="AC3" s="185" t="s">
        <v>3</v>
      </c>
      <c r="AD3" s="185" t="s">
        <v>1092</v>
      </c>
      <c r="AE3" s="185" t="s">
        <v>3</v>
      </c>
      <c r="AF3" s="185" t="s">
        <v>1092</v>
      </c>
      <c r="AG3" s="185" t="s">
        <v>3</v>
      </c>
      <c r="AH3" s="185" t="s">
        <v>3</v>
      </c>
      <c r="AI3" s="185" t="s">
        <v>3</v>
      </c>
      <c r="AJ3" s="185" t="s">
        <v>3</v>
      </c>
      <c r="AK3" s="185" t="s">
        <v>1092</v>
      </c>
      <c r="AL3" s="185" t="s">
        <v>3</v>
      </c>
      <c r="AM3" s="185" t="s">
        <v>3</v>
      </c>
      <c r="AN3" s="185" t="s">
        <v>1092</v>
      </c>
      <c r="AO3" s="185" t="s">
        <v>3</v>
      </c>
      <c r="AP3" s="185" t="s">
        <v>1092</v>
      </c>
      <c r="AQ3" s="185" t="s">
        <v>1092</v>
      </c>
      <c r="AR3" s="185" t="s">
        <v>1092</v>
      </c>
      <c r="AS3" s="185" t="s">
        <v>1092</v>
      </c>
      <c r="AT3" s="185" t="s">
        <v>3</v>
      </c>
      <c r="AU3" s="185" t="s">
        <v>2</v>
      </c>
      <c r="AV3" s="185" t="s">
        <v>3</v>
      </c>
      <c r="AW3" s="185" t="s">
        <v>3</v>
      </c>
      <c r="AX3" s="185" t="s">
        <v>3</v>
      </c>
      <c r="AY3" s="185" t="s">
        <v>3</v>
      </c>
      <c r="AZ3" s="185" t="s">
        <v>3</v>
      </c>
      <c r="BA3" s="185" t="s">
        <v>3</v>
      </c>
      <c r="BB3" s="185" t="s">
        <v>3</v>
      </c>
      <c r="BC3" s="185" t="s">
        <v>2</v>
      </c>
      <c r="BD3" s="185" t="s">
        <v>2</v>
      </c>
      <c r="BE3" s="185" t="s">
        <v>1092</v>
      </c>
      <c r="BF3" s="185" t="s">
        <v>3</v>
      </c>
      <c r="BG3" s="185" t="s">
        <v>3</v>
      </c>
      <c r="BH3" s="185" t="s">
        <v>3</v>
      </c>
      <c r="BI3" s="185" t="s">
        <v>3</v>
      </c>
      <c r="BJ3" s="185" t="s">
        <v>3</v>
      </c>
      <c r="BK3" s="185" t="s">
        <v>3</v>
      </c>
      <c r="BL3" s="185" t="s">
        <v>1092</v>
      </c>
      <c r="BM3" s="185" t="s">
        <v>3</v>
      </c>
      <c r="BN3" s="185" t="s">
        <v>3</v>
      </c>
      <c r="BO3" s="185" t="s">
        <v>3</v>
      </c>
      <c r="BP3" s="185" t="s">
        <v>3</v>
      </c>
      <c r="BQ3" s="185" t="s">
        <v>3</v>
      </c>
      <c r="BR3" s="185" t="s">
        <v>3</v>
      </c>
      <c r="BS3" s="185" t="s">
        <v>3</v>
      </c>
      <c r="BT3" s="185" t="s">
        <v>3</v>
      </c>
      <c r="BU3" s="185" t="s">
        <v>3</v>
      </c>
      <c r="BV3" s="185" t="s">
        <v>3</v>
      </c>
      <c r="BW3" s="185" t="s">
        <v>3</v>
      </c>
      <c r="BX3" s="185" t="s">
        <v>1092</v>
      </c>
      <c r="BY3" s="185" t="s">
        <v>1092</v>
      </c>
      <c r="BZ3" s="185" t="s">
        <v>1093</v>
      </c>
      <c r="CA3" s="185" t="s">
        <v>3</v>
      </c>
      <c r="CB3" s="185" t="s">
        <v>3</v>
      </c>
      <c r="CC3" s="185" t="s">
        <v>3</v>
      </c>
      <c r="CD3" s="185" t="s">
        <v>3</v>
      </c>
      <c r="CE3" s="185" t="s">
        <v>3</v>
      </c>
      <c r="CF3" s="185" t="s">
        <v>3</v>
      </c>
      <c r="CG3" s="185" t="s">
        <v>3</v>
      </c>
      <c r="CH3" s="185" t="s">
        <v>3</v>
      </c>
      <c r="CI3" s="185" t="s">
        <v>3</v>
      </c>
      <c r="CJ3" s="185" t="s">
        <v>3</v>
      </c>
      <c r="CK3" s="185" t="s">
        <v>3</v>
      </c>
      <c r="CL3" s="185" t="s">
        <v>3</v>
      </c>
      <c r="CM3" s="185" t="s">
        <v>3</v>
      </c>
      <c r="CN3" s="185" t="s">
        <v>3</v>
      </c>
      <c r="CO3" s="185" t="s">
        <v>3</v>
      </c>
      <c r="CP3" s="185" t="s">
        <v>3</v>
      </c>
      <c r="CQ3" s="185" t="s">
        <v>3</v>
      </c>
      <c r="CR3" s="185" t="s">
        <v>3</v>
      </c>
      <c r="CS3" s="185" t="s">
        <v>3</v>
      </c>
      <c r="CT3" s="185" t="s">
        <v>3</v>
      </c>
      <c r="CU3" s="185" t="s">
        <v>1092</v>
      </c>
      <c r="CV3" s="185" t="s">
        <v>1092</v>
      </c>
      <c r="CW3" s="185" t="s">
        <v>1092</v>
      </c>
      <c r="CX3" s="186"/>
      <c r="CY3" s="185">
        <v>20171572048</v>
      </c>
    </row>
    <row r="4" spans="1:104" ht="15.75" customHeight="1" x14ac:dyDescent="0.2">
      <c r="A4" s="184">
        <v>42873.396960405094</v>
      </c>
      <c r="B4" s="185" t="s">
        <v>2238</v>
      </c>
      <c r="C4" s="185" t="s">
        <v>2237</v>
      </c>
      <c r="D4" s="185">
        <v>1</v>
      </c>
      <c r="E4" s="185" t="s">
        <v>3</v>
      </c>
      <c r="F4" s="185" t="s">
        <v>1092</v>
      </c>
      <c r="G4" s="185" t="s">
        <v>3</v>
      </c>
      <c r="H4" s="185" t="s">
        <v>3</v>
      </c>
      <c r="I4" s="185" t="s">
        <v>1093</v>
      </c>
      <c r="J4" s="185" t="s">
        <v>1093</v>
      </c>
      <c r="K4" s="185" t="s">
        <v>1092</v>
      </c>
      <c r="L4" s="185" t="s">
        <v>1092</v>
      </c>
      <c r="M4" s="185" t="s">
        <v>1092</v>
      </c>
      <c r="N4" s="185" t="s">
        <v>1092</v>
      </c>
      <c r="O4" s="185" t="s">
        <v>1093</v>
      </c>
      <c r="P4" s="185" t="s">
        <v>1093</v>
      </c>
      <c r="Q4" s="185" t="s">
        <v>1092</v>
      </c>
      <c r="R4" s="185" t="s">
        <v>1092</v>
      </c>
      <c r="S4" s="185" t="s">
        <v>1092</v>
      </c>
      <c r="T4" s="185" t="s">
        <v>3</v>
      </c>
      <c r="U4" s="185" t="s">
        <v>1093</v>
      </c>
      <c r="V4" s="185" t="s">
        <v>1092</v>
      </c>
      <c r="W4" s="185" t="s">
        <v>1092</v>
      </c>
      <c r="X4" s="185" t="s">
        <v>1092</v>
      </c>
      <c r="Y4" s="185" t="s">
        <v>1092</v>
      </c>
      <c r="Z4" s="185" t="s">
        <v>2</v>
      </c>
      <c r="AA4" s="185" t="s">
        <v>1092</v>
      </c>
      <c r="AB4" s="185" t="s">
        <v>1092</v>
      </c>
      <c r="AC4" s="185" t="s">
        <v>1092</v>
      </c>
      <c r="AD4" s="185" t="s">
        <v>1092</v>
      </c>
      <c r="AE4" s="185" t="s">
        <v>1092</v>
      </c>
      <c r="AF4" s="185" t="s">
        <v>1092</v>
      </c>
      <c r="AG4" s="185" t="s">
        <v>1092</v>
      </c>
      <c r="AH4" s="185" t="s">
        <v>1092</v>
      </c>
      <c r="AI4" s="185" t="s">
        <v>1092</v>
      </c>
      <c r="AJ4" s="185" t="s">
        <v>1092</v>
      </c>
      <c r="AK4" s="185" t="s">
        <v>1092</v>
      </c>
      <c r="AL4" s="185" t="s">
        <v>1092</v>
      </c>
      <c r="AM4" s="185" t="s">
        <v>1092</v>
      </c>
      <c r="AN4" s="185" t="s">
        <v>1092</v>
      </c>
      <c r="AO4" s="185" t="s">
        <v>1092</v>
      </c>
      <c r="AP4" s="185" t="s">
        <v>1092</v>
      </c>
      <c r="AQ4" s="185" t="s">
        <v>2</v>
      </c>
      <c r="AR4" s="185" t="s">
        <v>1092</v>
      </c>
      <c r="AS4" s="185" t="s">
        <v>1092</v>
      </c>
      <c r="AT4" s="185" t="s">
        <v>1092</v>
      </c>
      <c r="AU4" s="185" t="s">
        <v>1092</v>
      </c>
      <c r="AV4" s="185" t="s">
        <v>1092</v>
      </c>
      <c r="AW4" s="185" t="s">
        <v>1092</v>
      </c>
      <c r="AX4" s="185" t="s">
        <v>1092</v>
      </c>
      <c r="AY4" s="185" t="s">
        <v>1092</v>
      </c>
      <c r="AZ4" s="185" t="s">
        <v>1092</v>
      </c>
      <c r="BA4" s="185" t="s">
        <v>1093</v>
      </c>
      <c r="BB4" s="185" t="s">
        <v>1093</v>
      </c>
      <c r="BC4" s="185" t="s">
        <v>1092</v>
      </c>
      <c r="BD4" s="185" t="s">
        <v>1093</v>
      </c>
      <c r="BE4" s="185" t="s">
        <v>1092</v>
      </c>
      <c r="BF4" s="185" t="s">
        <v>1092</v>
      </c>
      <c r="BG4" s="185" t="s">
        <v>1092</v>
      </c>
      <c r="BH4" s="185" t="s">
        <v>1092</v>
      </c>
      <c r="BI4" s="185" t="s">
        <v>1092</v>
      </c>
      <c r="BJ4" s="185" t="s">
        <v>1092</v>
      </c>
      <c r="BK4" s="185" t="s">
        <v>1092</v>
      </c>
      <c r="BL4" s="185" t="s">
        <v>1092</v>
      </c>
      <c r="BM4" s="185" t="s">
        <v>1092</v>
      </c>
      <c r="BN4" s="185" t="s">
        <v>1092</v>
      </c>
      <c r="BO4" s="185" t="s">
        <v>1092</v>
      </c>
      <c r="BP4" s="185" t="s">
        <v>1092</v>
      </c>
      <c r="BQ4" s="185" t="s">
        <v>1092</v>
      </c>
      <c r="BR4" s="185" t="s">
        <v>1092</v>
      </c>
      <c r="BS4" s="185" t="s">
        <v>1092</v>
      </c>
      <c r="BT4" s="185" t="s">
        <v>1092</v>
      </c>
      <c r="BU4" s="185" t="s">
        <v>1092</v>
      </c>
      <c r="BV4" s="185" t="s">
        <v>1092</v>
      </c>
      <c r="BW4" s="185" t="s">
        <v>1</v>
      </c>
      <c r="BX4" s="185" t="s">
        <v>1092</v>
      </c>
      <c r="BY4" s="185" t="s">
        <v>1092</v>
      </c>
      <c r="BZ4" s="185" t="s">
        <v>1093</v>
      </c>
      <c r="CA4" s="185" t="s">
        <v>1092</v>
      </c>
      <c r="CB4" s="185" t="s">
        <v>1092</v>
      </c>
      <c r="CC4" s="185" t="s">
        <v>1092</v>
      </c>
      <c r="CD4" s="185" t="s">
        <v>1092</v>
      </c>
      <c r="CE4" s="185" t="s">
        <v>1092</v>
      </c>
      <c r="CF4" s="185" t="s">
        <v>1092</v>
      </c>
      <c r="CG4" s="185" t="s">
        <v>1092</v>
      </c>
      <c r="CH4" s="185" t="s">
        <v>1092</v>
      </c>
      <c r="CI4" s="185" t="s">
        <v>1092</v>
      </c>
      <c r="CJ4" s="185" t="s">
        <v>1092</v>
      </c>
      <c r="CK4" s="185" t="s">
        <v>1092</v>
      </c>
      <c r="CL4" s="185" t="s">
        <v>1092</v>
      </c>
      <c r="CM4" s="185" t="s">
        <v>1092</v>
      </c>
      <c r="CN4" s="185" t="s">
        <v>1093</v>
      </c>
      <c r="CO4" s="185" t="s">
        <v>1092</v>
      </c>
      <c r="CP4" s="185" t="s">
        <v>1092</v>
      </c>
      <c r="CQ4" s="185" t="s">
        <v>1092</v>
      </c>
      <c r="CR4" s="185" t="s">
        <v>1092</v>
      </c>
      <c r="CS4" s="185" t="s">
        <v>1092</v>
      </c>
      <c r="CT4" s="185" t="s">
        <v>1092</v>
      </c>
      <c r="CU4" s="185" t="s">
        <v>1092</v>
      </c>
      <c r="CV4" s="185" t="s">
        <v>1092</v>
      </c>
      <c r="CW4" s="185" t="s">
        <v>1092</v>
      </c>
      <c r="CX4" s="186"/>
      <c r="CY4" s="185">
        <v>20171572035</v>
      </c>
    </row>
    <row r="5" spans="1:104" ht="15.75" customHeight="1" x14ac:dyDescent="0.2">
      <c r="A5" s="184">
        <v>42873.397001874997</v>
      </c>
      <c r="B5" s="185" t="s">
        <v>2239</v>
      </c>
      <c r="C5" s="185" t="s">
        <v>2237</v>
      </c>
      <c r="D5" s="185">
        <v>1</v>
      </c>
      <c r="E5" s="185" t="s">
        <v>2</v>
      </c>
      <c r="F5" s="185" t="s">
        <v>1092</v>
      </c>
      <c r="G5" s="185" t="s">
        <v>3</v>
      </c>
      <c r="H5" s="185" t="s">
        <v>2</v>
      </c>
      <c r="I5" s="185" t="s">
        <v>1</v>
      </c>
      <c r="J5" s="185" t="s">
        <v>1</v>
      </c>
      <c r="K5" s="185" t="s">
        <v>1</v>
      </c>
      <c r="L5" s="185" t="s">
        <v>2</v>
      </c>
      <c r="M5" s="185" t="s">
        <v>2</v>
      </c>
      <c r="N5" s="185" t="s">
        <v>2</v>
      </c>
      <c r="O5" s="185" t="s">
        <v>1</v>
      </c>
      <c r="P5" s="185" t="s">
        <v>1</v>
      </c>
      <c r="Q5" s="185" t="s">
        <v>1</v>
      </c>
      <c r="R5" s="185" t="s">
        <v>2</v>
      </c>
      <c r="S5" s="185" t="s">
        <v>2</v>
      </c>
      <c r="T5" s="185" t="s">
        <v>2</v>
      </c>
      <c r="U5" s="185" t="s">
        <v>2</v>
      </c>
      <c r="V5" s="185" t="s">
        <v>2</v>
      </c>
      <c r="W5" s="185" t="s">
        <v>2</v>
      </c>
      <c r="X5" s="185" t="s">
        <v>1092</v>
      </c>
      <c r="Y5" s="185" t="s">
        <v>3</v>
      </c>
      <c r="Z5" s="185" t="s">
        <v>2</v>
      </c>
      <c r="AA5" s="185" t="s">
        <v>3</v>
      </c>
      <c r="AB5" s="185" t="s">
        <v>2</v>
      </c>
      <c r="AC5" s="185" t="s">
        <v>2</v>
      </c>
      <c r="AD5" s="185" t="s">
        <v>2</v>
      </c>
      <c r="AE5" s="185" t="s">
        <v>2</v>
      </c>
      <c r="AF5" s="185" t="s">
        <v>1</v>
      </c>
      <c r="AG5" s="185" t="s">
        <v>2</v>
      </c>
      <c r="AH5" s="185" t="s">
        <v>3</v>
      </c>
      <c r="AI5" s="185" t="s">
        <v>3</v>
      </c>
      <c r="AJ5" s="185" t="s">
        <v>2</v>
      </c>
      <c r="AK5" s="185" t="s">
        <v>2</v>
      </c>
      <c r="AL5" s="185" t="s">
        <v>3</v>
      </c>
      <c r="AM5" s="185" t="s">
        <v>3</v>
      </c>
      <c r="AN5" s="185" t="s">
        <v>2</v>
      </c>
      <c r="AO5" s="185" t="s">
        <v>2</v>
      </c>
      <c r="AP5" s="185" t="s">
        <v>2</v>
      </c>
      <c r="AQ5" s="185" t="s">
        <v>2</v>
      </c>
      <c r="AR5" s="185" t="s">
        <v>1092</v>
      </c>
      <c r="AS5" s="185" t="s">
        <v>1092</v>
      </c>
      <c r="AT5" s="185" t="s">
        <v>1092</v>
      </c>
      <c r="AU5" s="185" t="s">
        <v>3</v>
      </c>
      <c r="AV5" s="185" t="s">
        <v>2</v>
      </c>
      <c r="AW5" s="185" t="s">
        <v>3</v>
      </c>
      <c r="AX5" s="185" t="s">
        <v>3</v>
      </c>
      <c r="AY5" s="185" t="s">
        <v>2</v>
      </c>
      <c r="AZ5" s="185" t="s">
        <v>3</v>
      </c>
      <c r="BA5" s="185" t="s">
        <v>2</v>
      </c>
      <c r="BB5" s="185" t="s">
        <v>3</v>
      </c>
      <c r="BC5" s="185" t="s">
        <v>2</v>
      </c>
      <c r="BD5" s="185" t="s">
        <v>3</v>
      </c>
      <c r="BE5" s="185" t="s">
        <v>3</v>
      </c>
      <c r="BF5" s="185" t="s">
        <v>2</v>
      </c>
      <c r="BG5" s="185" t="s">
        <v>2</v>
      </c>
      <c r="BH5" s="185" t="s">
        <v>1</v>
      </c>
      <c r="BI5" s="185" t="s">
        <v>1093</v>
      </c>
      <c r="BJ5" s="185" t="s">
        <v>3</v>
      </c>
      <c r="BK5" s="185" t="s">
        <v>3</v>
      </c>
      <c r="BL5" s="185" t="s">
        <v>3</v>
      </c>
      <c r="BM5" s="185" t="s">
        <v>3</v>
      </c>
      <c r="BN5" s="185" t="s">
        <v>3</v>
      </c>
      <c r="BO5" s="185" t="s">
        <v>3</v>
      </c>
      <c r="BP5" s="185" t="s">
        <v>3</v>
      </c>
      <c r="BQ5" s="185" t="s">
        <v>3</v>
      </c>
      <c r="BR5" s="185" t="s">
        <v>3</v>
      </c>
      <c r="BS5" s="185" t="s">
        <v>3</v>
      </c>
      <c r="BT5" s="185" t="s">
        <v>3</v>
      </c>
      <c r="BU5" s="185" t="s">
        <v>3</v>
      </c>
      <c r="BV5" s="185" t="s">
        <v>1092</v>
      </c>
      <c r="BW5" s="185" t="s">
        <v>3</v>
      </c>
      <c r="BX5" s="185" t="s">
        <v>3</v>
      </c>
      <c r="BY5" s="185" t="s">
        <v>3</v>
      </c>
      <c r="BZ5" s="185" t="s">
        <v>1092</v>
      </c>
      <c r="CA5" s="185" t="s">
        <v>1092</v>
      </c>
      <c r="CB5" s="185" t="s">
        <v>1</v>
      </c>
      <c r="CC5" s="185" t="s">
        <v>1092</v>
      </c>
      <c r="CD5" s="185" t="s">
        <v>1</v>
      </c>
      <c r="CE5" s="185" t="s">
        <v>1092</v>
      </c>
      <c r="CF5" s="185" t="s">
        <v>1092</v>
      </c>
      <c r="CG5" s="185" t="s">
        <v>3</v>
      </c>
      <c r="CH5" s="185" t="s">
        <v>2</v>
      </c>
      <c r="CI5" s="185" t="s">
        <v>3</v>
      </c>
      <c r="CJ5" s="185" t="s">
        <v>2</v>
      </c>
      <c r="CK5" s="185" t="s">
        <v>3</v>
      </c>
      <c r="CL5" s="185" t="s">
        <v>2</v>
      </c>
      <c r="CM5" s="185" t="s">
        <v>2</v>
      </c>
      <c r="CN5" s="185" t="s">
        <v>2</v>
      </c>
      <c r="CO5" s="185" t="s">
        <v>2</v>
      </c>
      <c r="CP5" s="185" t="s">
        <v>2</v>
      </c>
      <c r="CQ5" s="185" t="s">
        <v>2</v>
      </c>
      <c r="CR5" s="185" t="s">
        <v>3</v>
      </c>
      <c r="CS5" s="185" t="s">
        <v>2</v>
      </c>
      <c r="CT5" s="185" t="s">
        <v>2</v>
      </c>
      <c r="CU5" s="185" t="s">
        <v>3</v>
      </c>
      <c r="CV5" s="185" t="s">
        <v>3</v>
      </c>
      <c r="CW5" s="185" t="s">
        <v>3</v>
      </c>
      <c r="CX5" s="186"/>
      <c r="CY5" s="185">
        <v>20171572051</v>
      </c>
    </row>
    <row r="6" spans="1:104" ht="15.75" customHeight="1" x14ac:dyDescent="0.2">
      <c r="A6" s="184">
        <v>42873.397319918979</v>
      </c>
      <c r="B6" s="185" t="s">
        <v>2240</v>
      </c>
      <c r="C6" s="185" t="s">
        <v>2237</v>
      </c>
      <c r="D6" s="185">
        <v>1</v>
      </c>
      <c r="E6" s="185" t="s">
        <v>1092</v>
      </c>
      <c r="F6" s="185" t="s">
        <v>1092</v>
      </c>
      <c r="G6" s="185" t="s">
        <v>1092</v>
      </c>
      <c r="H6" s="185" t="s">
        <v>1092</v>
      </c>
      <c r="I6" s="185" t="s">
        <v>1093</v>
      </c>
      <c r="J6" s="185" t="s">
        <v>1092</v>
      </c>
      <c r="K6" s="185" t="s">
        <v>1092</v>
      </c>
      <c r="L6" s="185" t="s">
        <v>3</v>
      </c>
      <c r="M6" s="185" t="s">
        <v>1092</v>
      </c>
      <c r="N6" s="185" t="s">
        <v>1092</v>
      </c>
      <c r="O6" s="185" t="s">
        <v>2</v>
      </c>
      <c r="P6" s="185" t="s">
        <v>1093</v>
      </c>
      <c r="Q6" s="185" t="s">
        <v>1093</v>
      </c>
      <c r="R6" s="185" t="s">
        <v>1092</v>
      </c>
      <c r="S6" s="185" t="s">
        <v>2</v>
      </c>
      <c r="T6" s="185" t="s">
        <v>2</v>
      </c>
      <c r="U6" s="185" t="s">
        <v>2</v>
      </c>
      <c r="V6" s="185" t="s">
        <v>1092</v>
      </c>
      <c r="W6" s="185" t="s">
        <v>1092</v>
      </c>
      <c r="X6" s="185" t="s">
        <v>1092</v>
      </c>
      <c r="Y6" s="185" t="s">
        <v>1092</v>
      </c>
      <c r="Z6" s="185" t="s">
        <v>1092</v>
      </c>
      <c r="AA6" s="185" t="s">
        <v>2</v>
      </c>
      <c r="AB6" s="185" t="s">
        <v>1092</v>
      </c>
      <c r="AC6" s="185" t="s">
        <v>1092</v>
      </c>
      <c r="AD6" s="185" t="s">
        <v>1092</v>
      </c>
      <c r="AE6" s="185" t="s">
        <v>1092</v>
      </c>
      <c r="AF6" s="185" t="s">
        <v>1092</v>
      </c>
      <c r="AG6" s="185" t="s">
        <v>2</v>
      </c>
      <c r="AH6" s="185" t="s">
        <v>1092</v>
      </c>
      <c r="AI6" s="185" t="s">
        <v>1092</v>
      </c>
      <c r="AJ6" s="185" t="s">
        <v>2</v>
      </c>
      <c r="AK6" s="185" t="s">
        <v>1092</v>
      </c>
      <c r="AL6" s="185" t="s">
        <v>1092</v>
      </c>
      <c r="AM6" s="185" t="s">
        <v>1092</v>
      </c>
      <c r="AN6" s="185" t="s">
        <v>1092</v>
      </c>
      <c r="AO6" s="185" t="s">
        <v>1092</v>
      </c>
      <c r="AP6" s="185" t="s">
        <v>1092</v>
      </c>
      <c r="AQ6" s="185" t="s">
        <v>1092</v>
      </c>
      <c r="AR6" s="185" t="s">
        <v>1092</v>
      </c>
      <c r="AS6" s="185" t="s">
        <v>1092</v>
      </c>
      <c r="AT6" s="185" t="s">
        <v>1092</v>
      </c>
      <c r="AU6" s="185" t="s">
        <v>1092</v>
      </c>
      <c r="AV6" s="185" t="s">
        <v>1092</v>
      </c>
      <c r="AW6" s="185" t="s">
        <v>1092</v>
      </c>
      <c r="AX6" s="185" t="s">
        <v>1092</v>
      </c>
      <c r="AY6" s="185" t="s">
        <v>1092</v>
      </c>
      <c r="AZ6" s="185" t="s">
        <v>1092</v>
      </c>
      <c r="BA6" s="185" t="s">
        <v>1092</v>
      </c>
      <c r="BB6" s="185" t="s">
        <v>2</v>
      </c>
      <c r="BC6" s="185" t="s">
        <v>1093</v>
      </c>
      <c r="BD6" s="185" t="s">
        <v>1093</v>
      </c>
      <c r="BE6" s="185" t="s">
        <v>1093</v>
      </c>
      <c r="BF6" s="185" t="s">
        <v>1092</v>
      </c>
      <c r="BG6" s="185" t="s">
        <v>1092</v>
      </c>
      <c r="BH6" s="185" t="s">
        <v>1092</v>
      </c>
      <c r="BI6" s="185" t="s">
        <v>1092</v>
      </c>
      <c r="BJ6" s="185" t="s">
        <v>1092</v>
      </c>
      <c r="BK6" s="185" t="s">
        <v>1092</v>
      </c>
      <c r="BL6" s="185" t="s">
        <v>2</v>
      </c>
      <c r="BM6" s="185" t="s">
        <v>1092</v>
      </c>
      <c r="BN6" s="185" t="s">
        <v>1092</v>
      </c>
      <c r="BO6" s="185" t="s">
        <v>1092</v>
      </c>
      <c r="BP6" s="185" t="s">
        <v>1092</v>
      </c>
      <c r="BQ6" s="185" t="s">
        <v>1092</v>
      </c>
      <c r="BR6" s="185" t="s">
        <v>1092</v>
      </c>
      <c r="BS6" s="185" t="s">
        <v>1092</v>
      </c>
      <c r="BT6" s="185" t="s">
        <v>1092</v>
      </c>
      <c r="BU6" s="185" t="s">
        <v>1092</v>
      </c>
      <c r="BV6" s="185" t="s">
        <v>1092</v>
      </c>
      <c r="BW6" s="185" t="s">
        <v>1092</v>
      </c>
      <c r="BX6" s="185" t="s">
        <v>1092</v>
      </c>
      <c r="BY6" s="185" t="s">
        <v>1092</v>
      </c>
      <c r="BZ6" s="185" t="s">
        <v>1093</v>
      </c>
      <c r="CA6" s="185" t="s">
        <v>1092</v>
      </c>
      <c r="CB6" s="185" t="s">
        <v>2</v>
      </c>
      <c r="CC6" s="185" t="s">
        <v>1092</v>
      </c>
      <c r="CD6" s="185" t="s">
        <v>1092</v>
      </c>
      <c r="CE6" s="185" t="s">
        <v>1092</v>
      </c>
      <c r="CF6" s="185" t="s">
        <v>2</v>
      </c>
      <c r="CG6" s="185" t="s">
        <v>3</v>
      </c>
      <c r="CH6" s="185" t="s">
        <v>2</v>
      </c>
      <c r="CI6" s="185" t="s">
        <v>1092</v>
      </c>
      <c r="CJ6" s="185" t="s">
        <v>1092</v>
      </c>
      <c r="CK6" s="185" t="s">
        <v>1092</v>
      </c>
      <c r="CL6" s="185" t="s">
        <v>2</v>
      </c>
      <c r="CM6" s="185" t="s">
        <v>1093</v>
      </c>
      <c r="CN6" s="185" t="s">
        <v>1093</v>
      </c>
      <c r="CO6" s="185" t="s">
        <v>2</v>
      </c>
      <c r="CP6" s="185" t="s">
        <v>2</v>
      </c>
      <c r="CQ6" s="185" t="s">
        <v>2</v>
      </c>
      <c r="CR6" s="185" t="s">
        <v>2</v>
      </c>
      <c r="CS6" s="185" t="s">
        <v>3</v>
      </c>
      <c r="CT6" s="185" t="s">
        <v>3</v>
      </c>
      <c r="CU6" s="185" t="s">
        <v>1092</v>
      </c>
      <c r="CV6" s="185" t="s">
        <v>1092</v>
      </c>
      <c r="CW6" s="185" t="s">
        <v>1092</v>
      </c>
      <c r="CX6" s="186"/>
      <c r="CY6" s="185">
        <v>20171572049</v>
      </c>
      <c r="CZ6" s="162"/>
    </row>
    <row r="7" spans="1:104" ht="15.75" customHeight="1" x14ac:dyDescent="0.2">
      <c r="A7" s="184">
        <v>42873.397598020834</v>
      </c>
      <c r="B7" s="185" t="s">
        <v>2241</v>
      </c>
      <c r="C7" s="185" t="s">
        <v>2237</v>
      </c>
      <c r="D7" s="185">
        <v>1</v>
      </c>
      <c r="E7" s="185" t="s">
        <v>3</v>
      </c>
      <c r="F7" s="185" t="s">
        <v>3</v>
      </c>
      <c r="G7" s="185" t="s">
        <v>2</v>
      </c>
      <c r="H7" s="185" t="s">
        <v>3</v>
      </c>
      <c r="I7" s="185" t="s">
        <v>1</v>
      </c>
      <c r="J7" s="185" t="s">
        <v>2</v>
      </c>
      <c r="K7" s="185" t="s">
        <v>1092</v>
      </c>
      <c r="L7" s="185" t="s">
        <v>2</v>
      </c>
      <c r="M7" s="185" t="s">
        <v>1</v>
      </c>
      <c r="N7" s="185" t="s">
        <v>3</v>
      </c>
      <c r="O7" s="185" t="s">
        <v>1092</v>
      </c>
      <c r="P7" s="185" t="s">
        <v>1093</v>
      </c>
      <c r="Q7" s="185" t="s">
        <v>1092</v>
      </c>
      <c r="R7" s="185" t="s">
        <v>1092</v>
      </c>
      <c r="S7" s="185" t="s">
        <v>2</v>
      </c>
      <c r="T7" s="185" t="s">
        <v>2</v>
      </c>
      <c r="U7" s="185" t="s">
        <v>2</v>
      </c>
      <c r="V7" s="185" t="s">
        <v>3</v>
      </c>
      <c r="W7" s="185" t="s">
        <v>3</v>
      </c>
      <c r="X7" s="185" t="s">
        <v>1092</v>
      </c>
      <c r="Y7" s="185" t="s">
        <v>3</v>
      </c>
      <c r="Z7" s="185" t="s">
        <v>3</v>
      </c>
      <c r="AA7" s="185" t="s">
        <v>1092</v>
      </c>
      <c r="AB7" s="185" t="s">
        <v>3</v>
      </c>
      <c r="AC7" s="185" t="s">
        <v>2</v>
      </c>
      <c r="AD7" s="185" t="s">
        <v>3</v>
      </c>
      <c r="AE7" s="185" t="s">
        <v>5</v>
      </c>
      <c r="AF7" s="185" t="s">
        <v>5</v>
      </c>
      <c r="AG7" s="185" t="s">
        <v>1092</v>
      </c>
      <c r="AH7" s="185" t="s">
        <v>1092</v>
      </c>
      <c r="AI7" s="185" t="s">
        <v>5</v>
      </c>
      <c r="AJ7" s="185" t="s">
        <v>3</v>
      </c>
      <c r="AK7" s="185" t="s">
        <v>2</v>
      </c>
      <c r="AL7" s="185" t="s">
        <v>3</v>
      </c>
      <c r="AM7" s="185" t="s">
        <v>2</v>
      </c>
      <c r="AN7" s="185" t="s">
        <v>1092</v>
      </c>
      <c r="AO7" s="185" t="s">
        <v>3</v>
      </c>
      <c r="AP7" s="185" t="s">
        <v>3</v>
      </c>
      <c r="AQ7" s="185" t="s">
        <v>5</v>
      </c>
      <c r="AR7" s="185" t="s">
        <v>1092</v>
      </c>
      <c r="AS7" s="185" t="s">
        <v>1092</v>
      </c>
      <c r="AT7" s="185" t="s">
        <v>1092</v>
      </c>
      <c r="AU7" s="185" t="s">
        <v>1092</v>
      </c>
      <c r="AV7" s="185" t="s">
        <v>1092</v>
      </c>
      <c r="AW7" s="185" t="s">
        <v>1092</v>
      </c>
      <c r="AX7" s="185" t="s">
        <v>3</v>
      </c>
      <c r="AY7" s="185" t="s">
        <v>3</v>
      </c>
      <c r="AZ7" s="185" t="s">
        <v>5</v>
      </c>
      <c r="BA7" s="185" t="s">
        <v>1093</v>
      </c>
      <c r="BB7" s="185" t="s">
        <v>1093</v>
      </c>
      <c r="BC7" s="185" t="s">
        <v>1093</v>
      </c>
      <c r="BD7" s="185" t="s">
        <v>1093</v>
      </c>
      <c r="BE7" s="185" t="s">
        <v>3</v>
      </c>
      <c r="BF7" s="185" t="s">
        <v>2</v>
      </c>
      <c r="BG7" s="185" t="s">
        <v>2</v>
      </c>
      <c r="BH7" s="185" t="s">
        <v>2</v>
      </c>
      <c r="BI7" s="185" t="s">
        <v>1</v>
      </c>
      <c r="BJ7" s="185" t="s">
        <v>1</v>
      </c>
      <c r="BK7" s="185" t="s">
        <v>1</v>
      </c>
      <c r="BL7" s="185" t="s">
        <v>3</v>
      </c>
      <c r="BM7" s="185" t="s">
        <v>2</v>
      </c>
      <c r="BN7" s="185" t="s">
        <v>2</v>
      </c>
      <c r="BO7" s="185" t="s">
        <v>2</v>
      </c>
      <c r="BP7" s="185" t="s">
        <v>3</v>
      </c>
      <c r="BQ7" s="185" t="s">
        <v>2</v>
      </c>
      <c r="BR7" s="185" t="s">
        <v>3</v>
      </c>
      <c r="BS7" s="185" t="s">
        <v>3</v>
      </c>
      <c r="BT7" s="185" t="s">
        <v>3</v>
      </c>
      <c r="BU7" s="185" t="s">
        <v>3</v>
      </c>
      <c r="BV7" s="185" t="s">
        <v>3</v>
      </c>
      <c r="BW7" s="185" t="s">
        <v>3</v>
      </c>
      <c r="BX7" s="185" t="s">
        <v>3</v>
      </c>
      <c r="BY7" s="185" t="s">
        <v>5</v>
      </c>
      <c r="BZ7" s="185" t="s">
        <v>1093</v>
      </c>
      <c r="CA7" s="185" t="s">
        <v>2</v>
      </c>
      <c r="CB7" s="185" t="s">
        <v>2</v>
      </c>
      <c r="CC7" s="185" t="s">
        <v>2</v>
      </c>
      <c r="CD7" s="185" t="s">
        <v>3</v>
      </c>
      <c r="CE7" s="185" t="s">
        <v>1092</v>
      </c>
      <c r="CF7" s="185" t="s">
        <v>1092</v>
      </c>
      <c r="CG7" s="185" t="s">
        <v>3</v>
      </c>
      <c r="CH7" s="185" t="s">
        <v>2</v>
      </c>
      <c r="CI7" s="185" t="s">
        <v>3</v>
      </c>
      <c r="CJ7" s="185" t="s">
        <v>3</v>
      </c>
      <c r="CK7" s="185" t="s">
        <v>2</v>
      </c>
      <c r="CL7" s="185" t="s">
        <v>1</v>
      </c>
      <c r="CM7" s="185" t="s">
        <v>1</v>
      </c>
      <c r="CN7" s="185" t="s">
        <v>1093</v>
      </c>
      <c r="CO7" s="185" t="s">
        <v>5</v>
      </c>
      <c r="CP7" s="185" t="s">
        <v>2</v>
      </c>
      <c r="CQ7" s="185" t="s">
        <v>2</v>
      </c>
      <c r="CR7" s="185" t="s">
        <v>2</v>
      </c>
      <c r="CS7" s="185" t="s">
        <v>2</v>
      </c>
      <c r="CT7" s="185" t="s">
        <v>2</v>
      </c>
      <c r="CU7" s="185" t="s">
        <v>3</v>
      </c>
      <c r="CV7" s="185" t="s">
        <v>3</v>
      </c>
      <c r="CW7" s="185" t="s">
        <v>3</v>
      </c>
      <c r="CX7" s="186"/>
      <c r="CY7" s="185">
        <v>20171572047</v>
      </c>
    </row>
    <row r="8" spans="1:104" ht="15.75" customHeight="1" x14ac:dyDescent="0.2">
      <c r="A8" s="184">
        <v>42873.398172858797</v>
      </c>
      <c r="B8" s="185" t="s">
        <v>2242</v>
      </c>
      <c r="C8" s="185" t="s">
        <v>2237</v>
      </c>
      <c r="D8" s="185">
        <v>1</v>
      </c>
      <c r="E8" s="185" t="s">
        <v>3</v>
      </c>
      <c r="F8" s="185" t="s">
        <v>1092</v>
      </c>
      <c r="G8" s="185" t="s">
        <v>1092</v>
      </c>
      <c r="H8" s="185" t="s">
        <v>1092</v>
      </c>
      <c r="I8" s="185" t="s">
        <v>2</v>
      </c>
      <c r="J8" s="185" t="s">
        <v>3</v>
      </c>
      <c r="K8" s="185" t="s">
        <v>2</v>
      </c>
      <c r="L8" s="185" t="s">
        <v>2</v>
      </c>
      <c r="M8" s="185" t="s">
        <v>3</v>
      </c>
      <c r="N8" s="185" t="s">
        <v>1092</v>
      </c>
      <c r="O8" s="185" t="s">
        <v>1</v>
      </c>
      <c r="P8" s="185" t="s">
        <v>2</v>
      </c>
      <c r="Q8" s="185" t="s">
        <v>2</v>
      </c>
      <c r="R8" s="185" t="s">
        <v>3</v>
      </c>
      <c r="S8" s="185" t="s">
        <v>2</v>
      </c>
      <c r="T8" s="185" t="s">
        <v>2</v>
      </c>
      <c r="U8" s="185" t="s">
        <v>3</v>
      </c>
      <c r="V8" s="185" t="s">
        <v>1092</v>
      </c>
      <c r="W8" s="185" t="s">
        <v>1092</v>
      </c>
      <c r="X8" s="185" t="s">
        <v>1092</v>
      </c>
      <c r="Y8" s="185" t="s">
        <v>1092</v>
      </c>
      <c r="Z8" s="185" t="s">
        <v>1092</v>
      </c>
      <c r="AA8" s="185" t="s">
        <v>3</v>
      </c>
      <c r="AB8" s="185" t="s">
        <v>1092</v>
      </c>
      <c r="AC8" s="185" t="s">
        <v>1092</v>
      </c>
      <c r="AD8" s="185" t="s">
        <v>3</v>
      </c>
      <c r="AE8" s="185" t="s">
        <v>2</v>
      </c>
      <c r="AF8" s="185" t="s">
        <v>1092</v>
      </c>
      <c r="AG8" s="185" t="s">
        <v>1</v>
      </c>
      <c r="AH8" s="185" t="s">
        <v>3</v>
      </c>
      <c r="AI8" s="185" t="s">
        <v>3</v>
      </c>
      <c r="AJ8" s="185" t="s">
        <v>2</v>
      </c>
      <c r="AK8" s="185" t="s">
        <v>1092</v>
      </c>
      <c r="AL8" s="185" t="s">
        <v>3</v>
      </c>
      <c r="AM8" s="185" t="s">
        <v>3</v>
      </c>
      <c r="AN8" s="185" t="s">
        <v>3</v>
      </c>
      <c r="AO8" s="185" t="s">
        <v>3</v>
      </c>
      <c r="AP8" s="185" t="s">
        <v>3</v>
      </c>
      <c r="AQ8" s="185" t="s">
        <v>1092</v>
      </c>
      <c r="AR8" s="185" t="s">
        <v>1092</v>
      </c>
      <c r="AS8" s="185" t="s">
        <v>1092</v>
      </c>
      <c r="AT8" s="185" t="s">
        <v>1092</v>
      </c>
      <c r="AU8" s="185" t="s">
        <v>2</v>
      </c>
      <c r="AV8" s="185" t="s">
        <v>2</v>
      </c>
      <c r="AW8" s="185" t="s">
        <v>2</v>
      </c>
      <c r="AX8" s="185" t="s">
        <v>3</v>
      </c>
      <c r="AY8" s="185" t="s">
        <v>3</v>
      </c>
      <c r="AZ8" s="185" t="s">
        <v>2</v>
      </c>
      <c r="BA8" s="185" t="s">
        <v>3</v>
      </c>
      <c r="BB8" s="185" t="s">
        <v>3</v>
      </c>
      <c r="BC8" s="185" t="s">
        <v>3</v>
      </c>
      <c r="BD8" s="185" t="s">
        <v>3</v>
      </c>
      <c r="BE8" s="185" t="s">
        <v>3</v>
      </c>
      <c r="BF8" s="185" t="s">
        <v>2</v>
      </c>
      <c r="BG8" s="185" t="s">
        <v>3</v>
      </c>
      <c r="BH8" s="185" t="s">
        <v>3</v>
      </c>
      <c r="BI8" s="185" t="s">
        <v>3</v>
      </c>
      <c r="BJ8" s="185" t="s">
        <v>3</v>
      </c>
      <c r="BK8" s="185" t="s">
        <v>3</v>
      </c>
      <c r="BL8" s="185" t="s">
        <v>1092</v>
      </c>
      <c r="BM8" s="185" t="s">
        <v>1092</v>
      </c>
      <c r="BN8" s="185" t="s">
        <v>1092</v>
      </c>
      <c r="BO8" s="185" t="s">
        <v>1092</v>
      </c>
      <c r="BP8" s="185" t="s">
        <v>1092</v>
      </c>
      <c r="BQ8" s="185" t="s">
        <v>3</v>
      </c>
      <c r="BR8" s="185" t="s">
        <v>3</v>
      </c>
      <c r="BS8" s="185" t="s">
        <v>3</v>
      </c>
      <c r="BT8" s="185" t="s">
        <v>2</v>
      </c>
      <c r="BU8" s="185" t="s">
        <v>2</v>
      </c>
      <c r="BV8" s="185" t="s">
        <v>2</v>
      </c>
      <c r="BW8" s="185" t="s">
        <v>1092</v>
      </c>
      <c r="BX8" s="185" t="s">
        <v>3</v>
      </c>
      <c r="BY8" s="185" t="s">
        <v>3</v>
      </c>
      <c r="BZ8" s="185" t="s">
        <v>1</v>
      </c>
      <c r="CA8" s="185" t="s">
        <v>3</v>
      </c>
      <c r="CB8" s="185" t="s">
        <v>3</v>
      </c>
      <c r="CC8" s="185" t="s">
        <v>3</v>
      </c>
      <c r="CD8" s="185" t="s">
        <v>2</v>
      </c>
      <c r="CE8" s="185" t="s">
        <v>1092</v>
      </c>
      <c r="CF8" s="185" t="s">
        <v>3</v>
      </c>
      <c r="CG8" s="185" t="s">
        <v>3</v>
      </c>
      <c r="CH8" s="185" t="s">
        <v>3</v>
      </c>
      <c r="CI8" s="185" t="s">
        <v>2</v>
      </c>
      <c r="CJ8" s="185" t="s">
        <v>3</v>
      </c>
      <c r="CK8" s="185" t="s">
        <v>3</v>
      </c>
      <c r="CL8" s="185" t="s">
        <v>2</v>
      </c>
      <c r="CM8" s="185" t="s">
        <v>2</v>
      </c>
      <c r="CN8" s="185" t="s">
        <v>2</v>
      </c>
      <c r="CO8" s="185" t="s">
        <v>3</v>
      </c>
      <c r="CP8" s="185" t="s">
        <v>3</v>
      </c>
      <c r="CQ8" s="185" t="s">
        <v>3</v>
      </c>
      <c r="CR8" s="185" t="s">
        <v>3</v>
      </c>
      <c r="CS8" s="185" t="s">
        <v>2</v>
      </c>
      <c r="CT8" s="185" t="s">
        <v>2</v>
      </c>
      <c r="CU8" s="185" t="s">
        <v>3</v>
      </c>
      <c r="CV8" s="185" t="s">
        <v>3</v>
      </c>
      <c r="CW8" s="185" t="s">
        <v>3</v>
      </c>
      <c r="CX8" s="186"/>
      <c r="CY8" s="185">
        <v>20171572066</v>
      </c>
    </row>
    <row r="9" spans="1:104" ht="15.75" customHeight="1" x14ac:dyDescent="0.2">
      <c r="A9" s="184">
        <v>42873.398390347225</v>
      </c>
      <c r="B9" s="185" t="s">
        <v>2243</v>
      </c>
      <c r="C9" s="185" t="s">
        <v>2237</v>
      </c>
      <c r="D9" s="185">
        <v>1</v>
      </c>
      <c r="E9" s="185" t="s">
        <v>3</v>
      </c>
      <c r="F9" s="185" t="s">
        <v>3</v>
      </c>
      <c r="G9" s="185" t="s">
        <v>1092</v>
      </c>
      <c r="H9" s="185" t="s">
        <v>2</v>
      </c>
      <c r="I9" s="185" t="s">
        <v>1</v>
      </c>
      <c r="J9" s="185" t="s">
        <v>2</v>
      </c>
      <c r="K9" s="185" t="s">
        <v>3</v>
      </c>
      <c r="L9" s="185" t="s">
        <v>2</v>
      </c>
      <c r="M9" s="185" t="s">
        <v>3</v>
      </c>
      <c r="N9" s="185" t="s">
        <v>3</v>
      </c>
      <c r="O9" s="185" t="s">
        <v>2</v>
      </c>
      <c r="P9" s="185" t="s">
        <v>1</v>
      </c>
      <c r="Q9" s="185" t="s">
        <v>3</v>
      </c>
      <c r="R9" s="185" t="s">
        <v>2</v>
      </c>
      <c r="S9" s="185" t="s">
        <v>2</v>
      </c>
      <c r="T9" s="185" t="s">
        <v>1</v>
      </c>
      <c r="U9" s="185" t="s">
        <v>1</v>
      </c>
      <c r="V9" s="185" t="s">
        <v>3</v>
      </c>
      <c r="W9" s="185" t="s">
        <v>3</v>
      </c>
      <c r="X9" s="185" t="s">
        <v>3</v>
      </c>
      <c r="Y9" s="185" t="s">
        <v>3</v>
      </c>
      <c r="Z9" s="185" t="s">
        <v>3</v>
      </c>
      <c r="AA9" s="185" t="s">
        <v>2</v>
      </c>
      <c r="AB9" s="185" t="s">
        <v>3</v>
      </c>
      <c r="AC9" s="185" t="s">
        <v>3</v>
      </c>
      <c r="AD9" s="185" t="s">
        <v>3</v>
      </c>
      <c r="AE9" s="185" t="s">
        <v>3</v>
      </c>
      <c r="AF9" s="185" t="s">
        <v>3</v>
      </c>
      <c r="AG9" s="185" t="s">
        <v>1</v>
      </c>
      <c r="AH9" s="185" t="s">
        <v>5</v>
      </c>
      <c r="AI9" s="185" t="s">
        <v>1</v>
      </c>
      <c r="AJ9" s="185" t="s">
        <v>3</v>
      </c>
      <c r="AK9" s="185" t="s">
        <v>2</v>
      </c>
      <c r="AL9" s="185" t="s">
        <v>2</v>
      </c>
      <c r="AM9" s="185" t="s">
        <v>2</v>
      </c>
      <c r="AN9" s="185" t="s">
        <v>2</v>
      </c>
      <c r="AO9" s="185" t="s">
        <v>2</v>
      </c>
      <c r="AP9" s="185" t="s">
        <v>3</v>
      </c>
      <c r="AQ9" s="185" t="s">
        <v>3</v>
      </c>
      <c r="AR9" s="185" t="s">
        <v>3</v>
      </c>
      <c r="AS9" s="185" t="s">
        <v>3</v>
      </c>
      <c r="AT9" s="185" t="s">
        <v>1092</v>
      </c>
      <c r="AU9" s="185" t="s">
        <v>3</v>
      </c>
      <c r="AV9" s="185" t="s">
        <v>3</v>
      </c>
      <c r="AW9" s="185" t="s">
        <v>3</v>
      </c>
      <c r="AX9" s="185" t="s">
        <v>3</v>
      </c>
      <c r="AY9" s="185" t="s">
        <v>2</v>
      </c>
      <c r="AZ9" s="185" t="s">
        <v>3</v>
      </c>
      <c r="BA9" s="185" t="s">
        <v>3</v>
      </c>
      <c r="BB9" s="185" t="s">
        <v>5</v>
      </c>
      <c r="BC9" s="185" t="s">
        <v>2</v>
      </c>
      <c r="BD9" s="185" t="s">
        <v>1093</v>
      </c>
      <c r="BE9" s="185" t="s">
        <v>3</v>
      </c>
      <c r="BF9" s="185" t="s">
        <v>2</v>
      </c>
      <c r="BG9" s="185" t="s">
        <v>3</v>
      </c>
      <c r="BH9" s="185" t="s">
        <v>2</v>
      </c>
      <c r="BI9" s="185" t="s">
        <v>1</v>
      </c>
      <c r="BJ9" s="185" t="s">
        <v>2</v>
      </c>
      <c r="BK9" s="185" t="s">
        <v>2</v>
      </c>
      <c r="BL9" s="185" t="s">
        <v>2</v>
      </c>
      <c r="BM9" s="185" t="s">
        <v>3</v>
      </c>
      <c r="BN9" s="185" t="s">
        <v>3</v>
      </c>
      <c r="BO9" s="185" t="s">
        <v>2</v>
      </c>
      <c r="BP9" s="185" t="s">
        <v>2</v>
      </c>
      <c r="BQ9" s="185" t="s">
        <v>2</v>
      </c>
      <c r="BR9" s="185" t="s">
        <v>3</v>
      </c>
      <c r="BS9" s="185" t="s">
        <v>2</v>
      </c>
      <c r="BT9" s="185" t="s">
        <v>1</v>
      </c>
      <c r="BU9" s="185" t="s">
        <v>2</v>
      </c>
      <c r="BV9" s="185" t="s">
        <v>2</v>
      </c>
      <c r="BW9" s="185" t="s">
        <v>2</v>
      </c>
      <c r="BX9" s="185" t="s">
        <v>3</v>
      </c>
      <c r="BY9" s="185" t="s">
        <v>2</v>
      </c>
      <c r="BZ9" s="185" t="s">
        <v>3</v>
      </c>
      <c r="CA9" s="185" t="s">
        <v>2</v>
      </c>
      <c r="CB9" s="185" t="s">
        <v>2</v>
      </c>
      <c r="CC9" s="185" t="s">
        <v>2</v>
      </c>
      <c r="CD9" s="185" t="s">
        <v>3</v>
      </c>
      <c r="CE9" s="185" t="s">
        <v>2</v>
      </c>
      <c r="CF9" s="185" t="s">
        <v>3</v>
      </c>
      <c r="CG9" s="185" t="s">
        <v>3</v>
      </c>
      <c r="CH9" s="185" t="s">
        <v>3</v>
      </c>
      <c r="CI9" s="185" t="s">
        <v>3</v>
      </c>
      <c r="CJ9" s="185" t="s">
        <v>3</v>
      </c>
      <c r="CK9" s="185" t="s">
        <v>3</v>
      </c>
      <c r="CL9" s="185" t="s">
        <v>3</v>
      </c>
      <c r="CM9" s="185" t="s">
        <v>2</v>
      </c>
      <c r="CN9" s="185" t="s">
        <v>3</v>
      </c>
      <c r="CO9" s="185" t="s">
        <v>2</v>
      </c>
      <c r="CP9" s="185" t="s">
        <v>2</v>
      </c>
      <c r="CQ9" s="185" t="s">
        <v>3</v>
      </c>
      <c r="CR9" s="185" t="s">
        <v>2</v>
      </c>
      <c r="CS9" s="185" t="s">
        <v>3</v>
      </c>
      <c r="CT9" s="185" t="s">
        <v>2</v>
      </c>
      <c r="CU9" s="185" t="s">
        <v>3</v>
      </c>
      <c r="CV9" s="185" t="s">
        <v>2</v>
      </c>
      <c r="CW9" s="185" t="s">
        <v>3</v>
      </c>
      <c r="CX9" s="186"/>
      <c r="CY9" s="185">
        <v>20171572019</v>
      </c>
    </row>
    <row r="10" spans="1:104" ht="15.75" customHeight="1" x14ac:dyDescent="0.2">
      <c r="A10" s="184">
        <v>42873.398577534725</v>
      </c>
      <c r="B10" s="185" t="s">
        <v>2244</v>
      </c>
      <c r="C10" s="185" t="s">
        <v>2237</v>
      </c>
      <c r="D10" s="185">
        <v>1</v>
      </c>
      <c r="E10" s="185" t="s">
        <v>1092</v>
      </c>
      <c r="F10" s="185" t="s">
        <v>1092</v>
      </c>
      <c r="G10" s="185" t="s">
        <v>1092</v>
      </c>
      <c r="H10" s="185" t="s">
        <v>3</v>
      </c>
      <c r="I10" s="185" t="s">
        <v>5</v>
      </c>
      <c r="J10" s="185" t="s">
        <v>5</v>
      </c>
      <c r="K10" s="185" t="s">
        <v>1092</v>
      </c>
      <c r="L10" s="185" t="s">
        <v>1092</v>
      </c>
      <c r="M10" s="185" t="s">
        <v>1092</v>
      </c>
      <c r="N10" s="185" t="s">
        <v>1092</v>
      </c>
      <c r="O10" s="185" t="s">
        <v>3</v>
      </c>
      <c r="P10" s="185" t="s">
        <v>5</v>
      </c>
      <c r="Q10" s="185" t="s">
        <v>1092</v>
      </c>
      <c r="R10" s="185" t="s">
        <v>1092</v>
      </c>
      <c r="S10" s="185" t="s">
        <v>3</v>
      </c>
      <c r="T10" s="185" t="s">
        <v>3</v>
      </c>
      <c r="U10" s="185" t="s">
        <v>1092</v>
      </c>
      <c r="V10" s="185" t="s">
        <v>1092</v>
      </c>
      <c r="W10" s="185" t="s">
        <v>1092</v>
      </c>
      <c r="X10" s="185" t="s">
        <v>1092</v>
      </c>
      <c r="Y10" s="185" t="s">
        <v>1092</v>
      </c>
      <c r="Z10" s="185" t="s">
        <v>1092</v>
      </c>
      <c r="AA10" s="185" t="s">
        <v>1092</v>
      </c>
      <c r="AB10" s="185" t="s">
        <v>5</v>
      </c>
      <c r="AC10" s="185" t="s">
        <v>1092</v>
      </c>
      <c r="AD10" s="185" t="s">
        <v>1092</v>
      </c>
      <c r="AE10" s="185" t="s">
        <v>1092</v>
      </c>
      <c r="AF10" s="185" t="s">
        <v>5</v>
      </c>
      <c r="AG10" s="185" t="s">
        <v>1092</v>
      </c>
      <c r="AH10" s="185" t="s">
        <v>5</v>
      </c>
      <c r="AI10" s="185" t="s">
        <v>3</v>
      </c>
      <c r="AJ10" s="185" t="s">
        <v>5</v>
      </c>
      <c r="AK10" s="185" t="s">
        <v>3</v>
      </c>
      <c r="AL10" s="185" t="s">
        <v>3</v>
      </c>
      <c r="AM10" s="185" t="s">
        <v>1092</v>
      </c>
      <c r="AN10" s="185" t="s">
        <v>1092</v>
      </c>
      <c r="AO10" s="185" t="s">
        <v>3</v>
      </c>
      <c r="AP10" s="185" t="s">
        <v>3</v>
      </c>
      <c r="AQ10" s="185" t="s">
        <v>3</v>
      </c>
      <c r="AR10" s="185" t="s">
        <v>3</v>
      </c>
      <c r="AS10" s="185" t="s">
        <v>1092</v>
      </c>
      <c r="AT10" s="185" t="s">
        <v>1092</v>
      </c>
      <c r="AU10" s="185" t="s">
        <v>1</v>
      </c>
      <c r="AV10" s="185" t="s">
        <v>3</v>
      </c>
      <c r="AW10" s="185" t="s">
        <v>5</v>
      </c>
      <c r="AX10" s="185" t="s">
        <v>1092</v>
      </c>
      <c r="AY10" s="185" t="s">
        <v>1092</v>
      </c>
      <c r="AZ10" s="185" t="s">
        <v>5</v>
      </c>
      <c r="BA10" s="185" t="s">
        <v>3</v>
      </c>
      <c r="BB10" s="185" t="s">
        <v>5</v>
      </c>
      <c r="BC10" s="185" t="s">
        <v>3</v>
      </c>
      <c r="BD10" s="185" t="s">
        <v>1</v>
      </c>
      <c r="BE10" s="185" t="s">
        <v>1092</v>
      </c>
      <c r="BF10" s="185" t="s">
        <v>3</v>
      </c>
      <c r="BG10" s="185" t="s">
        <v>3</v>
      </c>
      <c r="BH10" s="185" t="s">
        <v>3</v>
      </c>
      <c r="BI10" s="185" t="s">
        <v>1</v>
      </c>
      <c r="BJ10" s="185" t="s">
        <v>3</v>
      </c>
      <c r="BK10" s="185" t="s">
        <v>3</v>
      </c>
      <c r="BL10" s="185" t="s">
        <v>1092</v>
      </c>
      <c r="BM10" s="185" t="s">
        <v>1092</v>
      </c>
      <c r="BN10" s="185" t="s">
        <v>1092</v>
      </c>
      <c r="BO10" s="185" t="s">
        <v>1092</v>
      </c>
      <c r="BP10" s="185" t="s">
        <v>1092</v>
      </c>
      <c r="BQ10" s="185" t="s">
        <v>1092</v>
      </c>
      <c r="BR10" s="185" t="s">
        <v>1092</v>
      </c>
      <c r="BS10" s="185" t="s">
        <v>1092</v>
      </c>
      <c r="BT10" s="185" t="s">
        <v>1092</v>
      </c>
      <c r="BU10" s="185" t="s">
        <v>1092</v>
      </c>
      <c r="BV10" s="185" t="s">
        <v>1092</v>
      </c>
      <c r="BW10" s="185" t="s">
        <v>1092</v>
      </c>
      <c r="BX10" s="185" t="s">
        <v>1092</v>
      </c>
      <c r="BY10" s="185" t="s">
        <v>1092</v>
      </c>
      <c r="BZ10" s="185" t="s">
        <v>1092</v>
      </c>
      <c r="CA10" s="185" t="s">
        <v>1092</v>
      </c>
      <c r="CB10" s="185" t="s">
        <v>1092</v>
      </c>
      <c r="CC10" s="185" t="s">
        <v>1092</v>
      </c>
      <c r="CD10" s="185" t="s">
        <v>1092</v>
      </c>
      <c r="CE10" s="185" t="s">
        <v>5</v>
      </c>
      <c r="CF10" s="185" t="s">
        <v>1092</v>
      </c>
      <c r="CG10" s="185" t="s">
        <v>1092</v>
      </c>
      <c r="CH10" s="185" t="s">
        <v>1092</v>
      </c>
      <c r="CI10" s="185" t="s">
        <v>1092</v>
      </c>
      <c r="CJ10" s="185" t="s">
        <v>1092</v>
      </c>
      <c r="CK10" s="185" t="s">
        <v>1092</v>
      </c>
      <c r="CL10" s="185" t="s">
        <v>1092</v>
      </c>
      <c r="CM10" s="185" t="s">
        <v>1092</v>
      </c>
      <c r="CN10" s="185" t="s">
        <v>5</v>
      </c>
      <c r="CO10" s="185" t="s">
        <v>5</v>
      </c>
      <c r="CP10" s="185" t="s">
        <v>5</v>
      </c>
      <c r="CQ10" s="185" t="s">
        <v>5</v>
      </c>
      <c r="CR10" s="185" t="s">
        <v>1092</v>
      </c>
      <c r="CS10" s="185" t="s">
        <v>1092</v>
      </c>
      <c r="CT10" s="185" t="s">
        <v>1092</v>
      </c>
      <c r="CU10" s="185" t="s">
        <v>1092</v>
      </c>
      <c r="CV10" s="185" t="s">
        <v>1092</v>
      </c>
      <c r="CW10" s="185" t="s">
        <v>1092</v>
      </c>
      <c r="CX10" s="186"/>
      <c r="CY10" s="185">
        <v>20171572024</v>
      </c>
    </row>
    <row r="11" spans="1:104" ht="15.75" customHeight="1" x14ac:dyDescent="0.2">
      <c r="A11" s="184">
        <v>42873.39879741898</v>
      </c>
      <c r="B11" s="185" t="s">
        <v>2245</v>
      </c>
      <c r="C11" s="185" t="s">
        <v>2237</v>
      </c>
      <c r="D11" s="185">
        <v>1</v>
      </c>
      <c r="E11" s="185" t="s">
        <v>3</v>
      </c>
      <c r="F11" s="185" t="s">
        <v>1092</v>
      </c>
      <c r="G11" s="185" t="s">
        <v>1092</v>
      </c>
      <c r="H11" s="185" t="s">
        <v>1092</v>
      </c>
      <c r="I11" s="185" t="s">
        <v>1093</v>
      </c>
      <c r="J11" s="185" t="s">
        <v>2</v>
      </c>
      <c r="K11" s="185" t="s">
        <v>3</v>
      </c>
      <c r="L11" s="185" t="s">
        <v>1092</v>
      </c>
      <c r="M11" s="185" t="s">
        <v>1</v>
      </c>
      <c r="N11" s="185" t="s">
        <v>1092</v>
      </c>
      <c r="O11" s="185" t="s">
        <v>1093</v>
      </c>
      <c r="P11" s="185" t="s">
        <v>1</v>
      </c>
      <c r="Q11" s="185" t="s">
        <v>1</v>
      </c>
      <c r="R11" s="185" t="s">
        <v>1092</v>
      </c>
      <c r="S11" s="185" t="s">
        <v>3</v>
      </c>
      <c r="T11" s="185" t="s">
        <v>3</v>
      </c>
      <c r="U11" s="185" t="s">
        <v>3</v>
      </c>
      <c r="V11" s="185" t="s">
        <v>1092</v>
      </c>
      <c r="W11" s="185" t="s">
        <v>3</v>
      </c>
      <c r="X11" s="185" t="s">
        <v>3</v>
      </c>
      <c r="Y11" s="185" t="s">
        <v>1092</v>
      </c>
      <c r="Z11" s="185" t="s">
        <v>3</v>
      </c>
      <c r="AA11" s="185" t="s">
        <v>3</v>
      </c>
      <c r="AB11" s="185" t="s">
        <v>1092</v>
      </c>
      <c r="AC11" s="185" t="s">
        <v>2</v>
      </c>
      <c r="AD11" s="185" t="s">
        <v>5</v>
      </c>
      <c r="AE11" s="185" t="s">
        <v>5</v>
      </c>
      <c r="AF11" s="185" t="s">
        <v>1092</v>
      </c>
      <c r="AG11" s="185" t="s">
        <v>5</v>
      </c>
      <c r="AH11" s="185" t="s">
        <v>1092</v>
      </c>
      <c r="AI11" s="185" t="s">
        <v>1092</v>
      </c>
      <c r="AJ11" s="185" t="s">
        <v>2</v>
      </c>
      <c r="AK11" s="185" t="s">
        <v>1092</v>
      </c>
      <c r="AL11" s="185" t="s">
        <v>2</v>
      </c>
      <c r="AM11" s="185" t="s">
        <v>2</v>
      </c>
      <c r="AN11" s="185" t="s">
        <v>1092</v>
      </c>
      <c r="AO11" s="185" t="s">
        <v>1092</v>
      </c>
      <c r="AP11" s="185" t="s">
        <v>1092</v>
      </c>
      <c r="AQ11" s="185" t="s">
        <v>2</v>
      </c>
      <c r="AR11" s="185" t="s">
        <v>1092</v>
      </c>
      <c r="AS11" s="185" t="s">
        <v>1092</v>
      </c>
      <c r="AT11" s="185" t="s">
        <v>1092</v>
      </c>
      <c r="AU11" s="185" t="s">
        <v>1</v>
      </c>
      <c r="AV11" s="185" t="s">
        <v>2</v>
      </c>
      <c r="AW11" s="185" t="s">
        <v>1092</v>
      </c>
      <c r="AX11" s="185" t="s">
        <v>1092</v>
      </c>
      <c r="AY11" s="185" t="s">
        <v>1</v>
      </c>
      <c r="AZ11" s="185" t="s">
        <v>1092</v>
      </c>
      <c r="BA11" s="185" t="s">
        <v>3</v>
      </c>
      <c r="BB11" s="185" t="s">
        <v>5</v>
      </c>
      <c r="BC11" s="185" t="s">
        <v>5</v>
      </c>
      <c r="BD11" s="185" t="s">
        <v>1093</v>
      </c>
      <c r="BE11" s="185" t="s">
        <v>5</v>
      </c>
      <c r="BF11" s="185" t="s">
        <v>3</v>
      </c>
      <c r="BG11" s="185" t="s">
        <v>3</v>
      </c>
      <c r="BH11" s="185" t="s">
        <v>1092</v>
      </c>
      <c r="BI11" s="185" t="s">
        <v>1092</v>
      </c>
      <c r="BJ11" s="185" t="s">
        <v>1092</v>
      </c>
      <c r="BK11" s="185" t="s">
        <v>1092</v>
      </c>
      <c r="BL11" s="185" t="s">
        <v>1092</v>
      </c>
      <c r="BM11" s="185" t="s">
        <v>1092</v>
      </c>
      <c r="BN11" s="185" t="s">
        <v>1092</v>
      </c>
      <c r="BO11" s="185" t="s">
        <v>1092</v>
      </c>
      <c r="BP11" s="185" t="s">
        <v>1092</v>
      </c>
      <c r="BQ11" s="185" t="s">
        <v>5</v>
      </c>
      <c r="BR11" s="185" t="s">
        <v>1092</v>
      </c>
      <c r="BS11" s="185" t="s">
        <v>3</v>
      </c>
      <c r="BT11" s="185" t="s">
        <v>1</v>
      </c>
      <c r="BU11" s="185" t="s">
        <v>1</v>
      </c>
      <c r="BV11" s="185" t="s">
        <v>1</v>
      </c>
      <c r="BW11" s="185" t="s">
        <v>5</v>
      </c>
      <c r="BX11" s="185" t="s">
        <v>2</v>
      </c>
      <c r="BY11" s="185" t="s">
        <v>5</v>
      </c>
      <c r="BZ11" s="185" t="s">
        <v>1093</v>
      </c>
      <c r="CA11" s="185" t="s">
        <v>1092</v>
      </c>
      <c r="CB11" s="185" t="s">
        <v>5</v>
      </c>
      <c r="CC11" s="185" t="s">
        <v>5</v>
      </c>
      <c r="CD11" s="185" t="s">
        <v>2</v>
      </c>
      <c r="CE11" s="185" t="s">
        <v>1092</v>
      </c>
      <c r="CF11" s="185" t="s">
        <v>3</v>
      </c>
      <c r="CG11" s="185" t="s">
        <v>3</v>
      </c>
      <c r="CH11" s="185" t="s">
        <v>3</v>
      </c>
      <c r="CI11" s="185" t="s">
        <v>3</v>
      </c>
      <c r="CJ11" s="185" t="s">
        <v>3</v>
      </c>
      <c r="CK11" s="185" t="s">
        <v>3</v>
      </c>
      <c r="CL11" s="185" t="s">
        <v>1093</v>
      </c>
      <c r="CM11" s="185" t="s">
        <v>1</v>
      </c>
      <c r="CN11" s="185" t="s">
        <v>5</v>
      </c>
      <c r="CO11" s="185" t="s">
        <v>5</v>
      </c>
      <c r="CP11" s="185" t="s">
        <v>5</v>
      </c>
      <c r="CQ11" s="185" t="s">
        <v>3</v>
      </c>
      <c r="CR11" s="185" t="s">
        <v>5</v>
      </c>
      <c r="CS11" s="185" t="s">
        <v>2</v>
      </c>
      <c r="CT11" s="185" t="s">
        <v>5</v>
      </c>
      <c r="CU11" s="185" t="s">
        <v>2</v>
      </c>
      <c r="CV11" s="185" t="s">
        <v>2</v>
      </c>
      <c r="CW11" s="185" t="s">
        <v>2</v>
      </c>
      <c r="CX11" s="186"/>
      <c r="CY11" s="185">
        <v>20171572034</v>
      </c>
    </row>
    <row r="12" spans="1:104" ht="15.75" customHeight="1" x14ac:dyDescent="0.2">
      <c r="A12" s="184">
        <v>42873.400578090281</v>
      </c>
      <c r="B12" s="185" t="s">
        <v>2246</v>
      </c>
      <c r="C12" s="185" t="s">
        <v>2235</v>
      </c>
      <c r="D12" s="185">
        <v>1</v>
      </c>
      <c r="E12" s="185" t="s">
        <v>1092</v>
      </c>
      <c r="F12" s="185" t="s">
        <v>1092</v>
      </c>
      <c r="G12" s="185" t="s">
        <v>1092</v>
      </c>
      <c r="H12" s="185" t="s">
        <v>1092</v>
      </c>
      <c r="I12" s="185" t="s">
        <v>1093</v>
      </c>
      <c r="J12" s="185" t="s">
        <v>1</v>
      </c>
      <c r="K12" s="185" t="s">
        <v>1092</v>
      </c>
      <c r="L12" s="185" t="s">
        <v>1092</v>
      </c>
      <c r="M12" s="185" t="s">
        <v>1093</v>
      </c>
      <c r="N12" s="185" t="s">
        <v>1092</v>
      </c>
      <c r="O12" s="185" t="s">
        <v>1093</v>
      </c>
      <c r="P12" s="185" t="s">
        <v>1093</v>
      </c>
      <c r="Q12" s="185" t="s">
        <v>1</v>
      </c>
      <c r="R12" s="185" t="s">
        <v>1093</v>
      </c>
      <c r="S12" s="185" t="s">
        <v>2</v>
      </c>
      <c r="T12" s="185" t="s">
        <v>2</v>
      </c>
      <c r="U12" s="185" t="s">
        <v>1093</v>
      </c>
      <c r="V12" s="185" t="s">
        <v>1092</v>
      </c>
      <c r="W12" s="185" t="s">
        <v>1092</v>
      </c>
      <c r="X12" s="185" t="s">
        <v>1092</v>
      </c>
      <c r="Y12" s="185" t="s">
        <v>1092</v>
      </c>
      <c r="Z12" s="185" t="s">
        <v>1092</v>
      </c>
      <c r="AA12" s="185" t="s">
        <v>1092</v>
      </c>
      <c r="AB12" s="185" t="s">
        <v>1092</v>
      </c>
      <c r="AC12" s="185" t="s">
        <v>2</v>
      </c>
      <c r="AD12" s="185" t="s">
        <v>1092</v>
      </c>
      <c r="AE12" s="185" t="s">
        <v>1092</v>
      </c>
      <c r="AF12" s="185" t="s">
        <v>1092</v>
      </c>
      <c r="AG12" s="185" t="s">
        <v>1092</v>
      </c>
      <c r="AH12" s="185" t="s">
        <v>1093</v>
      </c>
      <c r="AI12" s="185" t="s">
        <v>1092</v>
      </c>
      <c r="AJ12" s="185" t="s">
        <v>1092</v>
      </c>
      <c r="AK12" s="185" t="s">
        <v>1092</v>
      </c>
      <c r="AL12" s="185" t="s">
        <v>2</v>
      </c>
      <c r="AM12" s="185" t="s">
        <v>3</v>
      </c>
      <c r="AN12" s="185" t="s">
        <v>1092</v>
      </c>
      <c r="AO12" s="185" t="s">
        <v>1092</v>
      </c>
      <c r="AP12" s="185" t="s">
        <v>5</v>
      </c>
      <c r="AQ12" s="185" t="s">
        <v>1092</v>
      </c>
      <c r="AR12" s="185" t="s">
        <v>1092</v>
      </c>
      <c r="AS12" s="185" t="s">
        <v>1092</v>
      </c>
      <c r="AT12" s="185" t="s">
        <v>1092</v>
      </c>
      <c r="AU12" s="185" t="s">
        <v>1093</v>
      </c>
      <c r="AV12" s="185" t="s">
        <v>2</v>
      </c>
      <c r="AW12" s="185" t="s">
        <v>1092</v>
      </c>
      <c r="AX12" s="185" t="s">
        <v>1092</v>
      </c>
      <c r="AY12" s="185" t="s">
        <v>1092</v>
      </c>
      <c r="AZ12" s="185" t="s">
        <v>1092</v>
      </c>
      <c r="BA12" s="185" t="s">
        <v>1092</v>
      </c>
      <c r="BB12" s="185" t="s">
        <v>5</v>
      </c>
      <c r="BC12" s="185" t="s">
        <v>1092</v>
      </c>
      <c r="BD12" s="185" t="s">
        <v>1093</v>
      </c>
      <c r="BE12" s="185" t="s">
        <v>2</v>
      </c>
      <c r="BF12" s="185" t="s">
        <v>1093</v>
      </c>
      <c r="BG12" s="185" t="s">
        <v>2</v>
      </c>
      <c r="BH12" s="185" t="s">
        <v>3</v>
      </c>
      <c r="BI12" s="185" t="s">
        <v>1093</v>
      </c>
      <c r="BJ12" s="185" t="s">
        <v>3</v>
      </c>
      <c r="BK12" s="185" t="s">
        <v>3</v>
      </c>
      <c r="BL12" s="185" t="s">
        <v>1092</v>
      </c>
      <c r="BM12" s="185" t="s">
        <v>1093</v>
      </c>
      <c r="BN12" s="185" t="s">
        <v>1092</v>
      </c>
      <c r="BO12" s="185" t="s">
        <v>1092</v>
      </c>
      <c r="BP12" s="185" t="s">
        <v>1092</v>
      </c>
      <c r="BQ12" s="185" t="s">
        <v>1092</v>
      </c>
      <c r="BR12" s="185" t="s">
        <v>1092</v>
      </c>
      <c r="BS12" s="185" t="s">
        <v>1092</v>
      </c>
      <c r="BT12" s="185" t="s">
        <v>1092</v>
      </c>
      <c r="BU12" s="185" t="s">
        <v>1092</v>
      </c>
      <c r="BV12" s="185" t="s">
        <v>1092</v>
      </c>
      <c r="BW12" s="185" t="s">
        <v>1092</v>
      </c>
      <c r="BX12" s="185" t="s">
        <v>1092</v>
      </c>
      <c r="BY12" s="185" t="s">
        <v>1092</v>
      </c>
      <c r="BZ12" s="185" t="s">
        <v>1092</v>
      </c>
      <c r="CA12" s="185" t="s">
        <v>1092</v>
      </c>
      <c r="CB12" s="185" t="s">
        <v>1092</v>
      </c>
      <c r="CC12" s="185" t="s">
        <v>1092</v>
      </c>
      <c r="CD12" s="185" t="s">
        <v>1092</v>
      </c>
      <c r="CE12" s="185" t="s">
        <v>1092</v>
      </c>
      <c r="CF12" s="185" t="s">
        <v>1092</v>
      </c>
      <c r="CG12" s="185" t="s">
        <v>1092</v>
      </c>
      <c r="CH12" s="185" t="s">
        <v>1092</v>
      </c>
      <c r="CI12" s="185" t="s">
        <v>1092</v>
      </c>
      <c r="CJ12" s="185" t="s">
        <v>3</v>
      </c>
      <c r="CK12" s="185" t="s">
        <v>3</v>
      </c>
      <c r="CL12" s="185" t="s">
        <v>1092</v>
      </c>
      <c r="CM12" s="185" t="s">
        <v>1092</v>
      </c>
      <c r="CN12" s="185" t="s">
        <v>1092</v>
      </c>
      <c r="CO12" s="185" t="s">
        <v>1092</v>
      </c>
      <c r="CP12" s="185" t="s">
        <v>1092</v>
      </c>
      <c r="CQ12" s="185" t="s">
        <v>1092</v>
      </c>
      <c r="CR12" s="185" t="s">
        <v>1092</v>
      </c>
      <c r="CS12" s="185" t="s">
        <v>1092</v>
      </c>
      <c r="CT12" s="185" t="s">
        <v>1092</v>
      </c>
      <c r="CU12" s="185" t="s">
        <v>2</v>
      </c>
      <c r="CV12" s="185" t="s">
        <v>1093</v>
      </c>
      <c r="CW12" s="185" t="s">
        <v>1093</v>
      </c>
      <c r="CX12" s="186"/>
      <c r="CY12" s="185">
        <v>20171572013</v>
      </c>
      <c r="CZ12" s="162"/>
    </row>
    <row r="13" spans="1:104" ht="15.75" customHeight="1" x14ac:dyDescent="0.2">
      <c r="A13" s="184">
        <v>42873.400930231481</v>
      </c>
      <c r="B13" s="185" t="s">
        <v>2247</v>
      </c>
      <c r="C13" s="185" t="s">
        <v>2237</v>
      </c>
      <c r="D13" s="185">
        <v>1</v>
      </c>
      <c r="E13" s="185" t="s">
        <v>3</v>
      </c>
      <c r="F13" s="185" t="s">
        <v>1092</v>
      </c>
      <c r="G13" s="185" t="s">
        <v>1092</v>
      </c>
      <c r="H13" s="185" t="s">
        <v>1092</v>
      </c>
      <c r="I13" s="185" t="s">
        <v>2</v>
      </c>
      <c r="J13" s="185" t="s">
        <v>2</v>
      </c>
      <c r="K13" s="185" t="s">
        <v>3</v>
      </c>
      <c r="L13" s="185" t="s">
        <v>1092</v>
      </c>
      <c r="M13" s="185" t="s">
        <v>1092</v>
      </c>
      <c r="N13" s="185" t="s">
        <v>1092</v>
      </c>
      <c r="O13" s="185" t="s">
        <v>1092</v>
      </c>
      <c r="P13" s="185" t="s">
        <v>2</v>
      </c>
      <c r="Q13" s="185" t="s">
        <v>2</v>
      </c>
      <c r="R13" s="185" t="s">
        <v>1092</v>
      </c>
      <c r="S13" s="185" t="s">
        <v>3</v>
      </c>
      <c r="T13" s="185" t="s">
        <v>2</v>
      </c>
      <c r="U13" s="185" t="s">
        <v>2</v>
      </c>
      <c r="V13" s="185" t="s">
        <v>3</v>
      </c>
      <c r="W13" s="185" t="s">
        <v>3</v>
      </c>
      <c r="X13" s="185" t="s">
        <v>1092</v>
      </c>
      <c r="Y13" s="185" t="s">
        <v>1092</v>
      </c>
      <c r="Z13" s="185" t="s">
        <v>1092</v>
      </c>
      <c r="AA13" s="185" t="s">
        <v>1092</v>
      </c>
      <c r="AB13" s="185" t="s">
        <v>3</v>
      </c>
      <c r="AC13" s="185" t="s">
        <v>3</v>
      </c>
      <c r="AD13" s="185" t="s">
        <v>3</v>
      </c>
      <c r="AE13" s="185" t="s">
        <v>3</v>
      </c>
      <c r="AF13" s="185" t="s">
        <v>3</v>
      </c>
      <c r="AG13" s="185" t="s">
        <v>1092</v>
      </c>
      <c r="AH13" s="185" t="s">
        <v>3</v>
      </c>
      <c r="AI13" s="185" t="s">
        <v>3</v>
      </c>
      <c r="AJ13" s="185" t="s">
        <v>1092</v>
      </c>
      <c r="AK13" s="185" t="s">
        <v>1092</v>
      </c>
      <c r="AL13" s="185" t="s">
        <v>3</v>
      </c>
      <c r="AM13" s="185" t="s">
        <v>1092</v>
      </c>
      <c r="AN13" s="185" t="s">
        <v>1092</v>
      </c>
      <c r="AO13" s="185" t="s">
        <v>3</v>
      </c>
      <c r="AP13" s="185" t="s">
        <v>1092</v>
      </c>
      <c r="AQ13" s="185" t="s">
        <v>1092</v>
      </c>
      <c r="AR13" s="185" t="s">
        <v>1092</v>
      </c>
      <c r="AS13" s="185" t="s">
        <v>1092</v>
      </c>
      <c r="AT13" s="185" t="s">
        <v>1092</v>
      </c>
      <c r="AU13" s="185" t="s">
        <v>1092</v>
      </c>
      <c r="AV13" s="185" t="s">
        <v>3</v>
      </c>
      <c r="AW13" s="185" t="s">
        <v>3</v>
      </c>
      <c r="AX13" s="185" t="s">
        <v>1092</v>
      </c>
      <c r="AY13" s="185" t="s">
        <v>1092</v>
      </c>
      <c r="AZ13" s="185" t="s">
        <v>3</v>
      </c>
      <c r="BA13" s="185" t="s">
        <v>1092</v>
      </c>
      <c r="BB13" s="185" t="s">
        <v>3</v>
      </c>
      <c r="BC13" s="185" t="s">
        <v>3</v>
      </c>
      <c r="BD13" s="185" t="s">
        <v>3</v>
      </c>
      <c r="BE13" s="185" t="s">
        <v>1092</v>
      </c>
      <c r="BF13" s="185" t="s">
        <v>1092</v>
      </c>
      <c r="BG13" s="185" t="s">
        <v>1092</v>
      </c>
      <c r="BH13" s="185" t="s">
        <v>1092</v>
      </c>
      <c r="BI13" s="185" t="s">
        <v>3</v>
      </c>
      <c r="BJ13" s="185" t="s">
        <v>1092</v>
      </c>
      <c r="BK13" s="185" t="s">
        <v>1092</v>
      </c>
      <c r="BL13" s="185" t="s">
        <v>1092</v>
      </c>
      <c r="BM13" s="185" t="s">
        <v>3</v>
      </c>
      <c r="BN13" s="185" t="s">
        <v>1092</v>
      </c>
      <c r="BO13" s="185" t="s">
        <v>1092</v>
      </c>
      <c r="BP13" s="185" t="s">
        <v>1092</v>
      </c>
      <c r="BQ13" s="185" t="s">
        <v>3</v>
      </c>
      <c r="BR13" s="185" t="s">
        <v>1092</v>
      </c>
      <c r="BS13" s="185" t="s">
        <v>1092</v>
      </c>
      <c r="BT13" s="185" t="s">
        <v>1092</v>
      </c>
      <c r="BU13" s="185" t="s">
        <v>1092</v>
      </c>
      <c r="BV13" s="185" t="s">
        <v>1092</v>
      </c>
      <c r="BW13" s="185" t="s">
        <v>1092</v>
      </c>
      <c r="BX13" s="185" t="s">
        <v>3</v>
      </c>
      <c r="BY13" s="185" t="s">
        <v>3</v>
      </c>
      <c r="BZ13" s="185" t="s">
        <v>1093</v>
      </c>
      <c r="CA13" s="185" t="s">
        <v>3</v>
      </c>
      <c r="CB13" s="185" t="s">
        <v>3</v>
      </c>
      <c r="CC13" s="185" t="s">
        <v>3</v>
      </c>
      <c r="CD13" s="185" t="s">
        <v>3</v>
      </c>
      <c r="CE13" s="185" t="s">
        <v>3</v>
      </c>
      <c r="CF13" s="185" t="s">
        <v>1092</v>
      </c>
      <c r="CG13" s="185" t="s">
        <v>3</v>
      </c>
      <c r="CH13" s="185" t="s">
        <v>1092</v>
      </c>
      <c r="CI13" s="185" t="s">
        <v>1092</v>
      </c>
      <c r="CJ13" s="185" t="s">
        <v>1092</v>
      </c>
      <c r="CK13" s="185" t="s">
        <v>1092</v>
      </c>
      <c r="CL13" s="185" t="s">
        <v>3</v>
      </c>
      <c r="CM13" s="185" t="s">
        <v>3</v>
      </c>
      <c r="CN13" s="185" t="s">
        <v>3</v>
      </c>
      <c r="CO13" s="185" t="s">
        <v>1092</v>
      </c>
      <c r="CP13" s="185" t="s">
        <v>1092</v>
      </c>
      <c r="CQ13" s="185" t="s">
        <v>1092</v>
      </c>
      <c r="CR13" s="185" t="s">
        <v>1092</v>
      </c>
      <c r="CS13" s="185" t="s">
        <v>3</v>
      </c>
      <c r="CT13" s="185" t="s">
        <v>1092</v>
      </c>
      <c r="CU13" s="185" t="s">
        <v>3</v>
      </c>
      <c r="CV13" s="185" t="s">
        <v>2</v>
      </c>
      <c r="CW13" s="185" t="s">
        <v>3</v>
      </c>
      <c r="CX13" s="186"/>
      <c r="CY13" s="185">
        <v>20171572045</v>
      </c>
    </row>
    <row r="14" spans="1:104" ht="15.75" customHeight="1" x14ac:dyDescent="0.2">
      <c r="A14" s="184">
        <v>42873.40102229167</v>
      </c>
      <c r="B14" s="185" t="s">
        <v>2248</v>
      </c>
      <c r="C14" s="185" t="s">
        <v>2237</v>
      </c>
      <c r="D14" s="185">
        <v>1</v>
      </c>
      <c r="E14" s="185" t="s">
        <v>3</v>
      </c>
      <c r="F14" s="185" t="s">
        <v>3</v>
      </c>
      <c r="G14" s="185" t="s">
        <v>2</v>
      </c>
      <c r="H14" s="185" t="s">
        <v>3</v>
      </c>
      <c r="I14" s="185" t="s">
        <v>1</v>
      </c>
      <c r="J14" s="185" t="s">
        <v>1</v>
      </c>
      <c r="K14" s="185" t="s">
        <v>2</v>
      </c>
      <c r="L14" s="185" t="s">
        <v>1</v>
      </c>
      <c r="M14" s="185" t="s">
        <v>2</v>
      </c>
      <c r="N14" s="185" t="s">
        <v>2</v>
      </c>
      <c r="O14" s="185" t="s">
        <v>1</v>
      </c>
      <c r="P14" s="185" t="s">
        <v>3</v>
      </c>
      <c r="Q14" s="185" t="s">
        <v>2</v>
      </c>
      <c r="R14" s="185" t="s">
        <v>2</v>
      </c>
      <c r="S14" s="185" t="s">
        <v>1</v>
      </c>
      <c r="T14" s="185" t="s">
        <v>3</v>
      </c>
      <c r="U14" s="185" t="s">
        <v>2</v>
      </c>
      <c r="V14" s="185" t="s">
        <v>1</v>
      </c>
      <c r="W14" s="185" t="s">
        <v>1</v>
      </c>
      <c r="X14" s="185" t="s">
        <v>2</v>
      </c>
      <c r="Y14" s="185" t="s">
        <v>2</v>
      </c>
      <c r="Z14" s="185" t="s">
        <v>3</v>
      </c>
      <c r="AA14" s="185" t="s">
        <v>2</v>
      </c>
      <c r="AB14" s="185" t="s">
        <v>1</v>
      </c>
      <c r="AC14" s="185" t="s">
        <v>1</v>
      </c>
      <c r="AD14" s="185" t="s">
        <v>1</v>
      </c>
      <c r="AE14" s="185" t="s">
        <v>1</v>
      </c>
      <c r="AF14" s="185" t="s">
        <v>1</v>
      </c>
      <c r="AG14" s="185" t="s">
        <v>1</v>
      </c>
      <c r="AH14" s="185" t="s">
        <v>1</v>
      </c>
      <c r="AI14" s="185" t="s">
        <v>1</v>
      </c>
      <c r="AJ14" s="185" t="s">
        <v>1</v>
      </c>
      <c r="AK14" s="185" t="s">
        <v>1</v>
      </c>
      <c r="AL14" s="185" t="s">
        <v>1092</v>
      </c>
      <c r="AM14" s="185" t="s">
        <v>1</v>
      </c>
      <c r="AN14" s="185" t="s">
        <v>2</v>
      </c>
      <c r="AO14" s="185" t="s">
        <v>2</v>
      </c>
      <c r="AP14" s="185" t="s">
        <v>1</v>
      </c>
      <c r="AQ14" s="185" t="s">
        <v>2</v>
      </c>
      <c r="AR14" s="185" t="s">
        <v>1</v>
      </c>
      <c r="AS14" s="185" t="s">
        <v>2</v>
      </c>
      <c r="AT14" s="185" t="s">
        <v>1</v>
      </c>
      <c r="AU14" s="185" t="s">
        <v>1</v>
      </c>
      <c r="AV14" s="185" t="s">
        <v>2</v>
      </c>
      <c r="AW14" s="185" t="s">
        <v>2</v>
      </c>
      <c r="AX14" s="185" t="s">
        <v>1</v>
      </c>
      <c r="AY14" s="185" t="s">
        <v>2</v>
      </c>
      <c r="AZ14" s="185" t="s">
        <v>1</v>
      </c>
      <c r="BA14" s="185" t="s">
        <v>1</v>
      </c>
      <c r="BB14" s="185" t="s">
        <v>2</v>
      </c>
      <c r="BC14" s="185" t="s">
        <v>3</v>
      </c>
      <c r="BD14" s="185" t="s">
        <v>2</v>
      </c>
      <c r="BE14" s="185" t="s">
        <v>2</v>
      </c>
      <c r="BF14" s="185" t="s">
        <v>3</v>
      </c>
      <c r="BG14" s="185" t="s">
        <v>3</v>
      </c>
      <c r="BH14" s="185" t="s">
        <v>3</v>
      </c>
      <c r="BI14" s="185" t="s">
        <v>3</v>
      </c>
      <c r="BJ14" s="185" t="s">
        <v>1092</v>
      </c>
      <c r="BK14" s="185" t="s">
        <v>3</v>
      </c>
      <c r="BL14" s="185" t="s">
        <v>2</v>
      </c>
      <c r="BM14" s="185" t="s">
        <v>2</v>
      </c>
      <c r="BN14" s="185" t="s">
        <v>3</v>
      </c>
      <c r="BO14" s="185" t="s">
        <v>1</v>
      </c>
      <c r="BP14" s="185" t="s">
        <v>2</v>
      </c>
      <c r="BQ14" s="185" t="s">
        <v>2</v>
      </c>
      <c r="BR14" s="185" t="s">
        <v>2</v>
      </c>
      <c r="BS14" s="185" t="s">
        <v>2</v>
      </c>
      <c r="BT14" s="185" t="s">
        <v>2</v>
      </c>
      <c r="BU14" s="185" t="s">
        <v>2</v>
      </c>
      <c r="BV14" s="185" t="s">
        <v>2</v>
      </c>
      <c r="BW14" s="185" t="s">
        <v>2</v>
      </c>
      <c r="BX14" s="185" t="s">
        <v>2</v>
      </c>
      <c r="BY14" s="185" t="s">
        <v>2</v>
      </c>
      <c r="BZ14" s="185" t="s">
        <v>3</v>
      </c>
      <c r="CA14" s="185" t="s">
        <v>2</v>
      </c>
      <c r="CB14" s="185" t="s">
        <v>2</v>
      </c>
      <c r="CC14" s="185" t="s">
        <v>2</v>
      </c>
      <c r="CD14" s="185" t="s">
        <v>2</v>
      </c>
      <c r="CE14" s="185" t="s">
        <v>2</v>
      </c>
      <c r="CF14" s="185" t="s">
        <v>1</v>
      </c>
      <c r="CG14" s="185" t="s">
        <v>2</v>
      </c>
      <c r="CH14" s="185" t="s">
        <v>2</v>
      </c>
      <c r="CI14" s="185" t="s">
        <v>3</v>
      </c>
      <c r="CJ14" s="185" t="s">
        <v>2</v>
      </c>
      <c r="CK14" s="185" t="s">
        <v>2</v>
      </c>
      <c r="CL14" s="185" t="s">
        <v>2</v>
      </c>
      <c r="CM14" s="185" t="s">
        <v>2</v>
      </c>
      <c r="CN14" s="185" t="s">
        <v>2</v>
      </c>
      <c r="CO14" s="185" t="s">
        <v>2</v>
      </c>
      <c r="CP14" s="185" t="s">
        <v>2</v>
      </c>
      <c r="CQ14" s="185" t="s">
        <v>1</v>
      </c>
      <c r="CR14" s="185" t="s">
        <v>2</v>
      </c>
      <c r="CS14" s="185" t="s">
        <v>3</v>
      </c>
      <c r="CT14" s="185" t="s">
        <v>1</v>
      </c>
      <c r="CU14" s="185" t="s">
        <v>2</v>
      </c>
      <c r="CV14" s="185" t="s">
        <v>2</v>
      </c>
      <c r="CW14" s="185" t="s">
        <v>2</v>
      </c>
      <c r="CX14" s="186"/>
      <c r="CY14" s="185">
        <v>20171572001</v>
      </c>
    </row>
    <row r="15" spans="1:104" ht="15.75" customHeight="1" x14ac:dyDescent="0.2">
      <c r="A15" s="184">
        <v>42873.401414004635</v>
      </c>
      <c r="B15" s="185" t="s">
        <v>2249</v>
      </c>
      <c r="C15" s="185" t="s">
        <v>2237</v>
      </c>
      <c r="D15" s="185">
        <v>1</v>
      </c>
      <c r="E15" s="185" t="s">
        <v>2</v>
      </c>
      <c r="F15" s="185" t="s">
        <v>1092</v>
      </c>
      <c r="G15" s="185" t="s">
        <v>1092</v>
      </c>
      <c r="H15" s="185" t="s">
        <v>1092</v>
      </c>
      <c r="I15" s="185" t="s">
        <v>2</v>
      </c>
      <c r="J15" s="185" t="s">
        <v>2</v>
      </c>
      <c r="K15" s="185" t="s">
        <v>2</v>
      </c>
      <c r="L15" s="185" t="s">
        <v>1</v>
      </c>
      <c r="M15" s="185" t="s">
        <v>3</v>
      </c>
      <c r="N15" s="185" t="s">
        <v>3</v>
      </c>
      <c r="O15" s="185" t="s">
        <v>3</v>
      </c>
      <c r="P15" s="185" t="s">
        <v>2</v>
      </c>
      <c r="Q15" s="185" t="s">
        <v>3</v>
      </c>
      <c r="R15" s="185" t="s">
        <v>3</v>
      </c>
      <c r="S15" s="185" t="s">
        <v>3</v>
      </c>
      <c r="T15" s="185" t="s">
        <v>2</v>
      </c>
      <c r="U15" s="185" t="s">
        <v>2</v>
      </c>
      <c r="V15" s="185" t="s">
        <v>1092</v>
      </c>
      <c r="W15" s="185" t="s">
        <v>3</v>
      </c>
      <c r="X15" s="185" t="s">
        <v>1092</v>
      </c>
      <c r="Y15" s="185" t="s">
        <v>1092</v>
      </c>
      <c r="Z15" s="185" t="s">
        <v>1092</v>
      </c>
      <c r="AA15" s="185" t="s">
        <v>1092</v>
      </c>
      <c r="AB15" s="185" t="s">
        <v>3</v>
      </c>
      <c r="AC15" s="185" t="s">
        <v>1092</v>
      </c>
      <c r="AD15" s="185" t="s">
        <v>1092</v>
      </c>
      <c r="AE15" s="185" t="s">
        <v>1092</v>
      </c>
      <c r="AF15" s="185" t="s">
        <v>3</v>
      </c>
      <c r="AG15" s="185" t="s">
        <v>3</v>
      </c>
      <c r="AH15" s="185" t="s">
        <v>1092</v>
      </c>
      <c r="AI15" s="185" t="s">
        <v>3</v>
      </c>
      <c r="AJ15" s="185" t="s">
        <v>1092</v>
      </c>
      <c r="AK15" s="185" t="s">
        <v>1092</v>
      </c>
      <c r="AL15" s="185" t="s">
        <v>1092</v>
      </c>
      <c r="AM15" s="185" t="s">
        <v>1092</v>
      </c>
      <c r="AN15" s="185" t="s">
        <v>3</v>
      </c>
      <c r="AO15" s="185" t="s">
        <v>2</v>
      </c>
      <c r="AP15" s="185" t="s">
        <v>3</v>
      </c>
      <c r="AQ15" s="185" t="s">
        <v>3</v>
      </c>
      <c r="AR15" s="185" t="s">
        <v>1092</v>
      </c>
      <c r="AS15" s="185" t="s">
        <v>1092</v>
      </c>
      <c r="AT15" s="185" t="s">
        <v>1092</v>
      </c>
      <c r="AU15" s="185" t="s">
        <v>3</v>
      </c>
      <c r="AV15" s="185" t="s">
        <v>3</v>
      </c>
      <c r="AW15" s="185" t="s">
        <v>3</v>
      </c>
      <c r="AX15" s="185" t="s">
        <v>3</v>
      </c>
      <c r="AY15" s="185" t="s">
        <v>3</v>
      </c>
      <c r="AZ15" s="185" t="s">
        <v>3</v>
      </c>
      <c r="BA15" s="185" t="s">
        <v>1092</v>
      </c>
      <c r="BB15" s="185" t="s">
        <v>3</v>
      </c>
      <c r="BC15" s="185" t="s">
        <v>3</v>
      </c>
      <c r="BD15" s="185" t="s">
        <v>3</v>
      </c>
      <c r="BE15" s="185" t="s">
        <v>3</v>
      </c>
      <c r="BF15" s="185" t="s">
        <v>3</v>
      </c>
      <c r="BG15" s="185" t="s">
        <v>3</v>
      </c>
      <c r="BH15" s="185" t="s">
        <v>3</v>
      </c>
      <c r="BI15" s="185" t="s">
        <v>3</v>
      </c>
      <c r="BJ15" s="185" t="s">
        <v>3</v>
      </c>
      <c r="BK15" s="185" t="s">
        <v>3</v>
      </c>
      <c r="BL15" s="185" t="s">
        <v>1092</v>
      </c>
      <c r="BM15" s="185" t="s">
        <v>3</v>
      </c>
      <c r="BN15" s="185" t="s">
        <v>3</v>
      </c>
      <c r="BO15" s="185" t="s">
        <v>1092</v>
      </c>
      <c r="BP15" s="185" t="s">
        <v>1092</v>
      </c>
      <c r="BQ15" s="185" t="s">
        <v>1092</v>
      </c>
      <c r="BR15" s="185" t="s">
        <v>1092</v>
      </c>
      <c r="BS15" s="185" t="s">
        <v>3</v>
      </c>
      <c r="BT15" s="185" t="s">
        <v>3</v>
      </c>
      <c r="BU15" s="185" t="s">
        <v>3</v>
      </c>
      <c r="BV15" s="185" t="s">
        <v>1092</v>
      </c>
      <c r="BW15" s="185" t="s">
        <v>1092</v>
      </c>
      <c r="BX15" s="185" t="s">
        <v>3</v>
      </c>
      <c r="BY15" s="185" t="s">
        <v>1092</v>
      </c>
      <c r="BZ15" s="185" t="s">
        <v>1092</v>
      </c>
      <c r="CA15" s="185" t="s">
        <v>1092</v>
      </c>
      <c r="CB15" s="185" t="s">
        <v>1092</v>
      </c>
      <c r="CC15" s="185" t="s">
        <v>1092</v>
      </c>
      <c r="CD15" s="185" t="s">
        <v>3</v>
      </c>
      <c r="CE15" s="185" t="s">
        <v>1092</v>
      </c>
      <c r="CF15" s="185" t="s">
        <v>1092</v>
      </c>
      <c r="CG15" s="185" t="s">
        <v>3</v>
      </c>
      <c r="CH15" s="185" t="s">
        <v>3</v>
      </c>
      <c r="CI15" s="185" t="s">
        <v>3</v>
      </c>
      <c r="CJ15" s="185" t="s">
        <v>3</v>
      </c>
      <c r="CK15" s="185" t="s">
        <v>3</v>
      </c>
      <c r="CL15" s="185" t="s">
        <v>1092</v>
      </c>
      <c r="CM15" s="185" t="s">
        <v>3</v>
      </c>
      <c r="CN15" s="185" t="s">
        <v>3</v>
      </c>
      <c r="CO15" s="185" t="s">
        <v>3</v>
      </c>
      <c r="CP15" s="185" t="s">
        <v>3</v>
      </c>
      <c r="CQ15" s="185" t="s">
        <v>3</v>
      </c>
      <c r="CR15" s="185" t="s">
        <v>3</v>
      </c>
      <c r="CS15" s="185" t="s">
        <v>3</v>
      </c>
      <c r="CT15" s="185" t="s">
        <v>3</v>
      </c>
      <c r="CU15" s="185" t="s">
        <v>1092</v>
      </c>
      <c r="CV15" s="185" t="s">
        <v>1092</v>
      </c>
      <c r="CW15" s="185" t="s">
        <v>1092</v>
      </c>
      <c r="CX15" s="186"/>
      <c r="CY15" s="185">
        <v>20171572072</v>
      </c>
    </row>
    <row r="16" spans="1:104" ht="15.75" customHeight="1" x14ac:dyDescent="0.2">
      <c r="A16" s="184">
        <v>42873.401915474533</v>
      </c>
      <c r="B16" s="185" t="s">
        <v>2250</v>
      </c>
      <c r="C16" s="185" t="s">
        <v>2237</v>
      </c>
      <c r="D16" s="185">
        <v>1</v>
      </c>
      <c r="E16" s="185" t="s">
        <v>2</v>
      </c>
      <c r="F16" s="185" t="s">
        <v>1092</v>
      </c>
      <c r="G16" s="185" t="s">
        <v>3</v>
      </c>
      <c r="H16" s="185" t="s">
        <v>2</v>
      </c>
      <c r="I16" s="185" t="s">
        <v>1093</v>
      </c>
      <c r="J16" s="185" t="s">
        <v>1093</v>
      </c>
      <c r="K16" s="185" t="s">
        <v>2</v>
      </c>
      <c r="L16" s="185" t="s">
        <v>1092</v>
      </c>
      <c r="M16" s="185" t="s">
        <v>1092</v>
      </c>
      <c r="N16" s="185" t="s">
        <v>1092</v>
      </c>
      <c r="O16" s="185" t="s">
        <v>1093</v>
      </c>
      <c r="P16" s="185" t="s">
        <v>1093</v>
      </c>
      <c r="Q16" s="185" t="s">
        <v>1093</v>
      </c>
      <c r="R16" s="185" t="s">
        <v>1092</v>
      </c>
      <c r="S16" s="185" t="s">
        <v>2</v>
      </c>
      <c r="T16" s="185" t="s">
        <v>1093</v>
      </c>
      <c r="U16" s="185" t="s">
        <v>1093</v>
      </c>
      <c r="V16" s="185" t="s">
        <v>3</v>
      </c>
      <c r="W16" s="185" t="s">
        <v>3</v>
      </c>
      <c r="X16" s="185" t="s">
        <v>1092</v>
      </c>
      <c r="Y16" s="185" t="s">
        <v>3</v>
      </c>
      <c r="Z16" s="185" t="s">
        <v>3</v>
      </c>
      <c r="AA16" s="185" t="s">
        <v>3</v>
      </c>
      <c r="AB16" s="185" t="s">
        <v>5</v>
      </c>
      <c r="AC16" s="185" t="s">
        <v>5</v>
      </c>
      <c r="AD16" s="185" t="s">
        <v>1092</v>
      </c>
      <c r="AE16" s="185" t="s">
        <v>1092</v>
      </c>
      <c r="AF16" s="185" t="s">
        <v>1092</v>
      </c>
      <c r="AG16" s="185" t="s">
        <v>5</v>
      </c>
      <c r="AH16" s="185" t="s">
        <v>1093</v>
      </c>
      <c r="AI16" s="185" t="s">
        <v>1093</v>
      </c>
      <c r="AJ16" s="185" t="s">
        <v>5</v>
      </c>
      <c r="AK16" s="185" t="s">
        <v>3</v>
      </c>
      <c r="AL16" s="185" t="s">
        <v>5</v>
      </c>
      <c r="AM16" s="185" t="s">
        <v>1</v>
      </c>
      <c r="AN16" s="185" t="s">
        <v>3</v>
      </c>
      <c r="AO16" s="185" t="s">
        <v>1</v>
      </c>
      <c r="AP16" s="185" t="s">
        <v>5</v>
      </c>
      <c r="AQ16" s="185" t="s">
        <v>5</v>
      </c>
      <c r="AR16" s="185" t="s">
        <v>1092</v>
      </c>
      <c r="AS16" s="185" t="s">
        <v>1092</v>
      </c>
      <c r="AT16" s="185" t="s">
        <v>1092</v>
      </c>
      <c r="AU16" s="185" t="s">
        <v>1092</v>
      </c>
      <c r="AV16" s="185" t="s">
        <v>2</v>
      </c>
      <c r="AW16" s="185" t="s">
        <v>2</v>
      </c>
      <c r="AX16" s="185" t="s">
        <v>1092</v>
      </c>
      <c r="AY16" s="185" t="s">
        <v>1092</v>
      </c>
      <c r="AZ16" s="185" t="s">
        <v>3</v>
      </c>
      <c r="BA16" s="185" t="s">
        <v>1093</v>
      </c>
      <c r="BB16" s="185" t="s">
        <v>5</v>
      </c>
      <c r="BC16" s="185" t="s">
        <v>1093</v>
      </c>
      <c r="BD16" s="185" t="s">
        <v>1093</v>
      </c>
      <c r="BE16" s="185" t="s">
        <v>5</v>
      </c>
      <c r="BF16" s="185" t="s">
        <v>5</v>
      </c>
      <c r="BG16" s="185" t="s">
        <v>1092</v>
      </c>
      <c r="BH16" s="185" t="s">
        <v>5</v>
      </c>
      <c r="BI16" s="185" t="s">
        <v>1093</v>
      </c>
      <c r="BJ16" s="185" t="s">
        <v>5</v>
      </c>
      <c r="BK16" s="185" t="s">
        <v>5</v>
      </c>
      <c r="BL16" s="185" t="s">
        <v>2</v>
      </c>
      <c r="BM16" s="185" t="s">
        <v>1092</v>
      </c>
      <c r="BN16" s="185" t="s">
        <v>3</v>
      </c>
      <c r="BO16" s="185" t="s">
        <v>5</v>
      </c>
      <c r="BP16" s="185" t="s">
        <v>1092</v>
      </c>
      <c r="BQ16" s="185" t="s">
        <v>2</v>
      </c>
      <c r="BR16" s="185" t="s">
        <v>1092</v>
      </c>
      <c r="BS16" s="185" t="s">
        <v>1092</v>
      </c>
      <c r="BT16" s="185" t="s">
        <v>5</v>
      </c>
      <c r="BU16" s="185" t="s">
        <v>3</v>
      </c>
      <c r="BV16" s="185" t="s">
        <v>5</v>
      </c>
      <c r="BW16" s="185" t="s">
        <v>1092</v>
      </c>
      <c r="BX16" s="185" t="s">
        <v>1092</v>
      </c>
      <c r="BY16" s="185" t="s">
        <v>5</v>
      </c>
      <c r="BZ16" s="185" t="s">
        <v>1093</v>
      </c>
      <c r="CA16" s="185" t="s">
        <v>1092</v>
      </c>
      <c r="CB16" s="185" t="s">
        <v>3</v>
      </c>
      <c r="CC16" s="185" t="s">
        <v>1092</v>
      </c>
      <c r="CD16" s="185" t="s">
        <v>1092</v>
      </c>
      <c r="CE16" s="185" t="s">
        <v>1092</v>
      </c>
      <c r="CF16" s="185" t="s">
        <v>3</v>
      </c>
      <c r="CG16" s="185" t="s">
        <v>5</v>
      </c>
      <c r="CH16" s="185" t="s">
        <v>3</v>
      </c>
      <c r="CI16" s="185" t="s">
        <v>3</v>
      </c>
      <c r="CJ16" s="185" t="s">
        <v>5</v>
      </c>
      <c r="CK16" s="185" t="s">
        <v>5</v>
      </c>
      <c r="CL16" s="185" t="s">
        <v>1093</v>
      </c>
      <c r="CM16" s="185" t="s">
        <v>5</v>
      </c>
      <c r="CN16" s="185" t="s">
        <v>5</v>
      </c>
      <c r="CO16" s="185" t="s">
        <v>3</v>
      </c>
      <c r="CP16" s="185" t="s">
        <v>3</v>
      </c>
      <c r="CQ16" s="185" t="s">
        <v>1093</v>
      </c>
      <c r="CR16" s="185" t="s">
        <v>5</v>
      </c>
      <c r="CS16" s="185" t="s">
        <v>5</v>
      </c>
      <c r="CT16" s="185" t="s">
        <v>5</v>
      </c>
      <c r="CU16" s="185" t="s">
        <v>1092</v>
      </c>
      <c r="CV16" s="185" t="s">
        <v>5</v>
      </c>
      <c r="CW16" s="185" t="s">
        <v>5</v>
      </c>
      <c r="CX16" s="186"/>
      <c r="CY16" s="185">
        <v>20171572038</v>
      </c>
    </row>
    <row r="17" spans="1:104" ht="15.75" customHeight="1" x14ac:dyDescent="0.2">
      <c r="A17" s="184">
        <v>42873.402296956017</v>
      </c>
      <c r="B17" s="185" t="s">
        <v>2251</v>
      </c>
      <c r="C17" s="185" t="s">
        <v>2235</v>
      </c>
      <c r="D17" s="185">
        <v>1</v>
      </c>
      <c r="E17" s="185" t="s">
        <v>3</v>
      </c>
      <c r="F17" s="185" t="s">
        <v>1092</v>
      </c>
      <c r="G17" s="185" t="s">
        <v>1092</v>
      </c>
      <c r="H17" s="185" t="s">
        <v>3</v>
      </c>
      <c r="I17" s="185" t="s">
        <v>5</v>
      </c>
      <c r="J17" s="185" t="s">
        <v>1</v>
      </c>
      <c r="K17" s="185" t="s">
        <v>1</v>
      </c>
      <c r="L17" s="185" t="s">
        <v>3</v>
      </c>
      <c r="M17" s="185" t="s">
        <v>2</v>
      </c>
      <c r="N17" s="185" t="s">
        <v>3</v>
      </c>
      <c r="O17" s="185" t="s">
        <v>1</v>
      </c>
      <c r="P17" s="185" t="s">
        <v>1093</v>
      </c>
      <c r="Q17" s="185" t="s">
        <v>3</v>
      </c>
      <c r="R17" s="185" t="s">
        <v>3</v>
      </c>
      <c r="S17" s="185" t="s">
        <v>2</v>
      </c>
      <c r="T17" s="185" t="s">
        <v>1</v>
      </c>
      <c r="U17" s="185" t="s">
        <v>5</v>
      </c>
      <c r="V17" s="185" t="s">
        <v>1092</v>
      </c>
      <c r="W17" s="185" t="s">
        <v>1092</v>
      </c>
      <c r="X17" s="185" t="s">
        <v>1092</v>
      </c>
      <c r="Y17" s="185" t="s">
        <v>1092</v>
      </c>
      <c r="Z17" s="185" t="s">
        <v>3</v>
      </c>
      <c r="AA17" s="185" t="s">
        <v>1092</v>
      </c>
      <c r="AB17" s="185" t="s">
        <v>1092</v>
      </c>
      <c r="AC17" s="185" t="s">
        <v>5</v>
      </c>
      <c r="AD17" s="185" t="s">
        <v>5</v>
      </c>
      <c r="AE17" s="185" t="s">
        <v>5</v>
      </c>
      <c r="AF17" s="185" t="s">
        <v>3</v>
      </c>
      <c r="AG17" s="185" t="s">
        <v>3</v>
      </c>
      <c r="AH17" s="185" t="s">
        <v>3</v>
      </c>
      <c r="AI17" s="185" t="s">
        <v>3</v>
      </c>
      <c r="AJ17" s="185" t="s">
        <v>3</v>
      </c>
      <c r="AK17" s="185" t="s">
        <v>5</v>
      </c>
      <c r="AL17" s="185" t="s">
        <v>5</v>
      </c>
      <c r="AM17" s="185" t="s">
        <v>3</v>
      </c>
      <c r="AN17" s="185" t="s">
        <v>2</v>
      </c>
      <c r="AO17" s="185" t="s">
        <v>2</v>
      </c>
      <c r="AP17" s="185" t="s">
        <v>2</v>
      </c>
      <c r="AQ17" s="185" t="s">
        <v>3</v>
      </c>
      <c r="AR17" s="185" t="s">
        <v>3</v>
      </c>
      <c r="AS17" s="185" t="s">
        <v>1092</v>
      </c>
      <c r="AT17" s="185" t="s">
        <v>5</v>
      </c>
      <c r="AU17" s="185" t="s">
        <v>5</v>
      </c>
      <c r="AV17" s="185" t="s">
        <v>1092</v>
      </c>
      <c r="AW17" s="185" t="s">
        <v>1092</v>
      </c>
      <c r="AX17" s="185" t="s">
        <v>1092</v>
      </c>
      <c r="AY17" s="185" t="s">
        <v>1092</v>
      </c>
      <c r="AZ17" s="185" t="s">
        <v>1092</v>
      </c>
      <c r="BA17" s="185" t="s">
        <v>3</v>
      </c>
      <c r="BB17" s="185" t="s">
        <v>5</v>
      </c>
      <c r="BC17" s="185" t="s">
        <v>1</v>
      </c>
      <c r="BD17" s="185" t="s">
        <v>1093</v>
      </c>
      <c r="BE17" s="185" t="s">
        <v>5</v>
      </c>
      <c r="BF17" s="185" t="s">
        <v>3</v>
      </c>
      <c r="BG17" s="185" t="s">
        <v>1092</v>
      </c>
      <c r="BH17" s="185" t="s">
        <v>5</v>
      </c>
      <c r="BI17" s="185" t="s">
        <v>2</v>
      </c>
      <c r="BJ17" s="185" t="s">
        <v>3</v>
      </c>
      <c r="BK17" s="185" t="s">
        <v>3</v>
      </c>
      <c r="BL17" s="185" t="s">
        <v>3</v>
      </c>
      <c r="BM17" s="185" t="s">
        <v>3</v>
      </c>
      <c r="BN17" s="185" t="s">
        <v>3</v>
      </c>
      <c r="BO17" s="185" t="s">
        <v>3</v>
      </c>
      <c r="BP17" s="185" t="s">
        <v>1092</v>
      </c>
      <c r="BQ17" s="185" t="s">
        <v>2</v>
      </c>
      <c r="BR17" s="185" t="s">
        <v>1092</v>
      </c>
      <c r="BS17" s="185" t="s">
        <v>1092</v>
      </c>
      <c r="BT17" s="185" t="s">
        <v>1</v>
      </c>
      <c r="BU17" s="185" t="s">
        <v>2</v>
      </c>
      <c r="BV17" s="185" t="s">
        <v>2</v>
      </c>
      <c r="BW17" s="185" t="s">
        <v>5</v>
      </c>
      <c r="BX17" s="185" t="s">
        <v>3</v>
      </c>
      <c r="BY17" s="185" t="s">
        <v>2</v>
      </c>
      <c r="BZ17" s="185" t="s">
        <v>1093</v>
      </c>
      <c r="CA17" s="185" t="s">
        <v>3</v>
      </c>
      <c r="CB17" s="185" t="s">
        <v>3</v>
      </c>
      <c r="CC17" s="185" t="s">
        <v>5</v>
      </c>
      <c r="CD17" s="185" t="s">
        <v>3</v>
      </c>
      <c r="CE17" s="185" t="s">
        <v>5</v>
      </c>
      <c r="CF17" s="185" t="s">
        <v>1092</v>
      </c>
      <c r="CG17" s="185" t="s">
        <v>1092</v>
      </c>
      <c r="CH17" s="185" t="s">
        <v>1092</v>
      </c>
      <c r="CI17" s="185" t="s">
        <v>5</v>
      </c>
      <c r="CJ17" s="185" t="s">
        <v>5</v>
      </c>
      <c r="CK17" s="185" t="s">
        <v>5</v>
      </c>
      <c r="CL17" s="185" t="s">
        <v>1</v>
      </c>
      <c r="CM17" s="185" t="s">
        <v>5</v>
      </c>
      <c r="CN17" s="185" t="s">
        <v>5</v>
      </c>
      <c r="CO17" s="185" t="s">
        <v>3</v>
      </c>
      <c r="CP17" s="185" t="s">
        <v>3</v>
      </c>
      <c r="CQ17" s="185" t="s">
        <v>2</v>
      </c>
      <c r="CR17" s="185" t="s">
        <v>3</v>
      </c>
      <c r="CS17" s="185" t="s">
        <v>3</v>
      </c>
      <c r="CT17" s="185" t="s">
        <v>5</v>
      </c>
      <c r="CU17" s="185" t="s">
        <v>1092</v>
      </c>
      <c r="CV17" s="185" t="s">
        <v>3</v>
      </c>
      <c r="CW17" s="185" t="s">
        <v>3</v>
      </c>
      <c r="CX17" s="186"/>
      <c r="CY17" s="185">
        <v>20171572042</v>
      </c>
    </row>
    <row r="18" spans="1:104" ht="15.75" customHeight="1" x14ac:dyDescent="0.2">
      <c r="A18" s="184">
        <v>42873.402405000001</v>
      </c>
      <c r="B18" s="185" t="s">
        <v>2252</v>
      </c>
      <c r="C18" s="185" t="s">
        <v>2237</v>
      </c>
      <c r="D18" s="185">
        <v>1</v>
      </c>
      <c r="E18" s="185" t="s">
        <v>1092</v>
      </c>
      <c r="F18" s="185" t="s">
        <v>1092</v>
      </c>
      <c r="G18" s="185" t="s">
        <v>1092</v>
      </c>
      <c r="H18" s="185" t="s">
        <v>1092</v>
      </c>
      <c r="I18" s="185" t="s">
        <v>1092</v>
      </c>
      <c r="J18" s="185" t="s">
        <v>1092</v>
      </c>
      <c r="K18" s="185" t="s">
        <v>1092</v>
      </c>
      <c r="L18" s="185" t="s">
        <v>1092</v>
      </c>
      <c r="M18" s="185" t="s">
        <v>1092</v>
      </c>
      <c r="N18" s="185" t="s">
        <v>1092</v>
      </c>
      <c r="O18" s="185" t="s">
        <v>1092</v>
      </c>
      <c r="P18" s="185" t="s">
        <v>1092</v>
      </c>
      <c r="Q18" s="185" t="s">
        <v>1092</v>
      </c>
      <c r="R18" s="185" t="s">
        <v>1092</v>
      </c>
      <c r="S18" s="185" t="s">
        <v>1092</v>
      </c>
      <c r="T18" s="185" t="s">
        <v>1092</v>
      </c>
      <c r="U18" s="185" t="s">
        <v>1092</v>
      </c>
      <c r="V18" s="185" t="s">
        <v>1092</v>
      </c>
      <c r="W18" s="185" t="s">
        <v>1092</v>
      </c>
      <c r="X18" s="185" t="s">
        <v>1092</v>
      </c>
      <c r="Y18" s="185" t="s">
        <v>1092</v>
      </c>
      <c r="Z18" s="185" t="s">
        <v>1092</v>
      </c>
      <c r="AA18" s="185" t="s">
        <v>1092</v>
      </c>
      <c r="AB18" s="185" t="s">
        <v>1092</v>
      </c>
      <c r="AC18" s="185" t="s">
        <v>1092</v>
      </c>
      <c r="AD18" s="185" t="s">
        <v>1092</v>
      </c>
      <c r="AE18" s="185" t="s">
        <v>1092</v>
      </c>
      <c r="AF18" s="185" t="s">
        <v>3</v>
      </c>
      <c r="AG18" s="185" t="s">
        <v>1092</v>
      </c>
      <c r="AH18" s="185" t="s">
        <v>3</v>
      </c>
      <c r="AI18" s="185" t="s">
        <v>1092</v>
      </c>
      <c r="AJ18" s="185" t="s">
        <v>1092</v>
      </c>
      <c r="AK18" s="185" t="s">
        <v>3</v>
      </c>
      <c r="AL18" s="185" t="s">
        <v>1092</v>
      </c>
      <c r="AM18" s="185" t="s">
        <v>1092</v>
      </c>
      <c r="AN18" s="185" t="s">
        <v>3</v>
      </c>
      <c r="AO18" s="185" t="s">
        <v>1092</v>
      </c>
      <c r="AP18" s="185" t="s">
        <v>3</v>
      </c>
      <c r="AQ18" s="185" t="s">
        <v>2</v>
      </c>
      <c r="AR18" s="185" t="s">
        <v>2</v>
      </c>
      <c r="AS18" s="185" t="s">
        <v>1092</v>
      </c>
      <c r="AT18" s="185" t="s">
        <v>3</v>
      </c>
      <c r="AU18" s="185" t="s">
        <v>1092</v>
      </c>
      <c r="AV18" s="185" t="s">
        <v>3</v>
      </c>
      <c r="AW18" s="185" t="s">
        <v>2</v>
      </c>
      <c r="AX18" s="185" t="s">
        <v>1092</v>
      </c>
      <c r="AY18" s="185" t="s">
        <v>3</v>
      </c>
      <c r="AZ18" s="185" t="s">
        <v>1092</v>
      </c>
      <c r="BA18" s="185" t="s">
        <v>1</v>
      </c>
      <c r="BB18" s="185" t="s">
        <v>1092</v>
      </c>
      <c r="BC18" s="185" t="s">
        <v>3</v>
      </c>
      <c r="BD18" s="185" t="s">
        <v>3</v>
      </c>
      <c r="BE18" s="185" t="s">
        <v>1092</v>
      </c>
      <c r="BF18" s="185" t="s">
        <v>3</v>
      </c>
      <c r="BG18" s="185" t="s">
        <v>3</v>
      </c>
      <c r="BH18" s="185" t="s">
        <v>1092</v>
      </c>
      <c r="BI18" s="185" t="s">
        <v>1092</v>
      </c>
      <c r="BJ18" s="185" t="s">
        <v>1092</v>
      </c>
      <c r="BK18" s="185" t="s">
        <v>1092</v>
      </c>
      <c r="BL18" s="185" t="s">
        <v>1092</v>
      </c>
      <c r="BM18" s="185" t="s">
        <v>1092</v>
      </c>
      <c r="BN18" s="185" t="s">
        <v>3</v>
      </c>
      <c r="BO18" s="185" t="s">
        <v>3</v>
      </c>
      <c r="BP18" s="185" t="s">
        <v>1092</v>
      </c>
      <c r="BQ18" s="185" t="s">
        <v>2</v>
      </c>
      <c r="BR18" s="185" t="s">
        <v>3</v>
      </c>
      <c r="BS18" s="185" t="s">
        <v>1092</v>
      </c>
      <c r="BT18" s="185" t="s">
        <v>3</v>
      </c>
      <c r="BU18" s="185" t="s">
        <v>3</v>
      </c>
      <c r="BV18" s="185" t="s">
        <v>3</v>
      </c>
      <c r="BW18" s="185" t="s">
        <v>3</v>
      </c>
      <c r="BX18" s="185" t="s">
        <v>3</v>
      </c>
      <c r="BY18" s="185" t="s">
        <v>3</v>
      </c>
      <c r="BZ18" s="185" t="s">
        <v>3</v>
      </c>
      <c r="CA18" s="185" t="s">
        <v>3</v>
      </c>
      <c r="CB18" s="185" t="s">
        <v>3</v>
      </c>
      <c r="CC18" s="185" t="s">
        <v>3</v>
      </c>
      <c r="CD18" s="185" t="s">
        <v>3</v>
      </c>
      <c r="CE18" s="185" t="s">
        <v>3</v>
      </c>
      <c r="CF18" s="185" t="s">
        <v>3</v>
      </c>
      <c r="CG18" s="185" t="s">
        <v>3</v>
      </c>
      <c r="CH18" s="185" t="s">
        <v>3</v>
      </c>
      <c r="CI18" s="185" t="s">
        <v>3</v>
      </c>
      <c r="CJ18" s="185" t="s">
        <v>3</v>
      </c>
      <c r="CK18" s="185" t="s">
        <v>3</v>
      </c>
      <c r="CL18" s="185" t="s">
        <v>3</v>
      </c>
      <c r="CM18" s="185" t="s">
        <v>3</v>
      </c>
      <c r="CN18" s="185" t="s">
        <v>3</v>
      </c>
      <c r="CO18" s="185" t="s">
        <v>3</v>
      </c>
      <c r="CP18" s="185" t="s">
        <v>3</v>
      </c>
      <c r="CQ18" s="185" t="s">
        <v>3</v>
      </c>
      <c r="CR18" s="185" t="s">
        <v>3</v>
      </c>
      <c r="CS18" s="185" t="s">
        <v>3</v>
      </c>
      <c r="CT18" s="185" t="s">
        <v>3</v>
      </c>
      <c r="CU18" s="185" t="s">
        <v>3</v>
      </c>
      <c r="CV18" s="185" t="s">
        <v>3</v>
      </c>
      <c r="CW18" s="185" t="s">
        <v>3</v>
      </c>
      <c r="CX18" s="186"/>
      <c r="CY18" s="185">
        <v>20171572067</v>
      </c>
    </row>
    <row r="19" spans="1:104" ht="15.75" customHeight="1" x14ac:dyDescent="0.2">
      <c r="A19" s="184">
        <v>42873.402512037035</v>
      </c>
      <c r="B19" s="185" t="s">
        <v>2253</v>
      </c>
      <c r="C19" s="185" t="s">
        <v>2237</v>
      </c>
      <c r="D19" s="185">
        <v>1</v>
      </c>
      <c r="E19" s="185" t="s">
        <v>1092</v>
      </c>
      <c r="F19" s="185" t="s">
        <v>3</v>
      </c>
      <c r="G19" s="185" t="s">
        <v>1092</v>
      </c>
      <c r="H19" s="185" t="s">
        <v>2</v>
      </c>
      <c r="I19" s="185" t="s">
        <v>2</v>
      </c>
      <c r="J19" s="185" t="s">
        <v>3</v>
      </c>
      <c r="K19" s="185" t="s">
        <v>1092</v>
      </c>
      <c r="L19" s="185" t="s">
        <v>3</v>
      </c>
      <c r="M19" s="185" t="s">
        <v>3</v>
      </c>
      <c r="N19" s="185" t="s">
        <v>1092</v>
      </c>
      <c r="O19" s="185" t="s">
        <v>3</v>
      </c>
      <c r="P19" s="185" t="s">
        <v>1</v>
      </c>
      <c r="Q19" s="185" t="s">
        <v>1</v>
      </c>
      <c r="R19" s="185" t="s">
        <v>1092</v>
      </c>
      <c r="S19" s="185" t="s">
        <v>3</v>
      </c>
      <c r="T19" s="185" t="s">
        <v>3</v>
      </c>
      <c r="U19" s="185" t="s">
        <v>2</v>
      </c>
      <c r="V19" s="185" t="s">
        <v>1092</v>
      </c>
      <c r="W19" s="185" t="s">
        <v>3</v>
      </c>
      <c r="X19" s="185" t="s">
        <v>3</v>
      </c>
      <c r="Y19" s="185" t="s">
        <v>3</v>
      </c>
      <c r="Z19" s="185" t="s">
        <v>2</v>
      </c>
      <c r="AA19" s="185" t="s">
        <v>3</v>
      </c>
      <c r="AB19" s="185" t="s">
        <v>1092</v>
      </c>
      <c r="AC19" s="185" t="s">
        <v>3</v>
      </c>
      <c r="AD19" s="185" t="s">
        <v>3</v>
      </c>
      <c r="AE19" s="185" t="s">
        <v>3</v>
      </c>
      <c r="AF19" s="185" t="s">
        <v>3</v>
      </c>
      <c r="AG19" s="185" t="s">
        <v>3</v>
      </c>
      <c r="AH19" s="185" t="s">
        <v>5</v>
      </c>
      <c r="AI19" s="185" t="s">
        <v>3</v>
      </c>
      <c r="AJ19" s="185" t="s">
        <v>3</v>
      </c>
      <c r="AK19" s="185" t="s">
        <v>3</v>
      </c>
      <c r="AL19" s="185" t="s">
        <v>3</v>
      </c>
      <c r="AM19" s="185" t="s">
        <v>3</v>
      </c>
      <c r="AN19" s="185" t="s">
        <v>3</v>
      </c>
      <c r="AO19" s="185" t="s">
        <v>3</v>
      </c>
      <c r="AP19" s="185" t="s">
        <v>1092</v>
      </c>
      <c r="AQ19" s="185" t="s">
        <v>3</v>
      </c>
      <c r="AR19" s="185" t="s">
        <v>1092</v>
      </c>
      <c r="AS19" s="185" t="s">
        <v>1092</v>
      </c>
      <c r="AT19" s="185" t="s">
        <v>1092</v>
      </c>
      <c r="AU19" s="185" t="s">
        <v>3</v>
      </c>
      <c r="AV19" s="185" t="s">
        <v>3</v>
      </c>
      <c r="AW19" s="185" t="s">
        <v>3</v>
      </c>
      <c r="AX19" s="185" t="s">
        <v>2</v>
      </c>
      <c r="AY19" s="185" t="s">
        <v>3</v>
      </c>
      <c r="AZ19" s="185" t="s">
        <v>3</v>
      </c>
      <c r="BA19" s="185" t="s">
        <v>3</v>
      </c>
      <c r="BB19" s="185" t="s">
        <v>5</v>
      </c>
      <c r="BC19" s="185" t="s">
        <v>5</v>
      </c>
      <c r="BD19" s="185" t="s">
        <v>1093</v>
      </c>
      <c r="BE19" s="185" t="s">
        <v>3</v>
      </c>
      <c r="BF19" s="185" t="s">
        <v>3</v>
      </c>
      <c r="BG19" s="185" t="s">
        <v>3</v>
      </c>
      <c r="BH19" s="185" t="s">
        <v>3</v>
      </c>
      <c r="BI19" s="185" t="s">
        <v>3</v>
      </c>
      <c r="BJ19" s="185" t="s">
        <v>3</v>
      </c>
      <c r="BK19" s="185" t="s">
        <v>3</v>
      </c>
      <c r="BL19" s="185" t="s">
        <v>3</v>
      </c>
      <c r="BM19" s="185" t="s">
        <v>3</v>
      </c>
      <c r="BN19" s="185" t="s">
        <v>3</v>
      </c>
      <c r="BO19" s="185" t="s">
        <v>3</v>
      </c>
      <c r="BP19" s="185" t="s">
        <v>3</v>
      </c>
      <c r="BQ19" s="185" t="s">
        <v>2</v>
      </c>
      <c r="BR19" s="185" t="s">
        <v>3</v>
      </c>
      <c r="BS19" s="185" t="s">
        <v>3</v>
      </c>
      <c r="BT19" s="185" t="s">
        <v>2</v>
      </c>
      <c r="BU19" s="185" t="s">
        <v>3</v>
      </c>
      <c r="BV19" s="185" t="s">
        <v>2</v>
      </c>
      <c r="BW19" s="185" t="s">
        <v>3</v>
      </c>
      <c r="BX19" s="185" t="s">
        <v>3</v>
      </c>
      <c r="BY19" s="185" t="s">
        <v>5</v>
      </c>
      <c r="BZ19" s="185" t="s">
        <v>1093</v>
      </c>
      <c r="CA19" s="185" t="s">
        <v>3</v>
      </c>
      <c r="CB19" s="185" t="s">
        <v>3</v>
      </c>
      <c r="CC19" s="185" t="s">
        <v>3</v>
      </c>
      <c r="CD19" s="185" t="s">
        <v>3</v>
      </c>
      <c r="CE19" s="185" t="s">
        <v>3</v>
      </c>
      <c r="CF19" s="185" t="s">
        <v>3</v>
      </c>
      <c r="CG19" s="185" t="s">
        <v>3</v>
      </c>
      <c r="CH19" s="185" t="s">
        <v>3</v>
      </c>
      <c r="CI19" s="185" t="s">
        <v>3</v>
      </c>
      <c r="CJ19" s="185" t="s">
        <v>3</v>
      </c>
      <c r="CK19" s="185" t="s">
        <v>5</v>
      </c>
      <c r="CL19" s="185" t="s">
        <v>2</v>
      </c>
      <c r="CM19" s="185" t="s">
        <v>5</v>
      </c>
      <c r="CN19" s="185" t="s">
        <v>5</v>
      </c>
      <c r="CO19" s="185" t="s">
        <v>3</v>
      </c>
      <c r="CP19" s="185" t="s">
        <v>3</v>
      </c>
      <c r="CQ19" s="185" t="s">
        <v>3</v>
      </c>
      <c r="CR19" s="185" t="s">
        <v>3</v>
      </c>
      <c r="CS19" s="185" t="s">
        <v>3</v>
      </c>
      <c r="CT19" s="185" t="s">
        <v>3</v>
      </c>
      <c r="CU19" s="185" t="s">
        <v>3</v>
      </c>
      <c r="CV19" s="185" t="s">
        <v>3</v>
      </c>
      <c r="CW19" s="185" t="s">
        <v>3</v>
      </c>
      <c r="CX19" s="186"/>
      <c r="CY19" s="185">
        <v>20171572032</v>
      </c>
    </row>
    <row r="20" spans="1:104" ht="15.75" customHeight="1" x14ac:dyDescent="0.2">
      <c r="A20" s="184">
        <v>42873.403825254631</v>
      </c>
      <c r="B20" s="185" t="s">
        <v>2254</v>
      </c>
      <c r="C20" s="185" t="s">
        <v>2237</v>
      </c>
      <c r="D20" s="185">
        <v>1</v>
      </c>
      <c r="E20" s="185" t="s">
        <v>2</v>
      </c>
      <c r="F20" s="185" t="s">
        <v>3</v>
      </c>
      <c r="G20" s="185" t="s">
        <v>3</v>
      </c>
      <c r="H20" s="185" t="s">
        <v>2</v>
      </c>
      <c r="I20" s="185" t="s">
        <v>1</v>
      </c>
      <c r="J20" s="185" t="s">
        <v>1</v>
      </c>
      <c r="K20" s="185" t="s">
        <v>5</v>
      </c>
      <c r="L20" s="185" t="s">
        <v>5</v>
      </c>
      <c r="M20" s="185" t="s">
        <v>3</v>
      </c>
      <c r="N20" s="185" t="s">
        <v>5</v>
      </c>
      <c r="O20" s="185" t="s">
        <v>2</v>
      </c>
      <c r="P20" s="185" t="s">
        <v>5</v>
      </c>
      <c r="Q20" s="185" t="s">
        <v>3</v>
      </c>
      <c r="R20" s="185" t="s">
        <v>3</v>
      </c>
      <c r="S20" s="185" t="s">
        <v>2</v>
      </c>
      <c r="T20" s="185" t="s">
        <v>2</v>
      </c>
      <c r="U20" s="185" t="s">
        <v>5</v>
      </c>
      <c r="V20" s="185" t="s">
        <v>2</v>
      </c>
      <c r="W20" s="185" t="s">
        <v>3</v>
      </c>
      <c r="X20" s="185" t="s">
        <v>2</v>
      </c>
      <c r="Y20" s="185" t="s">
        <v>3</v>
      </c>
      <c r="Z20" s="185" t="s">
        <v>2</v>
      </c>
      <c r="AA20" s="185" t="s">
        <v>2</v>
      </c>
      <c r="AB20" s="185" t="s">
        <v>1092</v>
      </c>
      <c r="AC20" s="185" t="s">
        <v>1092</v>
      </c>
      <c r="AD20" s="185" t="s">
        <v>3</v>
      </c>
      <c r="AE20" s="185" t="s">
        <v>5</v>
      </c>
      <c r="AF20" s="185" t="s">
        <v>3</v>
      </c>
      <c r="AG20" s="185" t="s">
        <v>5</v>
      </c>
      <c r="AH20" s="185" t="s">
        <v>3</v>
      </c>
      <c r="AI20" s="185" t="s">
        <v>3</v>
      </c>
      <c r="AJ20" s="185" t="s">
        <v>3</v>
      </c>
      <c r="AK20" s="185" t="s">
        <v>2</v>
      </c>
      <c r="AL20" s="185" t="s">
        <v>2</v>
      </c>
      <c r="AM20" s="185" t="s">
        <v>3</v>
      </c>
      <c r="AN20" s="185" t="s">
        <v>2</v>
      </c>
      <c r="AO20" s="185" t="s">
        <v>2</v>
      </c>
      <c r="AP20" s="185" t="s">
        <v>3</v>
      </c>
      <c r="AQ20" s="185" t="s">
        <v>2</v>
      </c>
      <c r="AR20" s="185" t="s">
        <v>3</v>
      </c>
      <c r="AS20" s="185" t="s">
        <v>1092</v>
      </c>
      <c r="AT20" s="185" t="s">
        <v>1092</v>
      </c>
      <c r="AU20" s="185" t="s">
        <v>3</v>
      </c>
      <c r="AV20" s="185" t="s">
        <v>3</v>
      </c>
      <c r="AW20" s="185" t="s">
        <v>2</v>
      </c>
      <c r="AX20" s="185" t="s">
        <v>2</v>
      </c>
      <c r="AY20" s="185" t="s">
        <v>2</v>
      </c>
      <c r="AZ20" s="185" t="s">
        <v>2</v>
      </c>
      <c r="BA20" s="185" t="s">
        <v>3</v>
      </c>
      <c r="BB20" s="185" t="s">
        <v>3</v>
      </c>
      <c r="BC20" s="185" t="s">
        <v>2</v>
      </c>
      <c r="BD20" s="185" t="s">
        <v>2</v>
      </c>
      <c r="BE20" s="185" t="s">
        <v>3</v>
      </c>
      <c r="BF20" s="185" t="s">
        <v>2</v>
      </c>
      <c r="BG20" s="185" t="s">
        <v>2</v>
      </c>
      <c r="BH20" s="185" t="s">
        <v>2</v>
      </c>
      <c r="BI20" s="185" t="s">
        <v>3</v>
      </c>
      <c r="BJ20" s="185" t="s">
        <v>2</v>
      </c>
      <c r="BK20" s="185" t="s">
        <v>3</v>
      </c>
      <c r="BL20" s="185" t="s">
        <v>1092</v>
      </c>
      <c r="BM20" s="185" t="s">
        <v>1092</v>
      </c>
      <c r="BN20" s="185" t="s">
        <v>1092</v>
      </c>
      <c r="BO20" s="185" t="s">
        <v>3</v>
      </c>
      <c r="BP20" s="185" t="s">
        <v>3</v>
      </c>
      <c r="BQ20" s="185" t="s">
        <v>2</v>
      </c>
      <c r="BR20" s="185" t="s">
        <v>3</v>
      </c>
      <c r="BS20" s="185" t="s">
        <v>5</v>
      </c>
      <c r="BT20" s="185" t="s">
        <v>3</v>
      </c>
      <c r="BU20" s="185" t="s">
        <v>1092</v>
      </c>
      <c r="BV20" s="185" t="s">
        <v>3</v>
      </c>
      <c r="BW20" s="185" t="s">
        <v>2</v>
      </c>
      <c r="BX20" s="185" t="s">
        <v>3</v>
      </c>
      <c r="BY20" s="185" t="s">
        <v>3</v>
      </c>
      <c r="BZ20" s="185" t="s">
        <v>3</v>
      </c>
      <c r="CA20" s="185" t="s">
        <v>2</v>
      </c>
      <c r="CB20" s="185" t="s">
        <v>3</v>
      </c>
      <c r="CC20" s="185" t="s">
        <v>3</v>
      </c>
      <c r="CD20" s="185" t="s">
        <v>3</v>
      </c>
      <c r="CE20" s="185" t="s">
        <v>2</v>
      </c>
      <c r="CF20" s="185" t="s">
        <v>5</v>
      </c>
      <c r="CG20" s="185" t="s">
        <v>2</v>
      </c>
      <c r="CH20" s="185" t="s">
        <v>2</v>
      </c>
      <c r="CI20" s="185" t="s">
        <v>1092</v>
      </c>
      <c r="CJ20" s="185" t="s">
        <v>2</v>
      </c>
      <c r="CK20" s="185" t="s">
        <v>1092</v>
      </c>
      <c r="CL20" s="185" t="s">
        <v>5</v>
      </c>
      <c r="CM20" s="185" t="s">
        <v>2</v>
      </c>
      <c r="CN20" s="185" t="s">
        <v>5</v>
      </c>
      <c r="CO20" s="185" t="s">
        <v>5</v>
      </c>
      <c r="CP20" s="185" t="s">
        <v>5</v>
      </c>
      <c r="CQ20" s="185" t="s">
        <v>2</v>
      </c>
      <c r="CR20" s="185" t="s">
        <v>2</v>
      </c>
      <c r="CS20" s="185" t="s">
        <v>2</v>
      </c>
      <c r="CT20" s="185" t="s">
        <v>5</v>
      </c>
      <c r="CU20" s="185" t="s">
        <v>2</v>
      </c>
      <c r="CV20" s="185" t="s">
        <v>3</v>
      </c>
      <c r="CW20" s="185" t="s">
        <v>3</v>
      </c>
      <c r="CX20" s="186"/>
      <c r="CY20" s="185">
        <v>20171572004</v>
      </c>
    </row>
    <row r="21" spans="1:104" ht="15.75" customHeight="1" x14ac:dyDescent="0.2">
      <c r="A21" s="184">
        <v>42873.403963969904</v>
      </c>
      <c r="B21" s="185" t="s">
        <v>2255</v>
      </c>
      <c r="C21" s="185" t="s">
        <v>2237</v>
      </c>
      <c r="D21" s="185">
        <v>1</v>
      </c>
      <c r="E21" s="185" t="s">
        <v>3</v>
      </c>
      <c r="F21" s="185" t="s">
        <v>3</v>
      </c>
      <c r="G21" s="185" t="s">
        <v>1092</v>
      </c>
      <c r="H21" s="185" t="s">
        <v>1092</v>
      </c>
      <c r="I21" s="185" t="s">
        <v>3</v>
      </c>
      <c r="J21" s="185" t="s">
        <v>3</v>
      </c>
      <c r="K21" s="185" t="s">
        <v>1092</v>
      </c>
      <c r="L21" s="185" t="s">
        <v>2</v>
      </c>
      <c r="M21" s="185" t="s">
        <v>3</v>
      </c>
      <c r="N21" s="185" t="s">
        <v>3</v>
      </c>
      <c r="O21" s="185" t="s">
        <v>1092</v>
      </c>
      <c r="P21" s="185" t="s">
        <v>5</v>
      </c>
      <c r="Q21" s="185" t="s">
        <v>3</v>
      </c>
      <c r="R21" s="185" t="s">
        <v>2</v>
      </c>
      <c r="S21" s="185" t="s">
        <v>3</v>
      </c>
      <c r="T21" s="185" t="s">
        <v>2</v>
      </c>
      <c r="U21" s="185" t="s">
        <v>2</v>
      </c>
      <c r="V21" s="185" t="s">
        <v>2</v>
      </c>
      <c r="W21" s="185" t="s">
        <v>3</v>
      </c>
      <c r="X21" s="185" t="s">
        <v>1092</v>
      </c>
      <c r="Y21" s="185" t="s">
        <v>1092</v>
      </c>
      <c r="Z21" s="185" t="s">
        <v>1092</v>
      </c>
      <c r="AA21" s="185" t="s">
        <v>3</v>
      </c>
      <c r="AB21" s="185" t="s">
        <v>3</v>
      </c>
      <c r="AC21" s="185" t="s">
        <v>3</v>
      </c>
      <c r="AD21" s="185" t="s">
        <v>3</v>
      </c>
      <c r="AE21" s="185" t="s">
        <v>3</v>
      </c>
      <c r="AF21" s="185" t="s">
        <v>3</v>
      </c>
      <c r="AG21" s="185" t="s">
        <v>3</v>
      </c>
      <c r="AH21" s="185" t="s">
        <v>3</v>
      </c>
      <c r="AI21" s="185" t="s">
        <v>2</v>
      </c>
      <c r="AJ21" s="185" t="s">
        <v>2</v>
      </c>
      <c r="AK21" s="185" t="s">
        <v>3</v>
      </c>
      <c r="AL21" s="185" t="s">
        <v>3</v>
      </c>
      <c r="AM21" s="185" t="s">
        <v>3</v>
      </c>
      <c r="AN21" s="185" t="s">
        <v>3</v>
      </c>
      <c r="AO21" s="185" t="s">
        <v>3</v>
      </c>
      <c r="AP21" s="185" t="s">
        <v>3</v>
      </c>
      <c r="AQ21" s="185" t="s">
        <v>3</v>
      </c>
      <c r="AR21" s="185" t="s">
        <v>3</v>
      </c>
      <c r="AS21" s="185" t="s">
        <v>3</v>
      </c>
      <c r="AT21" s="185" t="s">
        <v>3</v>
      </c>
      <c r="AU21" s="185" t="s">
        <v>3</v>
      </c>
      <c r="AV21" s="185" t="s">
        <v>3</v>
      </c>
      <c r="AW21" s="185" t="s">
        <v>3</v>
      </c>
      <c r="AX21" s="185" t="s">
        <v>3</v>
      </c>
      <c r="AY21" s="185" t="s">
        <v>2</v>
      </c>
      <c r="AZ21" s="185" t="s">
        <v>2</v>
      </c>
      <c r="BA21" s="185" t="s">
        <v>3</v>
      </c>
      <c r="BB21" s="185" t="s">
        <v>1</v>
      </c>
      <c r="BC21" s="185" t="s">
        <v>3</v>
      </c>
      <c r="BD21" s="185" t="s">
        <v>5</v>
      </c>
      <c r="BE21" s="185" t="s">
        <v>3</v>
      </c>
      <c r="BF21" s="185" t="s">
        <v>3</v>
      </c>
      <c r="BG21" s="185" t="s">
        <v>2</v>
      </c>
      <c r="BH21" s="185" t="s">
        <v>2</v>
      </c>
      <c r="BI21" s="185" t="s">
        <v>1</v>
      </c>
      <c r="BJ21" s="185" t="s">
        <v>1092</v>
      </c>
      <c r="BK21" s="185" t="s">
        <v>3</v>
      </c>
      <c r="BL21" s="185" t="s">
        <v>2</v>
      </c>
      <c r="BM21" s="185" t="s">
        <v>2</v>
      </c>
      <c r="BN21" s="185" t="s">
        <v>3</v>
      </c>
      <c r="BO21" s="185" t="s">
        <v>2</v>
      </c>
      <c r="BP21" s="185" t="s">
        <v>2</v>
      </c>
      <c r="BQ21" s="185" t="s">
        <v>3</v>
      </c>
      <c r="BR21" s="185" t="s">
        <v>3</v>
      </c>
      <c r="BS21" s="185" t="s">
        <v>3</v>
      </c>
      <c r="BT21" s="185" t="s">
        <v>3</v>
      </c>
      <c r="BU21" s="185" t="s">
        <v>3</v>
      </c>
      <c r="BV21" s="185" t="s">
        <v>3</v>
      </c>
      <c r="BW21" s="185" t="s">
        <v>3</v>
      </c>
      <c r="BX21" s="185" t="s">
        <v>3</v>
      </c>
      <c r="BY21" s="185" t="s">
        <v>3</v>
      </c>
      <c r="BZ21" s="185" t="s">
        <v>5</v>
      </c>
      <c r="CA21" s="185" t="s">
        <v>3</v>
      </c>
      <c r="CB21" s="185" t="s">
        <v>1092</v>
      </c>
      <c r="CC21" s="185" t="s">
        <v>2</v>
      </c>
      <c r="CD21" s="185" t="s">
        <v>2</v>
      </c>
      <c r="CE21" s="185" t="s">
        <v>2</v>
      </c>
      <c r="CF21" s="185" t="s">
        <v>3</v>
      </c>
      <c r="CG21" s="185" t="s">
        <v>3</v>
      </c>
      <c r="CH21" s="185" t="s">
        <v>3</v>
      </c>
      <c r="CI21" s="185" t="s">
        <v>3</v>
      </c>
      <c r="CJ21" s="185" t="s">
        <v>2</v>
      </c>
      <c r="CK21" s="185" t="s">
        <v>1</v>
      </c>
      <c r="CL21" s="185" t="s">
        <v>3</v>
      </c>
      <c r="CM21" s="185" t="s">
        <v>1092</v>
      </c>
      <c r="CN21" s="185" t="s">
        <v>3</v>
      </c>
      <c r="CO21" s="185" t="s">
        <v>3</v>
      </c>
      <c r="CP21" s="185" t="s">
        <v>3</v>
      </c>
      <c r="CQ21" s="185" t="s">
        <v>2</v>
      </c>
      <c r="CR21" s="185" t="s">
        <v>3</v>
      </c>
      <c r="CS21" s="185" t="s">
        <v>3</v>
      </c>
      <c r="CT21" s="185" t="s">
        <v>3</v>
      </c>
      <c r="CU21" s="185" t="s">
        <v>3</v>
      </c>
      <c r="CV21" s="185" t="s">
        <v>3</v>
      </c>
      <c r="CW21" s="185" t="s">
        <v>2</v>
      </c>
      <c r="CX21" s="186"/>
      <c r="CY21" s="185">
        <v>20171572018</v>
      </c>
    </row>
    <row r="22" spans="1:104" ht="15.75" customHeight="1" x14ac:dyDescent="0.2">
      <c r="A22" s="184">
        <v>42873.404457766199</v>
      </c>
      <c r="B22" s="185" t="s">
        <v>2256</v>
      </c>
      <c r="C22" s="185" t="s">
        <v>2237</v>
      </c>
      <c r="D22" s="185">
        <v>1</v>
      </c>
      <c r="E22" s="185" t="s">
        <v>3</v>
      </c>
      <c r="F22" s="185" t="s">
        <v>3</v>
      </c>
      <c r="G22" s="185" t="s">
        <v>3</v>
      </c>
      <c r="H22" s="185" t="s">
        <v>3</v>
      </c>
      <c r="I22" s="185" t="s">
        <v>1093</v>
      </c>
      <c r="J22" s="185" t="s">
        <v>1</v>
      </c>
      <c r="K22" s="185" t="s">
        <v>2</v>
      </c>
      <c r="L22" s="185" t="s">
        <v>1092</v>
      </c>
      <c r="M22" s="185" t="s">
        <v>1093</v>
      </c>
      <c r="N22" s="185" t="s">
        <v>1092</v>
      </c>
      <c r="O22" s="185" t="s">
        <v>1093</v>
      </c>
      <c r="P22" s="185" t="s">
        <v>1093</v>
      </c>
      <c r="Q22" s="185" t="s">
        <v>1</v>
      </c>
      <c r="R22" s="185" t="s">
        <v>1093</v>
      </c>
      <c r="S22" s="185" t="s">
        <v>2</v>
      </c>
      <c r="T22" s="185" t="s">
        <v>1</v>
      </c>
      <c r="U22" s="185" t="s">
        <v>2</v>
      </c>
      <c r="V22" s="185" t="s">
        <v>3</v>
      </c>
      <c r="W22" s="185" t="s">
        <v>1092</v>
      </c>
      <c r="X22" s="185" t="s">
        <v>3</v>
      </c>
      <c r="Y22" s="185" t="s">
        <v>3</v>
      </c>
      <c r="Z22" s="185" t="s">
        <v>3</v>
      </c>
      <c r="AA22" s="185" t="s">
        <v>3</v>
      </c>
      <c r="AB22" s="185" t="s">
        <v>1092</v>
      </c>
      <c r="AC22" s="185" t="s">
        <v>3</v>
      </c>
      <c r="AD22" s="185" t="s">
        <v>1092</v>
      </c>
      <c r="AE22" s="185" t="s">
        <v>2</v>
      </c>
      <c r="AF22" s="185" t="s">
        <v>1092</v>
      </c>
      <c r="AG22" s="185" t="s">
        <v>1092</v>
      </c>
      <c r="AH22" s="185" t="s">
        <v>3</v>
      </c>
      <c r="AI22" s="185" t="s">
        <v>2</v>
      </c>
      <c r="AJ22" s="185" t="s">
        <v>3</v>
      </c>
      <c r="AK22" s="185" t="s">
        <v>3</v>
      </c>
      <c r="AL22" s="185" t="s">
        <v>3</v>
      </c>
      <c r="AM22" s="185" t="s">
        <v>2</v>
      </c>
      <c r="AN22" s="185" t="s">
        <v>2</v>
      </c>
      <c r="AO22" s="185" t="s">
        <v>2</v>
      </c>
      <c r="AP22" s="185" t="s">
        <v>1092</v>
      </c>
      <c r="AQ22" s="185" t="s">
        <v>3</v>
      </c>
      <c r="AR22" s="185" t="s">
        <v>1092</v>
      </c>
      <c r="AS22" s="185" t="s">
        <v>1092</v>
      </c>
      <c r="AT22" s="185" t="s">
        <v>1092</v>
      </c>
      <c r="AU22" s="185" t="s">
        <v>1092</v>
      </c>
      <c r="AV22" s="185" t="s">
        <v>3</v>
      </c>
      <c r="AW22" s="185" t="s">
        <v>3</v>
      </c>
      <c r="AX22" s="185" t="s">
        <v>3</v>
      </c>
      <c r="AY22" s="185" t="s">
        <v>2</v>
      </c>
      <c r="AZ22" s="185" t="s">
        <v>3</v>
      </c>
      <c r="BA22" s="185" t="s">
        <v>3</v>
      </c>
      <c r="BB22" s="185" t="s">
        <v>2</v>
      </c>
      <c r="BC22" s="185" t="s">
        <v>3</v>
      </c>
      <c r="BD22" s="185" t="s">
        <v>1</v>
      </c>
      <c r="BE22" s="185" t="s">
        <v>1092</v>
      </c>
      <c r="BF22" s="185" t="s">
        <v>2</v>
      </c>
      <c r="BG22" s="185" t="s">
        <v>2</v>
      </c>
      <c r="BH22" s="185" t="s">
        <v>2</v>
      </c>
      <c r="BI22" s="185" t="s">
        <v>2</v>
      </c>
      <c r="BJ22" s="185" t="s">
        <v>3</v>
      </c>
      <c r="BK22" s="185" t="s">
        <v>2</v>
      </c>
      <c r="BL22" s="185" t="s">
        <v>1092</v>
      </c>
      <c r="BM22" s="185" t="s">
        <v>2</v>
      </c>
      <c r="BN22" s="185" t="s">
        <v>3</v>
      </c>
      <c r="BO22" s="185" t="s">
        <v>3</v>
      </c>
      <c r="BP22" s="185" t="s">
        <v>3</v>
      </c>
      <c r="BQ22" s="185" t="s">
        <v>3</v>
      </c>
      <c r="BR22" s="185" t="s">
        <v>3</v>
      </c>
      <c r="BS22" s="185" t="s">
        <v>3</v>
      </c>
      <c r="BT22" s="185" t="s">
        <v>2</v>
      </c>
      <c r="BU22" s="185" t="s">
        <v>2</v>
      </c>
      <c r="BV22" s="185" t="s">
        <v>2</v>
      </c>
      <c r="BW22" s="185" t="s">
        <v>3</v>
      </c>
      <c r="BX22" s="185" t="s">
        <v>3</v>
      </c>
      <c r="BY22" s="185" t="s">
        <v>3</v>
      </c>
      <c r="BZ22" s="185" t="s">
        <v>1093</v>
      </c>
      <c r="CA22" s="185" t="s">
        <v>3</v>
      </c>
      <c r="CB22" s="185" t="s">
        <v>2</v>
      </c>
      <c r="CC22" s="185" t="s">
        <v>3</v>
      </c>
      <c r="CD22" s="185" t="s">
        <v>2</v>
      </c>
      <c r="CE22" s="185" t="s">
        <v>1092</v>
      </c>
      <c r="CF22" s="185" t="s">
        <v>3</v>
      </c>
      <c r="CG22" s="185" t="s">
        <v>3</v>
      </c>
      <c r="CH22" s="185" t="s">
        <v>2</v>
      </c>
      <c r="CI22" s="185" t="s">
        <v>3</v>
      </c>
      <c r="CJ22" s="185" t="s">
        <v>3</v>
      </c>
      <c r="CK22" s="185" t="s">
        <v>1092</v>
      </c>
      <c r="CL22" s="185" t="s">
        <v>2</v>
      </c>
      <c r="CM22" s="185" t="s">
        <v>1093</v>
      </c>
      <c r="CN22" s="185" t="s">
        <v>2</v>
      </c>
      <c r="CO22" s="185" t="s">
        <v>2</v>
      </c>
      <c r="CP22" s="185" t="s">
        <v>2</v>
      </c>
      <c r="CQ22" s="185" t="s">
        <v>2</v>
      </c>
      <c r="CR22" s="185" t="s">
        <v>2</v>
      </c>
      <c r="CS22" s="185" t="s">
        <v>2</v>
      </c>
      <c r="CT22" s="185" t="s">
        <v>2</v>
      </c>
      <c r="CU22" s="185" t="s">
        <v>2</v>
      </c>
      <c r="CV22" s="185" t="s">
        <v>2</v>
      </c>
      <c r="CW22" s="185" t="s">
        <v>2</v>
      </c>
      <c r="CX22" s="186"/>
      <c r="CY22" s="185">
        <v>20171572022</v>
      </c>
    </row>
    <row r="23" spans="1:104" ht="15.75" customHeight="1" x14ac:dyDescent="0.2">
      <c r="A23" s="184">
        <v>42873.406190439811</v>
      </c>
      <c r="B23" s="185" t="s">
        <v>2257</v>
      </c>
      <c r="C23" s="185" t="s">
        <v>2235</v>
      </c>
      <c r="D23" s="185">
        <v>1</v>
      </c>
      <c r="E23" s="185" t="s">
        <v>1092</v>
      </c>
      <c r="F23" s="185" t="s">
        <v>1092</v>
      </c>
      <c r="G23" s="185" t="s">
        <v>3</v>
      </c>
      <c r="H23" s="185" t="s">
        <v>3</v>
      </c>
      <c r="I23" s="185" t="s">
        <v>1093</v>
      </c>
      <c r="J23" s="185" t="s">
        <v>1093</v>
      </c>
      <c r="K23" s="185" t="s">
        <v>2</v>
      </c>
      <c r="L23" s="185" t="s">
        <v>1092</v>
      </c>
      <c r="M23" s="185" t="s">
        <v>5</v>
      </c>
      <c r="N23" s="185" t="s">
        <v>2</v>
      </c>
      <c r="O23" s="185" t="s">
        <v>1093</v>
      </c>
      <c r="P23" s="185" t="s">
        <v>1093</v>
      </c>
      <c r="Q23" s="185" t="s">
        <v>1092</v>
      </c>
      <c r="R23" s="185" t="s">
        <v>1092</v>
      </c>
      <c r="S23" s="185" t="s">
        <v>3</v>
      </c>
      <c r="T23" s="185" t="s">
        <v>1</v>
      </c>
      <c r="U23" s="185" t="s">
        <v>5</v>
      </c>
      <c r="V23" s="185" t="s">
        <v>1092</v>
      </c>
      <c r="W23" s="185" t="s">
        <v>3</v>
      </c>
      <c r="X23" s="185" t="s">
        <v>1092</v>
      </c>
      <c r="Y23" s="185" t="s">
        <v>1092</v>
      </c>
      <c r="Z23" s="185" t="s">
        <v>1092</v>
      </c>
      <c r="AA23" s="185" t="s">
        <v>1092</v>
      </c>
      <c r="AB23" s="185" t="s">
        <v>5</v>
      </c>
      <c r="AC23" s="185" t="s">
        <v>5</v>
      </c>
      <c r="AD23" s="185" t="s">
        <v>1092</v>
      </c>
      <c r="AE23" s="185" t="s">
        <v>1092</v>
      </c>
      <c r="AF23" s="185" t="s">
        <v>1092</v>
      </c>
      <c r="AG23" s="185" t="s">
        <v>1092</v>
      </c>
      <c r="AH23" s="185" t="s">
        <v>1092</v>
      </c>
      <c r="AI23" s="185" t="s">
        <v>1092</v>
      </c>
      <c r="AJ23" s="185" t="s">
        <v>3</v>
      </c>
      <c r="AK23" s="185" t="s">
        <v>3</v>
      </c>
      <c r="AL23" s="185" t="s">
        <v>3</v>
      </c>
      <c r="AM23" s="185" t="s">
        <v>3</v>
      </c>
      <c r="AN23" s="185" t="s">
        <v>3</v>
      </c>
      <c r="AO23" s="185" t="s">
        <v>2</v>
      </c>
      <c r="AP23" s="185" t="s">
        <v>1092</v>
      </c>
      <c r="AQ23" s="185" t="s">
        <v>1092</v>
      </c>
      <c r="AR23" s="185" t="s">
        <v>1092</v>
      </c>
      <c r="AS23" s="185" t="s">
        <v>1092</v>
      </c>
      <c r="AT23" s="185" t="s">
        <v>1092</v>
      </c>
      <c r="AU23" s="185" t="s">
        <v>1093</v>
      </c>
      <c r="AV23" s="185" t="s">
        <v>1092</v>
      </c>
      <c r="AW23" s="185" t="s">
        <v>1092</v>
      </c>
      <c r="AX23" s="185" t="s">
        <v>1092</v>
      </c>
      <c r="AY23" s="185" t="s">
        <v>1092</v>
      </c>
      <c r="AZ23" s="185" t="s">
        <v>1093</v>
      </c>
      <c r="BA23" s="185" t="s">
        <v>1092</v>
      </c>
      <c r="BB23" s="185" t="s">
        <v>5</v>
      </c>
      <c r="BC23" s="185" t="s">
        <v>1093</v>
      </c>
      <c r="BD23" s="185" t="s">
        <v>1093</v>
      </c>
      <c r="BE23" s="185" t="s">
        <v>1092</v>
      </c>
      <c r="BF23" s="185" t="s">
        <v>5</v>
      </c>
      <c r="BG23" s="185" t="s">
        <v>5</v>
      </c>
      <c r="BH23" s="185" t="s">
        <v>5</v>
      </c>
      <c r="BI23" s="185" t="s">
        <v>1092</v>
      </c>
      <c r="BJ23" s="185" t="s">
        <v>1092</v>
      </c>
      <c r="BK23" s="185" t="s">
        <v>1092</v>
      </c>
      <c r="BL23" s="185" t="s">
        <v>3</v>
      </c>
      <c r="BM23" s="185" t="s">
        <v>3</v>
      </c>
      <c r="BN23" s="185" t="s">
        <v>3</v>
      </c>
      <c r="BO23" s="185" t="s">
        <v>3</v>
      </c>
      <c r="BP23" s="185" t="s">
        <v>1092</v>
      </c>
      <c r="BQ23" s="185" t="s">
        <v>1092</v>
      </c>
      <c r="BR23" s="185" t="s">
        <v>1092</v>
      </c>
      <c r="BS23" s="185" t="s">
        <v>1092</v>
      </c>
      <c r="BT23" s="185" t="s">
        <v>1</v>
      </c>
      <c r="BU23" s="185" t="s">
        <v>1</v>
      </c>
      <c r="BV23" s="185" t="s">
        <v>2</v>
      </c>
      <c r="BW23" s="185" t="s">
        <v>3</v>
      </c>
      <c r="BX23" s="185" t="s">
        <v>1092</v>
      </c>
      <c r="BY23" s="185" t="s">
        <v>5</v>
      </c>
      <c r="BZ23" s="185" t="s">
        <v>1093</v>
      </c>
      <c r="CA23" s="185" t="s">
        <v>1092</v>
      </c>
      <c r="CB23" s="185" t="s">
        <v>2</v>
      </c>
      <c r="CC23" s="185" t="s">
        <v>3</v>
      </c>
      <c r="CD23" s="185" t="s">
        <v>1092</v>
      </c>
      <c r="CE23" s="185" t="s">
        <v>1092</v>
      </c>
      <c r="CF23" s="185" t="s">
        <v>1092</v>
      </c>
      <c r="CG23" s="185" t="s">
        <v>3</v>
      </c>
      <c r="CH23" s="185" t="s">
        <v>3</v>
      </c>
      <c r="CI23" s="185" t="s">
        <v>5</v>
      </c>
      <c r="CJ23" s="185" t="s">
        <v>1092</v>
      </c>
      <c r="CK23" s="185" t="s">
        <v>5</v>
      </c>
      <c r="CL23" s="185" t="s">
        <v>1093</v>
      </c>
      <c r="CM23" s="185" t="s">
        <v>1</v>
      </c>
      <c r="CN23" s="185" t="s">
        <v>5</v>
      </c>
      <c r="CO23" s="185" t="s">
        <v>1092</v>
      </c>
      <c r="CP23" s="185" t="s">
        <v>3</v>
      </c>
      <c r="CQ23" s="185" t="s">
        <v>1</v>
      </c>
      <c r="CR23" s="185" t="s">
        <v>1</v>
      </c>
      <c r="CS23" s="185" t="s">
        <v>3</v>
      </c>
      <c r="CT23" s="185" t="s">
        <v>2</v>
      </c>
      <c r="CU23" s="185" t="s">
        <v>3</v>
      </c>
      <c r="CV23" s="185" t="s">
        <v>1</v>
      </c>
      <c r="CW23" s="185" t="s">
        <v>1092</v>
      </c>
      <c r="CX23" s="186"/>
      <c r="CY23" s="185">
        <v>20171572017</v>
      </c>
    </row>
    <row r="24" spans="1:104" ht="15.75" customHeight="1" x14ac:dyDescent="0.2">
      <c r="A24" s="184">
        <v>42873.407055185184</v>
      </c>
      <c r="B24" s="185" t="s">
        <v>2258</v>
      </c>
      <c r="C24" s="185" t="s">
        <v>2237</v>
      </c>
      <c r="D24" s="185">
        <v>1</v>
      </c>
      <c r="E24" s="185" t="s">
        <v>1092</v>
      </c>
      <c r="F24" s="185" t="s">
        <v>2</v>
      </c>
      <c r="G24" s="185" t="s">
        <v>3</v>
      </c>
      <c r="H24" s="185" t="s">
        <v>2</v>
      </c>
      <c r="I24" s="185" t="s">
        <v>5</v>
      </c>
      <c r="J24" s="185" t="s">
        <v>1093</v>
      </c>
      <c r="K24" s="185" t="s">
        <v>3</v>
      </c>
      <c r="L24" s="185" t="s">
        <v>1</v>
      </c>
      <c r="M24" s="185" t="s">
        <v>3</v>
      </c>
      <c r="N24" s="185" t="s">
        <v>3</v>
      </c>
      <c r="O24" s="185" t="s">
        <v>1093</v>
      </c>
      <c r="P24" s="185" t="s">
        <v>1093</v>
      </c>
      <c r="Q24" s="185" t="s">
        <v>1092</v>
      </c>
      <c r="R24" s="185" t="s">
        <v>3</v>
      </c>
      <c r="S24" s="185" t="s">
        <v>2</v>
      </c>
      <c r="T24" s="185" t="s">
        <v>2</v>
      </c>
      <c r="U24" s="185" t="s">
        <v>3</v>
      </c>
      <c r="V24" s="185" t="s">
        <v>3</v>
      </c>
      <c r="W24" s="185" t="s">
        <v>3</v>
      </c>
      <c r="X24" s="185" t="s">
        <v>3</v>
      </c>
      <c r="Y24" s="185" t="s">
        <v>1092</v>
      </c>
      <c r="Z24" s="185" t="s">
        <v>3</v>
      </c>
      <c r="AA24" s="185" t="s">
        <v>1092</v>
      </c>
      <c r="AB24" s="185" t="s">
        <v>3</v>
      </c>
      <c r="AC24" s="185" t="s">
        <v>3</v>
      </c>
      <c r="AD24" s="185" t="s">
        <v>2</v>
      </c>
      <c r="AE24" s="185" t="s">
        <v>1092</v>
      </c>
      <c r="AF24" s="185" t="s">
        <v>3</v>
      </c>
      <c r="AG24" s="185" t="s">
        <v>1092</v>
      </c>
      <c r="AH24" s="185" t="s">
        <v>1092</v>
      </c>
      <c r="AI24" s="185" t="s">
        <v>3</v>
      </c>
      <c r="AJ24" s="185" t="s">
        <v>1092</v>
      </c>
      <c r="AK24" s="185" t="s">
        <v>3</v>
      </c>
      <c r="AL24" s="185" t="s">
        <v>2</v>
      </c>
      <c r="AM24" s="185" t="s">
        <v>3</v>
      </c>
      <c r="AN24" s="185" t="s">
        <v>3</v>
      </c>
      <c r="AO24" s="185" t="s">
        <v>3</v>
      </c>
      <c r="AP24" s="185" t="s">
        <v>1092</v>
      </c>
      <c r="AQ24" s="185" t="s">
        <v>1092</v>
      </c>
      <c r="AR24" s="185" t="s">
        <v>1092</v>
      </c>
      <c r="AS24" s="185" t="s">
        <v>1092</v>
      </c>
      <c r="AT24" s="185" t="s">
        <v>1092</v>
      </c>
      <c r="AU24" s="185" t="s">
        <v>3</v>
      </c>
      <c r="AV24" s="185" t="s">
        <v>3</v>
      </c>
      <c r="AW24" s="185" t="s">
        <v>3</v>
      </c>
      <c r="AX24" s="185" t="s">
        <v>3</v>
      </c>
      <c r="AY24" s="185" t="s">
        <v>3</v>
      </c>
      <c r="AZ24" s="185" t="s">
        <v>3</v>
      </c>
      <c r="BA24" s="185" t="s">
        <v>1092</v>
      </c>
      <c r="BB24" s="185" t="s">
        <v>5</v>
      </c>
      <c r="BC24" s="185" t="s">
        <v>1093</v>
      </c>
      <c r="BD24" s="185" t="s">
        <v>5</v>
      </c>
      <c r="BE24" s="185" t="s">
        <v>1092</v>
      </c>
      <c r="BF24" s="185" t="s">
        <v>3</v>
      </c>
      <c r="BG24" s="185" t="s">
        <v>1092</v>
      </c>
      <c r="BH24" s="185" t="s">
        <v>2</v>
      </c>
      <c r="BI24" s="185" t="s">
        <v>1</v>
      </c>
      <c r="BJ24" s="185" t="s">
        <v>1</v>
      </c>
      <c r="BK24" s="185" t="s">
        <v>1</v>
      </c>
      <c r="BL24" s="185" t="s">
        <v>3</v>
      </c>
      <c r="BM24" s="185" t="s">
        <v>3</v>
      </c>
      <c r="BN24" s="185" t="s">
        <v>3</v>
      </c>
      <c r="BO24" s="185" t="s">
        <v>3</v>
      </c>
      <c r="BP24" s="185" t="s">
        <v>3</v>
      </c>
      <c r="BQ24" s="185" t="s">
        <v>1</v>
      </c>
      <c r="BR24" s="185" t="s">
        <v>3</v>
      </c>
      <c r="BS24" s="185" t="s">
        <v>3</v>
      </c>
      <c r="BT24" s="185" t="s">
        <v>2</v>
      </c>
      <c r="BU24" s="185" t="s">
        <v>2</v>
      </c>
      <c r="BV24" s="185" t="s">
        <v>2</v>
      </c>
      <c r="BW24" s="185" t="s">
        <v>3</v>
      </c>
      <c r="BX24" s="185" t="s">
        <v>1092</v>
      </c>
      <c r="BY24" s="185" t="s">
        <v>3</v>
      </c>
      <c r="BZ24" s="185" t="s">
        <v>1</v>
      </c>
      <c r="CA24" s="185" t="s">
        <v>1092</v>
      </c>
      <c r="CB24" s="185" t="s">
        <v>2</v>
      </c>
      <c r="CC24" s="185" t="s">
        <v>2</v>
      </c>
      <c r="CD24" s="185" t="s">
        <v>3</v>
      </c>
      <c r="CE24" s="185" t="s">
        <v>1092</v>
      </c>
      <c r="CF24" s="185" t="s">
        <v>1092</v>
      </c>
      <c r="CG24" s="185" t="s">
        <v>1092</v>
      </c>
      <c r="CH24" s="185" t="s">
        <v>1092</v>
      </c>
      <c r="CI24" s="185" t="s">
        <v>1092</v>
      </c>
      <c r="CJ24" s="185" t="s">
        <v>2</v>
      </c>
      <c r="CK24" s="185" t="s">
        <v>3</v>
      </c>
      <c r="CL24" s="185" t="s">
        <v>1093</v>
      </c>
      <c r="CM24" s="185" t="s">
        <v>5</v>
      </c>
      <c r="CN24" s="185" t="s">
        <v>5</v>
      </c>
      <c r="CO24" s="185" t="s">
        <v>3</v>
      </c>
      <c r="CP24" s="185" t="s">
        <v>3</v>
      </c>
      <c r="CQ24" s="185" t="s">
        <v>2</v>
      </c>
      <c r="CR24" s="185" t="s">
        <v>1</v>
      </c>
      <c r="CS24" s="185" t="s">
        <v>3</v>
      </c>
      <c r="CT24" s="185" t="s">
        <v>3</v>
      </c>
      <c r="CU24" s="185" t="s">
        <v>3</v>
      </c>
      <c r="CV24" s="185" t="s">
        <v>3</v>
      </c>
      <c r="CW24" s="185" t="s">
        <v>2</v>
      </c>
      <c r="CX24" s="186"/>
      <c r="CY24" s="185">
        <v>20171572011</v>
      </c>
    </row>
    <row r="25" spans="1:104" ht="15.75" customHeight="1" x14ac:dyDescent="0.2">
      <c r="A25" s="184">
        <v>42873.407080914352</v>
      </c>
      <c r="B25" s="185" t="s">
        <v>2259</v>
      </c>
      <c r="C25" s="185" t="s">
        <v>2237</v>
      </c>
      <c r="D25" s="185">
        <v>1</v>
      </c>
      <c r="E25" s="185" t="s">
        <v>1092</v>
      </c>
      <c r="F25" s="185" t="s">
        <v>1092</v>
      </c>
      <c r="G25" s="185" t="s">
        <v>1092</v>
      </c>
      <c r="H25" s="185" t="s">
        <v>1092</v>
      </c>
      <c r="I25" s="185" t="s">
        <v>1093</v>
      </c>
      <c r="J25" s="185" t="s">
        <v>1093</v>
      </c>
      <c r="K25" s="185" t="s">
        <v>1092</v>
      </c>
      <c r="L25" s="185" t="s">
        <v>1092</v>
      </c>
      <c r="M25" s="185" t="s">
        <v>1093</v>
      </c>
      <c r="N25" s="185" t="s">
        <v>3</v>
      </c>
      <c r="O25" s="185" t="s">
        <v>1</v>
      </c>
      <c r="P25" s="185" t="s">
        <v>1093</v>
      </c>
      <c r="Q25" s="185" t="s">
        <v>1093</v>
      </c>
      <c r="R25" s="185" t="s">
        <v>3</v>
      </c>
      <c r="S25" s="185" t="s">
        <v>2</v>
      </c>
      <c r="T25" s="185" t="s">
        <v>3</v>
      </c>
      <c r="U25" s="185" t="s">
        <v>2</v>
      </c>
      <c r="V25" s="185" t="s">
        <v>3</v>
      </c>
      <c r="W25" s="185" t="s">
        <v>3</v>
      </c>
      <c r="X25" s="185" t="s">
        <v>1092</v>
      </c>
      <c r="Y25" s="185" t="s">
        <v>3</v>
      </c>
      <c r="Z25" s="185" t="s">
        <v>3</v>
      </c>
      <c r="AA25" s="185" t="s">
        <v>3</v>
      </c>
      <c r="AB25" s="185" t="s">
        <v>1092</v>
      </c>
      <c r="AC25" s="185" t="s">
        <v>3</v>
      </c>
      <c r="AD25" s="185" t="s">
        <v>3</v>
      </c>
      <c r="AE25" s="185" t="s">
        <v>1093</v>
      </c>
      <c r="AF25" s="185" t="s">
        <v>2</v>
      </c>
      <c r="AG25" s="185" t="s">
        <v>1</v>
      </c>
      <c r="AH25" s="185" t="s">
        <v>2</v>
      </c>
      <c r="AI25" s="185" t="s">
        <v>3</v>
      </c>
      <c r="AJ25" s="185" t="s">
        <v>1092</v>
      </c>
      <c r="AK25" s="185" t="s">
        <v>2</v>
      </c>
      <c r="AL25" s="185" t="s">
        <v>2</v>
      </c>
      <c r="AM25" s="185" t="s">
        <v>1</v>
      </c>
      <c r="AN25" s="185" t="s">
        <v>3</v>
      </c>
      <c r="AO25" s="185" t="s">
        <v>2</v>
      </c>
      <c r="AP25" s="185" t="s">
        <v>1092</v>
      </c>
      <c r="AQ25" s="185" t="s">
        <v>1092</v>
      </c>
      <c r="AR25" s="185" t="s">
        <v>1092</v>
      </c>
      <c r="AS25" s="185" t="s">
        <v>1092</v>
      </c>
      <c r="AT25" s="185" t="s">
        <v>1092</v>
      </c>
      <c r="AU25" s="185" t="s">
        <v>1092</v>
      </c>
      <c r="AV25" s="185" t="s">
        <v>3</v>
      </c>
      <c r="AW25" s="185" t="s">
        <v>3</v>
      </c>
      <c r="AX25" s="185" t="s">
        <v>3</v>
      </c>
      <c r="AY25" s="185" t="s">
        <v>3</v>
      </c>
      <c r="AZ25" s="185" t="s">
        <v>1092</v>
      </c>
      <c r="BA25" s="185" t="s">
        <v>2</v>
      </c>
      <c r="BB25" s="185" t="s">
        <v>2</v>
      </c>
      <c r="BC25" s="185" t="s">
        <v>2</v>
      </c>
      <c r="BD25" s="185" t="s">
        <v>2</v>
      </c>
      <c r="BE25" s="185" t="s">
        <v>3</v>
      </c>
      <c r="BF25" s="185" t="s">
        <v>2</v>
      </c>
      <c r="BG25" s="185" t="s">
        <v>2</v>
      </c>
      <c r="BH25" s="185" t="s">
        <v>3</v>
      </c>
      <c r="BI25" s="185" t="s">
        <v>1</v>
      </c>
      <c r="BJ25" s="185" t="s">
        <v>3</v>
      </c>
      <c r="BK25" s="185" t="s">
        <v>3</v>
      </c>
      <c r="BL25" s="185" t="s">
        <v>3</v>
      </c>
      <c r="BM25" s="185" t="s">
        <v>2</v>
      </c>
      <c r="BN25" s="185" t="s">
        <v>3</v>
      </c>
      <c r="BO25" s="185" t="s">
        <v>3</v>
      </c>
      <c r="BP25" s="185" t="s">
        <v>3</v>
      </c>
      <c r="BQ25" s="185" t="s">
        <v>3</v>
      </c>
      <c r="BR25" s="185" t="s">
        <v>3</v>
      </c>
      <c r="BS25" s="185" t="s">
        <v>3</v>
      </c>
      <c r="BT25" s="185" t="s">
        <v>2</v>
      </c>
      <c r="BU25" s="185" t="s">
        <v>2</v>
      </c>
      <c r="BV25" s="185" t="s">
        <v>3</v>
      </c>
      <c r="BW25" s="185" t="s">
        <v>3</v>
      </c>
      <c r="BX25" s="185" t="s">
        <v>1092</v>
      </c>
      <c r="BY25" s="185" t="s">
        <v>1092</v>
      </c>
      <c r="BZ25" s="185" t="s">
        <v>2</v>
      </c>
      <c r="CA25" s="185" t="s">
        <v>1092</v>
      </c>
      <c r="CB25" s="185" t="s">
        <v>1092</v>
      </c>
      <c r="CC25" s="185" t="s">
        <v>3</v>
      </c>
      <c r="CD25" s="185" t="s">
        <v>1092</v>
      </c>
      <c r="CE25" s="185" t="s">
        <v>1092</v>
      </c>
      <c r="CF25" s="185" t="s">
        <v>3</v>
      </c>
      <c r="CG25" s="185" t="s">
        <v>3</v>
      </c>
      <c r="CH25" s="185" t="s">
        <v>2</v>
      </c>
      <c r="CI25" s="185" t="s">
        <v>2</v>
      </c>
      <c r="CJ25" s="185" t="s">
        <v>2</v>
      </c>
      <c r="CK25" s="185" t="s">
        <v>2</v>
      </c>
      <c r="CL25" s="185" t="s">
        <v>2</v>
      </c>
      <c r="CM25" s="185" t="s">
        <v>2</v>
      </c>
      <c r="CN25" s="185" t="s">
        <v>2</v>
      </c>
      <c r="CO25" s="185" t="s">
        <v>2</v>
      </c>
      <c r="CP25" s="185" t="s">
        <v>2</v>
      </c>
      <c r="CQ25" s="185" t="s">
        <v>2</v>
      </c>
      <c r="CR25" s="185" t="s">
        <v>2</v>
      </c>
      <c r="CS25" s="185" t="s">
        <v>1</v>
      </c>
      <c r="CT25" s="185" t="s">
        <v>3</v>
      </c>
      <c r="CU25" s="185" t="s">
        <v>2</v>
      </c>
      <c r="CV25" s="185" t="s">
        <v>2</v>
      </c>
      <c r="CW25" s="185" t="s">
        <v>2</v>
      </c>
      <c r="CX25" s="186"/>
      <c r="CY25" s="185">
        <v>20171572023</v>
      </c>
    </row>
    <row r="26" spans="1:104" ht="12.75" x14ac:dyDescent="0.2">
      <c r="A26" s="184">
        <v>42873.407403518519</v>
      </c>
      <c r="B26" s="185" t="s">
        <v>2260</v>
      </c>
      <c r="C26" s="185" t="s">
        <v>2237</v>
      </c>
      <c r="D26" s="185">
        <v>1</v>
      </c>
      <c r="E26" s="185" t="s">
        <v>3</v>
      </c>
      <c r="F26" s="185" t="s">
        <v>3</v>
      </c>
      <c r="G26" s="185" t="s">
        <v>2</v>
      </c>
      <c r="H26" s="185" t="s">
        <v>3</v>
      </c>
      <c r="I26" s="185" t="s">
        <v>1</v>
      </c>
      <c r="J26" s="185" t="s">
        <v>2</v>
      </c>
      <c r="K26" s="185" t="s">
        <v>3</v>
      </c>
      <c r="L26" s="185" t="s">
        <v>5</v>
      </c>
      <c r="M26" s="185" t="s">
        <v>2</v>
      </c>
      <c r="N26" s="185" t="s">
        <v>2</v>
      </c>
      <c r="O26" s="185" t="s">
        <v>1</v>
      </c>
      <c r="P26" s="185" t="s">
        <v>1</v>
      </c>
      <c r="Q26" s="185" t="s">
        <v>2</v>
      </c>
      <c r="R26" s="185" t="s">
        <v>2</v>
      </c>
      <c r="S26" s="185" t="s">
        <v>2</v>
      </c>
      <c r="T26" s="185" t="s">
        <v>1</v>
      </c>
      <c r="U26" s="185" t="s">
        <v>1</v>
      </c>
      <c r="V26" s="185" t="s">
        <v>3</v>
      </c>
      <c r="W26" s="185" t="s">
        <v>3</v>
      </c>
      <c r="X26" s="185" t="s">
        <v>3</v>
      </c>
      <c r="Y26" s="185" t="s">
        <v>3</v>
      </c>
      <c r="Z26" s="185" t="s">
        <v>3</v>
      </c>
      <c r="AA26" s="185" t="s">
        <v>3</v>
      </c>
      <c r="AB26" s="185" t="s">
        <v>3</v>
      </c>
      <c r="AC26" s="185" t="s">
        <v>2</v>
      </c>
      <c r="AD26" s="185" t="s">
        <v>5</v>
      </c>
      <c r="AE26" s="185" t="s">
        <v>2</v>
      </c>
      <c r="AF26" s="185" t="s">
        <v>3</v>
      </c>
      <c r="AG26" s="185" t="s">
        <v>5</v>
      </c>
      <c r="AH26" s="185" t="s">
        <v>5</v>
      </c>
      <c r="AI26" s="185" t="s">
        <v>3</v>
      </c>
      <c r="AJ26" s="185" t="s">
        <v>3</v>
      </c>
      <c r="AK26" s="185" t="s">
        <v>3</v>
      </c>
      <c r="AL26" s="185" t="s">
        <v>2</v>
      </c>
      <c r="AM26" s="185" t="s">
        <v>3</v>
      </c>
      <c r="AN26" s="185" t="s">
        <v>2</v>
      </c>
      <c r="AO26" s="185" t="s">
        <v>2</v>
      </c>
      <c r="AP26" s="185" t="s">
        <v>3</v>
      </c>
      <c r="AQ26" s="185" t="s">
        <v>3</v>
      </c>
      <c r="AR26" s="185" t="s">
        <v>3</v>
      </c>
      <c r="AS26" s="185" t="s">
        <v>3</v>
      </c>
      <c r="AT26" s="185" t="s">
        <v>3</v>
      </c>
      <c r="AU26" s="185" t="s">
        <v>2</v>
      </c>
      <c r="AV26" s="185" t="s">
        <v>2</v>
      </c>
      <c r="AW26" s="185" t="s">
        <v>3</v>
      </c>
      <c r="AX26" s="185" t="s">
        <v>3</v>
      </c>
      <c r="AY26" s="185" t="s">
        <v>3</v>
      </c>
      <c r="AZ26" s="185" t="s">
        <v>2</v>
      </c>
      <c r="BA26" s="185" t="s">
        <v>1</v>
      </c>
      <c r="BB26" s="185" t="s">
        <v>1</v>
      </c>
      <c r="BC26" s="185" t="s">
        <v>5</v>
      </c>
      <c r="BD26" s="185" t="s">
        <v>1</v>
      </c>
      <c r="BE26" s="185" t="s">
        <v>3</v>
      </c>
      <c r="BF26" s="185" t="s">
        <v>2</v>
      </c>
      <c r="BG26" s="185" t="s">
        <v>2</v>
      </c>
      <c r="BH26" s="185" t="s">
        <v>2</v>
      </c>
      <c r="BI26" s="185" t="s">
        <v>1</v>
      </c>
      <c r="BJ26" s="185" t="s">
        <v>1</v>
      </c>
      <c r="BK26" s="185" t="s">
        <v>2</v>
      </c>
      <c r="BL26" s="185" t="s">
        <v>2</v>
      </c>
      <c r="BM26" s="185" t="s">
        <v>1</v>
      </c>
      <c r="BN26" s="185" t="s">
        <v>2</v>
      </c>
      <c r="BO26" s="185" t="s">
        <v>2</v>
      </c>
      <c r="BP26" s="185" t="s">
        <v>3</v>
      </c>
      <c r="BQ26" s="185" t="s">
        <v>2</v>
      </c>
      <c r="BR26" s="185" t="s">
        <v>2</v>
      </c>
      <c r="BS26" s="185" t="s">
        <v>2</v>
      </c>
      <c r="BT26" s="185" t="s">
        <v>1</v>
      </c>
      <c r="BU26" s="185" t="s">
        <v>1</v>
      </c>
      <c r="BV26" s="185" t="s">
        <v>1</v>
      </c>
      <c r="BW26" s="185" t="s">
        <v>2</v>
      </c>
      <c r="BX26" s="185" t="s">
        <v>3</v>
      </c>
      <c r="BY26" s="185" t="s">
        <v>2</v>
      </c>
      <c r="BZ26" s="185" t="s">
        <v>1</v>
      </c>
      <c r="CA26" s="185" t="s">
        <v>2</v>
      </c>
      <c r="CB26" s="185" t="s">
        <v>1</v>
      </c>
      <c r="CC26" s="185" t="s">
        <v>2</v>
      </c>
      <c r="CD26" s="185" t="s">
        <v>2</v>
      </c>
      <c r="CE26" s="185" t="s">
        <v>3</v>
      </c>
      <c r="CF26" s="185" t="s">
        <v>3</v>
      </c>
      <c r="CG26" s="185" t="s">
        <v>3</v>
      </c>
      <c r="CH26" s="185" t="s">
        <v>2</v>
      </c>
      <c r="CI26" s="185" t="s">
        <v>2</v>
      </c>
      <c r="CJ26" s="185" t="s">
        <v>2</v>
      </c>
      <c r="CK26" s="185" t="s">
        <v>2</v>
      </c>
      <c r="CL26" s="185" t="s">
        <v>2</v>
      </c>
      <c r="CM26" s="185" t="s">
        <v>3</v>
      </c>
      <c r="CN26" s="185" t="s">
        <v>5</v>
      </c>
      <c r="CO26" s="185" t="s">
        <v>2</v>
      </c>
      <c r="CP26" s="185" t="s">
        <v>2</v>
      </c>
      <c r="CQ26" s="185" t="s">
        <v>2</v>
      </c>
      <c r="CR26" s="185" t="s">
        <v>2</v>
      </c>
      <c r="CS26" s="185" t="s">
        <v>2</v>
      </c>
      <c r="CT26" s="185" t="s">
        <v>2</v>
      </c>
      <c r="CU26" s="185" t="s">
        <v>1</v>
      </c>
      <c r="CV26" s="185" t="s">
        <v>1</v>
      </c>
      <c r="CW26" s="185" t="s">
        <v>2</v>
      </c>
      <c r="CX26" s="186"/>
      <c r="CY26" s="185">
        <v>20171572020</v>
      </c>
    </row>
    <row r="27" spans="1:104" ht="12.75" x14ac:dyDescent="0.2">
      <c r="A27" s="184">
        <v>42873.414577268515</v>
      </c>
      <c r="B27" s="185" t="s">
        <v>2261</v>
      </c>
      <c r="C27" s="185" t="s">
        <v>2237</v>
      </c>
      <c r="D27" s="185">
        <v>1</v>
      </c>
      <c r="E27" s="185" t="s">
        <v>1092</v>
      </c>
      <c r="F27" s="185" t="s">
        <v>1092</v>
      </c>
      <c r="G27" s="185" t="s">
        <v>1092</v>
      </c>
      <c r="H27" s="185" t="s">
        <v>3</v>
      </c>
      <c r="I27" s="185" t="s">
        <v>1093</v>
      </c>
      <c r="J27" s="185" t="s">
        <v>3</v>
      </c>
      <c r="K27" s="185" t="s">
        <v>1</v>
      </c>
      <c r="L27" s="185" t="s">
        <v>1093</v>
      </c>
      <c r="M27" s="185" t="s">
        <v>2</v>
      </c>
      <c r="N27" s="185" t="s">
        <v>3</v>
      </c>
      <c r="O27" s="185" t="s">
        <v>3</v>
      </c>
      <c r="P27" s="185" t="s">
        <v>1</v>
      </c>
      <c r="Q27" s="185" t="s">
        <v>5</v>
      </c>
      <c r="R27" s="185" t="s">
        <v>1092</v>
      </c>
      <c r="S27" s="185" t="s">
        <v>1092</v>
      </c>
      <c r="T27" s="185" t="s">
        <v>3</v>
      </c>
      <c r="U27" s="185" t="s">
        <v>3</v>
      </c>
      <c r="V27" s="185" t="s">
        <v>1092</v>
      </c>
      <c r="W27" s="185" t="s">
        <v>1092</v>
      </c>
      <c r="X27" s="185" t="s">
        <v>1092</v>
      </c>
      <c r="Y27" s="185" t="s">
        <v>1092</v>
      </c>
      <c r="Z27" s="185" t="s">
        <v>1092</v>
      </c>
      <c r="AA27" s="185" t="s">
        <v>1092</v>
      </c>
      <c r="AB27" s="185" t="s">
        <v>3</v>
      </c>
      <c r="AC27" s="185" t="s">
        <v>3</v>
      </c>
      <c r="AD27" s="185" t="s">
        <v>2</v>
      </c>
      <c r="AE27" s="185" t="s">
        <v>3</v>
      </c>
      <c r="AF27" s="185" t="s">
        <v>3</v>
      </c>
      <c r="AG27" s="185" t="s">
        <v>1092</v>
      </c>
      <c r="AH27" s="185" t="s">
        <v>1092</v>
      </c>
      <c r="AI27" s="185" t="s">
        <v>2</v>
      </c>
      <c r="AJ27" s="185" t="s">
        <v>1092</v>
      </c>
      <c r="AK27" s="185" t="s">
        <v>1092</v>
      </c>
      <c r="AL27" s="185" t="s">
        <v>1092</v>
      </c>
      <c r="AM27" s="185" t="s">
        <v>5</v>
      </c>
      <c r="AN27" s="185" t="s">
        <v>1</v>
      </c>
      <c r="AO27" s="185" t="s">
        <v>1092</v>
      </c>
      <c r="AP27" s="185" t="s">
        <v>3</v>
      </c>
      <c r="AQ27" s="185" t="s">
        <v>1092</v>
      </c>
      <c r="AR27" s="185" t="s">
        <v>1092</v>
      </c>
      <c r="AS27" s="185" t="s">
        <v>1092</v>
      </c>
      <c r="AT27" s="185" t="s">
        <v>1092</v>
      </c>
      <c r="AU27" s="185" t="s">
        <v>1092</v>
      </c>
      <c r="AV27" s="185" t="s">
        <v>1092</v>
      </c>
      <c r="AW27" s="185" t="s">
        <v>1092</v>
      </c>
      <c r="AX27" s="185" t="s">
        <v>1092</v>
      </c>
      <c r="AY27" s="185" t="s">
        <v>1092</v>
      </c>
      <c r="AZ27" s="185" t="s">
        <v>3</v>
      </c>
      <c r="BA27" s="185" t="s">
        <v>2</v>
      </c>
      <c r="BB27" s="185" t="s">
        <v>1092</v>
      </c>
      <c r="BC27" s="185" t="s">
        <v>1092</v>
      </c>
      <c r="BD27" s="185" t="s">
        <v>1093</v>
      </c>
      <c r="BE27" s="185" t="s">
        <v>2</v>
      </c>
      <c r="BF27" s="185" t="s">
        <v>3</v>
      </c>
      <c r="BG27" s="185" t="s">
        <v>3</v>
      </c>
      <c r="BH27" s="185" t="s">
        <v>3</v>
      </c>
      <c r="BI27" s="185" t="s">
        <v>1092</v>
      </c>
      <c r="BJ27" s="185" t="s">
        <v>1092</v>
      </c>
      <c r="BK27" s="185" t="s">
        <v>1092</v>
      </c>
      <c r="BL27" s="185" t="s">
        <v>1092</v>
      </c>
      <c r="BM27" s="185" t="s">
        <v>1092</v>
      </c>
      <c r="BN27" s="185" t="s">
        <v>1092</v>
      </c>
      <c r="BO27" s="185" t="s">
        <v>2</v>
      </c>
      <c r="BP27" s="185" t="s">
        <v>1092</v>
      </c>
      <c r="BQ27" s="185" t="s">
        <v>2</v>
      </c>
      <c r="BR27" s="185" t="s">
        <v>2</v>
      </c>
      <c r="BS27" s="185" t="s">
        <v>1092</v>
      </c>
      <c r="BT27" s="185" t="s">
        <v>5</v>
      </c>
      <c r="BU27" s="185" t="s">
        <v>3</v>
      </c>
      <c r="BV27" s="185" t="s">
        <v>3</v>
      </c>
      <c r="BW27" s="185" t="s">
        <v>1092</v>
      </c>
      <c r="BX27" s="185" t="s">
        <v>1092</v>
      </c>
      <c r="BY27" s="185" t="s">
        <v>1092</v>
      </c>
      <c r="BZ27" s="185" t="s">
        <v>1093</v>
      </c>
      <c r="CA27" s="185" t="s">
        <v>2</v>
      </c>
      <c r="CB27" s="185" t="s">
        <v>2</v>
      </c>
      <c r="CC27" s="185" t="s">
        <v>2</v>
      </c>
      <c r="CD27" s="185" t="s">
        <v>2</v>
      </c>
      <c r="CE27" s="185" t="s">
        <v>1092</v>
      </c>
      <c r="CF27" s="185" t="s">
        <v>2</v>
      </c>
      <c r="CG27" s="185" t="s">
        <v>2</v>
      </c>
      <c r="CH27" s="185" t="s">
        <v>3</v>
      </c>
      <c r="CI27" s="185" t="s">
        <v>3</v>
      </c>
      <c r="CJ27" s="185" t="s">
        <v>1092</v>
      </c>
      <c r="CK27" s="185" t="s">
        <v>1092</v>
      </c>
      <c r="CL27" s="185" t="s">
        <v>1092</v>
      </c>
      <c r="CM27" s="185" t="s">
        <v>1092</v>
      </c>
      <c r="CN27" s="185" t="s">
        <v>5</v>
      </c>
      <c r="CO27" s="185" t="s">
        <v>1092</v>
      </c>
      <c r="CP27" s="185" t="s">
        <v>1092</v>
      </c>
      <c r="CQ27" s="185" t="s">
        <v>1092</v>
      </c>
      <c r="CR27" s="185" t="s">
        <v>1092</v>
      </c>
      <c r="CS27" s="185" t="s">
        <v>1092</v>
      </c>
      <c r="CT27" s="185" t="s">
        <v>1092</v>
      </c>
      <c r="CU27" s="185" t="s">
        <v>1092</v>
      </c>
      <c r="CV27" s="185" t="s">
        <v>3</v>
      </c>
      <c r="CW27" s="185" t="s">
        <v>2</v>
      </c>
      <c r="CX27" s="186"/>
      <c r="CY27" s="185">
        <v>20171572041</v>
      </c>
    </row>
    <row r="28" spans="1:104" ht="12.75" x14ac:dyDescent="0.2">
      <c r="A28" s="184">
        <v>42873.441215555555</v>
      </c>
      <c r="B28" s="185" t="s">
        <v>2262</v>
      </c>
      <c r="C28" s="185" t="s">
        <v>2237</v>
      </c>
      <c r="D28" s="185">
        <v>2</v>
      </c>
      <c r="E28" s="185" t="s">
        <v>2</v>
      </c>
      <c r="F28" s="185" t="s">
        <v>1092</v>
      </c>
      <c r="G28" s="185" t="s">
        <v>1092</v>
      </c>
      <c r="H28" s="185" t="s">
        <v>2</v>
      </c>
      <c r="I28" s="185" t="s">
        <v>2</v>
      </c>
      <c r="J28" s="185" t="s">
        <v>3</v>
      </c>
      <c r="K28" s="185" t="s">
        <v>3</v>
      </c>
      <c r="L28" s="185" t="s">
        <v>1092</v>
      </c>
      <c r="M28" s="185" t="s">
        <v>3</v>
      </c>
      <c r="N28" s="185" t="s">
        <v>3</v>
      </c>
      <c r="O28" s="185" t="s">
        <v>2</v>
      </c>
      <c r="P28" s="185" t="s">
        <v>3</v>
      </c>
      <c r="Q28" s="185" t="s">
        <v>3</v>
      </c>
      <c r="R28" s="185" t="s">
        <v>3</v>
      </c>
      <c r="S28" s="185" t="s">
        <v>3</v>
      </c>
      <c r="T28" s="185" t="s">
        <v>3</v>
      </c>
      <c r="U28" s="185" t="s">
        <v>2</v>
      </c>
      <c r="V28" s="185" t="s">
        <v>1092</v>
      </c>
      <c r="W28" s="185" t="s">
        <v>3</v>
      </c>
      <c r="X28" s="185" t="s">
        <v>1092</v>
      </c>
      <c r="Y28" s="185" t="s">
        <v>1092</v>
      </c>
      <c r="Z28" s="185" t="s">
        <v>1092</v>
      </c>
      <c r="AA28" s="185" t="s">
        <v>3</v>
      </c>
      <c r="AB28" s="185" t="s">
        <v>2</v>
      </c>
      <c r="AC28" s="185" t="s">
        <v>3</v>
      </c>
      <c r="AD28" s="185" t="s">
        <v>2</v>
      </c>
      <c r="AE28" s="185" t="s">
        <v>3</v>
      </c>
      <c r="AF28" s="185" t="s">
        <v>3</v>
      </c>
      <c r="AG28" s="185" t="s">
        <v>2</v>
      </c>
      <c r="AH28" s="185" t="s">
        <v>3</v>
      </c>
      <c r="AI28" s="185" t="s">
        <v>2</v>
      </c>
      <c r="AJ28" s="185" t="s">
        <v>2</v>
      </c>
      <c r="AK28" s="185" t="s">
        <v>3</v>
      </c>
      <c r="AL28" s="185" t="s">
        <v>2</v>
      </c>
      <c r="AM28" s="185" t="s">
        <v>3</v>
      </c>
      <c r="AN28" s="185" t="s">
        <v>3</v>
      </c>
      <c r="AO28" s="185" t="s">
        <v>3</v>
      </c>
      <c r="AP28" s="185" t="s">
        <v>3</v>
      </c>
      <c r="AQ28" s="185" t="s">
        <v>3</v>
      </c>
      <c r="AR28" s="185" t="s">
        <v>3</v>
      </c>
      <c r="AS28" s="185" t="s">
        <v>1092</v>
      </c>
      <c r="AT28" s="185" t="s">
        <v>1092</v>
      </c>
      <c r="AU28" s="185" t="s">
        <v>3</v>
      </c>
      <c r="AV28" s="185" t="s">
        <v>3</v>
      </c>
      <c r="AW28" s="185" t="s">
        <v>3</v>
      </c>
      <c r="AX28" s="185" t="s">
        <v>3</v>
      </c>
      <c r="AY28" s="185" t="s">
        <v>3</v>
      </c>
      <c r="AZ28" s="185" t="s">
        <v>2</v>
      </c>
      <c r="BA28" s="185" t="s">
        <v>2</v>
      </c>
      <c r="BB28" s="185" t="s">
        <v>2</v>
      </c>
      <c r="BC28" s="185" t="s">
        <v>2</v>
      </c>
      <c r="BD28" s="185" t="s">
        <v>3</v>
      </c>
      <c r="BE28" s="185" t="s">
        <v>2</v>
      </c>
      <c r="BF28" s="185" t="s">
        <v>1092</v>
      </c>
      <c r="BG28" s="185" t="s">
        <v>1092</v>
      </c>
      <c r="BH28" s="185" t="s">
        <v>3</v>
      </c>
      <c r="BI28" s="185" t="s">
        <v>3</v>
      </c>
      <c r="BJ28" s="185" t="s">
        <v>3</v>
      </c>
      <c r="BK28" s="185" t="s">
        <v>3</v>
      </c>
      <c r="BL28" s="185" t="s">
        <v>3</v>
      </c>
      <c r="BM28" s="185" t="s">
        <v>2</v>
      </c>
      <c r="BN28" s="185" t="s">
        <v>3</v>
      </c>
      <c r="BO28" s="185" t="s">
        <v>3</v>
      </c>
      <c r="BP28" s="185" t="s">
        <v>3</v>
      </c>
      <c r="BQ28" s="185" t="s">
        <v>3</v>
      </c>
      <c r="BR28" s="185" t="s">
        <v>3</v>
      </c>
      <c r="BS28" s="185" t="s">
        <v>3</v>
      </c>
      <c r="BT28" s="185" t="s">
        <v>3</v>
      </c>
      <c r="BU28" s="185" t="s">
        <v>3</v>
      </c>
      <c r="BV28" s="185" t="s">
        <v>3</v>
      </c>
      <c r="BW28" s="185" t="s">
        <v>3</v>
      </c>
      <c r="BX28" s="185" t="s">
        <v>3</v>
      </c>
      <c r="BY28" s="185" t="s">
        <v>3</v>
      </c>
      <c r="BZ28" s="185" t="s">
        <v>2</v>
      </c>
      <c r="CA28" s="185" t="s">
        <v>3</v>
      </c>
      <c r="CB28" s="185" t="s">
        <v>3</v>
      </c>
      <c r="CC28" s="185" t="s">
        <v>3</v>
      </c>
      <c r="CD28" s="185" t="s">
        <v>3</v>
      </c>
      <c r="CE28" s="185" t="s">
        <v>1092</v>
      </c>
      <c r="CF28" s="185" t="s">
        <v>1092</v>
      </c>
      <c r="CG28" s="185" t="s">
        <v>3</v>
      </c>
      <c r="CH28" s="185" t="s">
        <v>3</v>
      </c>
      <c r="CI28" s="185" t="s">
        <v>3</v>
      </c>
      <c r="CJ28" s="185" t="s">
        <v>3</v>
      </c>
      <c r="CK28" s="185" t="s">
        <v>3</v>
      </c>
      <c r="CL28" s="185" t="s">
        <v>3</v>
      </c>
      <c r="CM28" s="185" t="s">
        <v>3</v>
      </c>
      <c r="CN28" s="185" t="s">
        <v>3</v>
      </c>
      <c r="CO28" s="185" t="s">
        <v>3</v>
      </c>
      <c r="CP28" s="185" t="s">
        <v>3</v>
      </c>
      <c r="CQ28" s="185" t="s">
        <v>3</v>
      </c>
      <c r="CR28" s="185" t="s">
        <v>3</v>
      </c>
      <c r="CS28" s="185" t="s">
        <v>3</v>
      </c>
      <c r="CT28" s="185" t="s">
        <v>3</v>
      </c>
      <c r="CU28" s="185" t="s">
        <v>3</v>
      </c>
      <c r="CV28" s="185" t="s">
        <v>3</v>
      </c>
      <c r="CW28" s="185" t="s">
        <v>3</v>
      </c>
      <c r="CX28" s="186"/>
      <c r="CY28" s="185">
        <v>20162572506</v>
      </c>
      <c r="CZ28" s="162"/>
    </row>
    <row r="29" spans="1:104" ht="12.75" x14ac:dyDescent="0.2">
      <c r="A29" s="184">
        <v>42873.448818819445</v>
      </c>
      <c r="B29" s="185" t="s">
        <v>2263</v>
      </c>
      <c r="C29" s="185" t="s">
        <v>2237</v>
      </c>
      <c r="D29" s="185">
        <v>3</v>
      </c>
      <c r="E29" s="185" t="s">
        <v>3</v>
      </c>
      <c r="F29" s="185" t="s">
        <v>1092</v>
      </c>
      <c r="G29" s="185" t="s">
        <v>1092</v>
      </c>
      <c r="H29" s="185" t="s">
        <v>3</v>
      </c>
      <c r="I29" s="185" t="s">
        <v>1093</v>
      </c>
      <c r="J29" s="185" t="s">
        <v>3</v>
      </c>
      <c r="K29" s="185" t="s">
        <v>1092</v>
      </c>
      <c r="L29" s="185" t="s">
        <v>1092</v>
      </c>
      <c r="M29" s="185" t="s">
        <v>2</v>
      </c>
      <c r="N29" s="185" t="s">
        <v>1092</v>
      </c>
      <c r="O29" s="185" t="s">
        <v>2</v>
      </c>
      <c r="P29" s="185" t="s">
        <v>1093</v>
      </c>
      <c r="Q29" s="185" t="s">
        <v>2</v>
      </c>
      <c r="R29" s="185" t="s">
        <v>1093</v>
      </c>
      <c r="S29" s="185" t="s">
        <v>1092</v>
      </c>
      <c r="T29" s="185" t="s">
        <v>1092</v>
      </c>
      <c r="U29" s="185" t="s">
        <v>3</v>
      </c>
      <c r="V29" s="185" t="s">
        <v>1092</v>
      </c>
      <c r="W29" s="185" t="s">
        <v>1092</v>
      </c>
      <c r="X29" s="185" t="s">
        <v>1092</v>
      </c>
      <c r="Y29" s="185" t="s">
        <v>1092</v>
      </c>
      <c r="Z29" s="185" t="s">
        <v>1092</v>
      </c>
      <c r="AA29" s="185" t="s">
        <v>1092</v>
      </c>
      <c r="AB29" s="185" t="s">
        <v>1092</v>
      </c>
      <c r="AC29" s="185" t="s">
        <v>3</v>
      </c>
      <c r="AD29" s="185" t="s">
        <v>1092</v>
      </c>
      <c r="AE29" s="185" t="s">
        <v>1092</v>
      </c>
      <c r="AF29" s="185" t="s">
        <v>1092</v>
      </c>
      <c r="AG29" s="185" t="s">
        <v>1092</v>
      </c>
      <c r="AH29" s="185" t="s">
        <v>1092</v>
      </c>
      <c r="AI29" s="185" t="s">
        <v>1092</v>
      </c>
      <c r="AJ29" s="185" t="s">
        <v>1092</v>
      </c>
      <c r="AK29" s="185" t="s">
        <v>3</v>
      </c>
      <c r="AL29" s="185" t="s">
        <v>1092</v>
      </c>
      <c r="AM29" s="185" t="s">
        <v>3</v>
      </c>
      <c r="AN29" s="185" t="s">
        <v>3</v>
      </c>
      <c r="AO29" s="185" t="s">
        <v>3</v>
      </c>
      <c r="AP29" s="185" t="s">
        <v>1092</v>
      </c>
      <c r="AQ29" s="185" t="s">
        <v>3</v>
      </c>
      <c r="AR29" s="185" t="s">
        <v>1092</v>
      </c>
      <c r="AS29" s="185" t="s">
        <v>5</v>
      </c>
      <c r="AT29" s="185" t="s">
        <v>1092</v>
      </c>
      <c r="AU29" s="185" t="s">
        <v>1092</v>
      </c>
      <c r="AV29" s="185" t="s">
        <v>2</v>
      </c>
      <c r="AW29" s="185" t="s">
        <v>1092</v>
      </c>
      <c r="AX29" s="185" t="s">
        <v>1092</v>
      </c>
      <c r="AY29" s="185" t="s">
        <v>3</v>
      </c>
      <c r="AZ29" s="185" t="s">
        <v>1092</v>
      </c>
      <c r="BA29" s="185" t="s">
        <v>3</v>
      </c>
      <c r="BB29" s="185" t="s">
        <v>1093</v>
      </c>
      <c r="BC29" s="185" t="s">
        <v>1093</v>
      </c>
      <c r="BD29" s="185" t="s">
        <v>1093</v>
      </c>
      <c r="BE29" s="185" t="s">
        <v>1092</v>
      </c>
      <c r="BF29" s="185" t="s">
        <v>1092</v>
      </c>
      <c r="BG29" s="185" t="s">
        <v>1092</v>
      </c>
      <c r="BH29" s="185" t="s">
        <v>1092</v>
      </c>
      <c r="BI29" s="185" t="s">
        <v>1092</v>
      </c>
      <c r="BJ29" s="185" t="s">
        <v>1092</v>
      </c>
      <c r="BK29" s="185" t="s">
        <v>1092</v>
      </c>
      <c r="BL29" s="185" t="s">
        <v>1092</v>
      </c>
      <c r="BM29" s="185" t="s">
        <v>1092</v>
      </c>
      <c r="BN29" s="185" t="s">
        <v>1092</v>
      </c>
      <c r="BO29" s="185" t="s">
        <v>1092</v>
      </c>
      <c r="BP29" s="185" t="s">
        <v>1092</v>
      </c>
      <c r="BQ29" s="185" t="s">
        <v>1092</v>
      </c>
      <c r="BR29" s="185" t="s">
        <v>1092</v>
      </c>
      <c r="BS29" s="185" t="s">
        <v>1092</v>
      </c>
      <c r="BT29" s="185" t="s">
        <v>1092</v>
      </c>
      <c r="BU29" s="185" t="s">
        <v>1092</v>
      </c>
      <c r="BV29" s="185" t="s">
        <v>1092</v>
      </c>
      <c r="BW29" s="185" t="s">
        <v>1092</v>
      </c>
      <c r="BX29" s="185" t="s">
        <v>3</v>
      </c>
      <c r="BY29" s="185" t="s">
        <v>5</v>
      </c>
      <c r="BZ29" s="185" t="s">
        <v>1093</v>
      </c>
      <c r="CA29" s="185" t="s">
        <v>3</v>
      </c>
      <c r="CB29" s="185" t="s">
        <v>3</v>
      </c>
      <c r="CC29" s="185" t="s">
        <v>3</v>
      </c>
      <c r="CD29" s="185" t="s">
        <v>3</v>
      </c>
      <c r="CE29" s="185" t="s">
        <v>1092</v>
      </c>
      <c r="CF29" s="185" t="s">
        <v>2</v>
      </c>
      <c r="CG29" s="185" t="s">
        <v>3</v>
      </c>
      <c r="CH29" s="185" t="s">
        <v>2</v>
      </c>
      <c r="CI29" s="185" t="s">
        <v>3</v>
      </c>
      <c r="CJ29" s="185" t="s">
        <v>3</v>
      </c>
      <c r="CK29" s="185" t="s">
        <v>3</v>
      </c>
      <c r="CL29" s="185" t="s">
        <v>3</v>
      </c>
      <c r="CM29" s="185" t="s">
        <v>2</v>
      </c>
      <c r="CN29" s="185" t="s">
        <v>5</v>
      </c>
      <c r="CO29" s="185" t="s">
        <v>3</v>
      </c>
      <c r="CP29" s="185" t="s">
        <v>3</v>
      </c>
      <c r="CQ29" s="185" t="s">
        <v>1092</v>
      </c>
      <c r="CR29" s="185" t="s">
        <v>3</v>
      </c>
      <c r="CS29" s="185" t="s">
        <v>3</v>
      </c>
      <c r="CT29" s="185" t="s">
        <v>2</v>
      </c>
      <c r="CU29" s="185" t="s">
        <v>1092</v>
      </c>
      <c r="CV29" s="185" t="s">
        <v>1092</v>
      </c>
      <c r="CW29" s="185" t="s">
        <v>1092</v>
      </c>
      <c r="CX29" s="186"/>
      <c r="CY29" s="185">
        <v>20161572246</v>
      </c>
      <c r="CZ29" s="162"/>
    </row>
    <row r="30" spans="1:104" ht="12.75" x14ac:dyDescent="0.2">
      <c r="A30" s="184">
        <v>42873.449060914354</v>
      </c>
      <c r="B30" s="185" t="s">
        <v>2264</v>
      </c>
      <c r="C30" s="185" t="s">
        <v>2237</v>
      </c>
      <c r="D30" s="185">
        <v>2</v>
      </c>
      <c r="E30" s="185" t="s">
        <v>1092</v>
      </c>
      <c r="F30" s="185" t="s">
        <v>1</v>
      </c>
      <c r="G30" s="185" t="s">
        <v>1092</v>
      </c>
      <c r="H30" s="185" t="s">
        <v>1092</v>
      </c>
      <c r="I30" s="185" t="s">
        <v>1093</v>
      </c>
      <c r="J30" s="185" t="s">
        <v>1</v>
      </c>
      <c r="K30" s="185" t="s">
        <v>3</v>
      </c>
      <c r="L30" s="185" t="s">
        <v>1093</v>
      </c>
      <c r="M30" s="185" t="s">
        <v>3</v>
      </c>
      <c r="N30" s="185" t="s">
        <v>3</v>
      </c>
      <c r="O30" s="185" t="s">
        <v>1</v>
      </c>
      <c r="P30" s="185" t="s">
        <v>1</v>
      </c>
      <c r="Q30" s="185" t="s">
        <v>1</v>
      </c>
      <c r="R30" s="185" t="s">
        <v>1</v>
      </c>
      <c r="S30" s="185" t="s">
        <v>1092</v>
      </c>
      <c r="T30" s="185" t="s">
        <v>3</v>
      </c>
      <c r="U30" s="185" t="s">
        <v>1</v>
      </c>
      <c r="V30" s="185" t="s">
        <v>3</v>
      </c>
      <c r="W30" s="185" t="s">
        <v>3</v>
      </c>
      <c r="X30" s="185" t="s">
        <v>1092</v>
      </c>
      <c r="Y30" s="185" t="s">
        <v>2</v>
      </c>
      <c r="Z30" s="185" t="s">
        <v>3</v>
      </c>
      <c r="AA30" s="185" t="s">
        <v>3</v>
      </c>
      <c r="AB30" s="185" t="s">
        <v>2</v>
      </c>
      <c r="AC30" s="185" t="s">
        <v>1092</v>
      </c>
      <c r="AD30" s="185" t="s">
        <v>5</v>
      </c>
      <c r="AE30" s="185" t="s">
        <v>3</v>
      </c>
      <c r="AF30" s="185" t="s">
        <v>3</v>
      </c>
      <c r="AG30" s="185" t="s">
        <v>5</v>
      </c>
      <c r="AH30" s="185" t="s">
        <v>3</v>
      </c>
      <c r="AI30" s="185" t="s">
        <v>1093</v>
      </c>
      <c r="AJ30" s="185" t="s">
        <v>1</v>
      </c>
      <c r="AK30" s="185" t="s">
        <v>2</v>
      </c>
      <c r="AL30" s="185" t="s">
        <v>1</v>
      </c>
      <c r="AM30" s="185" t="s">
        <v>3</v>
      </c>
      <c r="AN30" s="185" t="s">
        <v>1</v>
      </c>
      <c r="AO30" s="185" t="s">
        <v>3</v>
      </c>
      <c r="AP30" s="185" t="s">
        <v>5</v>
      </c>
      <c r="AQ30" s="185" t="s">
        <v>2</v>
      </c>
      <c r="AR30" s="185" t="s">
        <v>1092</v>
      </c>
      <c r="AS30" s="185" t="s">
        <v>3</v>
      </c>
      <c r="AT30" s="185" t="s">
        <v>2</v>
      </c>
      <c r="AU30" s="185" t="s">
        <v>1092</v>
      </c>
      <c r="AV30" s="185" t="s">
        <v>3</v>
      </c>
      <c r="AW30" s="185" t="s">
        <v>5</v>
      </c>
      <c r="AX30" s="185" t="s">
        <v>2</v>
      </c>
      <c r="AY30" s="185" t="s">
        <v>3</v>
      </c>
      <c r="AZ30" s="185" t="s">
        <v>3</v>
      </c>
      <c r="BA30" s="185" t="s">
        <v>3</v>
      </c>
      <c r="BB30" s="185" t="s">
        <v>1093</v>
      </c>
      <c r="BC30" s="185" t="s">
        <v>1093</v>
      </c>
      <c r="BD30" s="185" t="s">
        <v>2</v>
      </c>
      <c r="BE30" s="185" t="s">
        <v>1093</v>
      </c>
      <c r="BF30" s="185" t="s">
        <v>3</v>
      </c>
      <c r="BG30" s="185" t="s">
        <v>3</v>
      </c>
      <c r="BH30" s="185" t="s">
        <v>3</v>
      </c>
      <c r="BI30" s="185" t="s">
        <v>3</v>
      </c>
      <c r="BJ30" s="185" t="s">
        <v>3</v>
      </c>
      <c r="BK30" s="185" t="s">
        <v>3</v>
      </c>
      <c r="BL30" s="185" t="s">
        <v>3</v>
      </c>
      <c r="BM30" s="185" t="s">
        <v>1092</v>
      </c>
      <c r="BN30" s="185" t="s">
        <v>3</v>
      </c>
      <c r="BO30" s="185" t="s">
        <v>3</v>
      </c>
      <c r="BP30" s="185" t="s">
        <v>3</v>
      </c>
      <c r="BQ30" s="185" t="s">
        <v>2</v>
      </c>
      <c r="BR30" s="185" t="s">
        <v>1092</v>
      </c>
      <c r="BS30" s="185" t="s">
        <v>3</v>
      </c>
      <c r="BT30" s="185" t="s">
        <v>3</v>
      </c>
      <c r="BU30" s="185" t="s">
        <v>3</v>
      </c>
      <c r="BV30" s="185" t="s">
        <v>3</v>
      </c>
      <c r="BW30" s="185" t="s">
        <v>1092</v>
      </c>
      <c r="BX30" s="185" t="s">
        <v>3</v>
      </c>
      <c r="BY30" s="185" t="s">
        <v>5</v>
      </c>
      <c r="BZ30" s="185" t="s">
        <v>1</v>
      </c>
      <c r="CA30" s="185" t="s">
        <v>1092</v>
      </c>
      <c r="CB30" s="185" t="s">
        <v>2</v>
      </c>
      <c r="CC30" s="185" t="s">
        <v>3</v>
      </c>
      <c r="CD30" s="185" t="s">
        <v>3</v>
      </c>
      <c r="CE30" s="185" t="s">
        <v>2</v>
      </c>
      <c r="CF30" s="185" t="s">
        <v>1</v>
      </c>
      <c r="CG30" s="185" t="s">
        <v>3</v>
      </c>
      <c r="CH30" s="185" t="s">
        <v>3</v>
      </c>
      <c r="CI30" s="185" t="s">
        <v>3</v>
      </c>
      <c r="CJ30" s="185" t="s">
        <v>3</v>
      </c>
      <c r="CK30" s="185" t="s">
        <v>3</v>
      </c>
      <c r="CL30" s="185" t="s">
        <v>3</v>
      </c>
      <c r="CM30" s="185" t="s">
        <v>1093</v>
      </c>
      <c r="CN30" s="185" t="s">
        <v>2</v>
      </c>
      <c r="CO30" s="185" t="s">
        <v>2</v>
      </c>
      <c r="CP30" s="185" t="s">
        <v>2</v>
      </c>
      <c r="CQ30" s="185" t="s">
        <v>3</v>
      </c>
      <c r="CR30" s="185" t="s">
        <v>3</v>
      </c>
      <c r="CS30" s="185" t="s">
        <v>3</v>
      </c>
      <c r="CT30" s="185" t="s">
        <v>3</v>
      </c>
      <c r="CU30" s="185" t="s">
        <v>3</v>
      </c>
      <c r="CV30" s="185" t="s">
        <v>3</v>
      </c>
      <c r="CW30" s="185" t="s">
        <v>3</v>
      </c>
      <c r="CX30" s="186"/>
      <c r="CY30" s="185">
        <v>20162572034</v>
      </c>
    </row>
    <row r="31" spans="1:104" ht="12.75" x14ac:dyDescent="0.2">
      <c r="A31" s="184">
        <v>42873.449107708337</v>
      </c>
      <c r="B31" s="185" t="s">
        <v>2265</v>
      </c>
      <c r="C31" s="185" t="s">
        <v>2237</v>
      </c>
      <c r="D31" s="185">
        <v>2</v>
      </c>
      <c r="E31" s="185" t="s">
        <v>1092</v>
      </c>
      <c r="F31" s="185" t="s">
        <v>1092</v>
      </c>
      <c r="G31" s="185" t="s">
        <v>1092</v>
      </c>
      <c r="H31" s="185" t="s">
        <v>1092</v>
      </c>
      <c r="I31" s="185" t="s">
        <v>2</v>
      </c>
      <c r="J31" s="185" t="s">
        <v>1092</v>
      </c>
      <c r="K31" s="185" t="s">
        <v>3</v>
      </c>
      <c r="L31" s="185" t="s">
        <v>1092</v>
      </c>
      <c r="M31" s="185" t="s">
        <v>1092</v>
      </c>
      <c r="N31" s="185" t="s">
        <v>3</v>
      </c>
      <c r="O31" s="185" t="s">
        <v>1092</v>
      </c>
      <c r="P31" s="185" t="s">
        <v>2</v>
      </c>
      <c r="Q31" s="185" t="s">
        <v>1092</v>
      </c>
      <c r="R31" s="185" t="s">
        <v>1092</v>
      </c>
      <c r="S31" s="185" t="s">
        <v>1092</v>
      </c>
      <c r="T31" s="185" t="s">
        <v>1092</v>
      </c>
      <c r="U31" s="185" t="s">
        <v>1092</v>
      </c>
      <c r="V31" s="185" t="s">
        <v>1092</v>
      </c>
      <c r="W31" s="185" t="s">
        <v>1092</v>
      </c>
      <c r="X31" s="185" t="s">
        <v>1092</v>
      </c>
      <c r="Y31" s="185" t="s">
        <v>1092</v>
      </c>
      <c r="Z31" s="185" t="s">
        <v>1092</v>
      </c>
      <c r="AA31" s="185" t="s">
        <v>1092</v>
      </c>
      <c r="AB31" s="185" t="s">
        <v>1092</v>
      </c>
      <c r="AC31" s="185" t="s">
        <v>1092</v>
      </c>
      <c r="AD31" s="185" t="s">
        <v>1092</v>
      </c>
      <c r="AE31" s="185" t="s">
        <v>1092</v>
      </c>
      <c r="AF31" s="185" t="s">
        <v>1092</v>
      </c>
      <c r="AG31" s="185" t="s">
        <v>5</v>
      </c>
      <c r="AH31" s="185" t="s">
        <v>1092</v>
      </c>
      <c r="AI31" s="185" t="s">
        <v>1092</v>
      </c>
      <c r="AJ31" s="185" t="s">
        <v>1092</v>
      </c>
      <c r="AK31" s="185" t="s">
        <v>1092</v>
      </c>
      <c r="AL31" s="185" t="s">
        <v>1092</v>
      </c>
      <c r="AM31" s="185" t="s">
        <v>1092</v>
      </c>
      <c r="AN31" s="185" t="s">
        <v>1</v>
      </c>
      <c r="AO31" s="185" t="s">
        <v>1092</v>
      </c>
      <c r="AP31" s="185" t="s">
        <v>1092</v>
      </c>
      <c r="AQ31" s="185" t="s">
        <v>1092</v>
      </c>
      <c r="AR31" s="185" t="s">
        <v>1092</v>
      </c>
      <c r="AS31" s="185" t="s">
        <v>1092</v>
      </c>
      <c r="AT31" s="185" t="s">
        <v>1092</v>
      </c>
      <c r="AU31" s="185" t="s">
        <v>2</v>
      </c>
      <c r="AV31" s="185" t="s">
        <v>1092</v>
      </c>
      <c r="AW31" s="185" t="s">
        <v>1092</v>
      </c>
      <c r="AX31" s="185" t="s">
        <v>1092</v>
      </c>
      <c r="AY31" s="185" t="s">
        <v>1092</v>
      </c>
      <c r="AZ31" s="185" t="s">
        <v>1092</v>
      </c>
      <c r="BA31" s="185" t="s">
        <v>1092</v>
      </c>
      <c r="BB31" s="185" t="s">
        <v>5</v>
      </c>
      <c r="BC31" s="185" t="s">
        <v>3</v>
      </c>
      <c r="BD31" s="185" t="s">
        <v>1093</v>
      </c>
      <c r="BE31" s="185" t="s">
        <v>1092</v>
      </c>
      <c r="BF31" s="185" t="s">
        <v>1092</v>
      </c>
      <c r="BG31" s="185" t="s">
        <v>1092</v>
      </c>
      <c r="BH31" s="185" t="s">
        <v>1092</v>
      </c>
      <c r="BI31" s="185" t="s">
        <v>1092</v>
      </c>
      <c r="BJ31" s="185" t="s">
        <v>1092</v>
      </c>
      <c r="BK31" s="185" t="s">
        <v>1092</v>
      </c>
      <c r="BL31" s="185" t="s">
        <v>1092</v>
      </c>
      <c r="BM31" s="185" t="s">
        <v>1092</v>
      </c>
      <c r="BN31" s="185" t="s">
        <v>1092</v>
      </c>
      <c r="BO31" s="185" t="s">
        <v>1092</v>
      </c>
      <c r="BP31" s="185" t="s">
        <v>1092</v>
      </c>
      <c r="BQ31" s="185" t="s">
        <v>1092</v>
      </c>
      <c r="BR31" s="185" t="s">
        <v>1092</v>
      </c>
      <c r="BS31" s="185" t="s">
        <v>1092</v>
      </c>
      <c r="BT31" s="185" t="s">
        <v>1092</v>
      </c>
      <c r="BU31" s="185" t="s">
        <v>1092</v>
      </c>
      <c r="BV31" s="185" t="s">
        <v>1092</v>
      </c>
      <c r="BW31" s="185" t="s">
        <v>1092</v>
      </c>
      <c r="BX31" s="185" t="s">
        <v>1092</v>
      </c>
      <c r="BY31" s="185" t="s">
        <v>1092</v>
      </c>
      <c r="BZ31" s="185" t="s">
        <v>2</v>
      </c>
      <c r="CA31" s="185" t="s">
        <v>1092</v>
      </c>
      <c r="CB31" s="185" t="s">
        <v>3</v>
      </c>
      <c r="CC31" s="185" t="s">
        <v>3</v>
      </c>
      <c r="CD31" s="185" t="s">
        <v>3</v>
      </c>
      <c r="CE31" s="185" t="s">
        <v>1092</v>
      </c>
      <c r="CF31" s="185" t="s">
        <v>1092</v>
      </c>
      <c r="CG31" s="185" t="s">
        <v>3</v>
      </c>
      <c r="CH31" s="185" t="s">
        <v>1092</v>
      </c>
      <c r="CI31" s="185" t="s">
        <v>1092</v>
      </c>
      <c r="CJ31" s="185" t="s">
        <v>1092</v>
      </c>
      <c r="CK31" s="185" t="s">
        <v>1092</v>
      </c>
      <c r="CL31" s="185" t="s">
        <v>1092</v>
      </c>
      <c r="CM31" s="185" t="s">
        <v>1092</v>
      </c>
      <c r="CN31" s="185" t="s">
        <v>1092</v>
      </c>
      <c r="CO31" s="185" t="s">
        <v>1092</v>
      </c>
      <c r="CP31" s="185" t="s">
        <v>1092</v>
      </c>
      <c r="CQ31" s="185" t="s">
        <v>1092</v>
      </c>
      <c r="CR31" s="185" t="s">
        <v>1092</v>
      </c>
      <c r="CS31" s="185" t="s">
        <v>1092</v>
      </c>
      <c r="CT31" s="185" t="s">
        <v>1092</v>
      </c>
      <c r="CU31" s="185" t="s">
        <v>1092</v>
      </c>
      <c r="CV31" s="185" t="s">
        <v>1092</v>
      </c>
      <c r="CW31" s="185" t="s">
        <v>1092</v>
      </c>
      <c r="CX31" s="186"/>
      <c r="CY31" s="185">
        <v>20162572010</v>
      </c>
    </row>
    <row r="32" spans="1:104" ht="12.75" x14ac:dyDescent="0.2">
      <c r="A32" s="184">
        <v>42873.452010497684</v>
      </c>
      <c r="B32" s="185" t="s">
        <v>2266</v>
      </c>
      <c r="C32" s="185" t="s">
        <v>2237</v>
      </c>
      <c r="D32" s="185">
        <v>2</v>
      </c>
      <c r="E32" s="185" t="s">
        <v>1092</v>
      </c>
      <c r="F32" s="185" t="s">
        <v>1092</v>
      </c>
      <c r="G32" s="185" t="s">
        <v>1092</v>
      </c>
      <c r="H32" s="185" t="s">
        <v>1092</v>
      </c>
      <c r="I32" s="185" t="s">
        <v>1093</v>
      </c>
      <c r="J32" s="185" t="s">
        <v>1</v>
      </c>
      <c r="K32" s="185" t="s">
        <v>1092</v>
      </c>
      <c r="L32" s="185" t="s">
        <v>2</v>
      </c>
      <c r="M32" s="185" t="s">
        <v>1093</v>
      </c>
      <c r="N32" s="185" t="s">
        <v>1092</v>
      </c>
      <c r="O32" s="185" t="s">
        <v>1093</v>
      </c>
      <c r="P32" s="185" t="s">
        <v>1093</v>
      </c>
      <c r="Q32" s="185" t="s">
        <v>2</v>
      </c>
      <c r="R32" s="185" t="s">
        <v>1092</v>
      </c>
      <c r="S32" s="185" t="s">
        <v>2</v>
      </c>
      <c r="T32" s="185" t="s">
        <v>2</v>
      </c>
      <c r="U32" s="185" t="s">
        <v>3</v>
      </c>
      <c r="V32" s="185" t="s">
        <v>2</v>
      </c>
      <c r="W32" s="185" t="s">
        <v>2</v>
      </c>
      <c r="X32" s="185" t="s">
        <v>2</v>
      </c>
      <c r="Y32" s="185" t="s">
        <v>2</v>
      </c>
      <c r="Z32" s="185" t="s">
        <v>2</v>
      </c>
      <c r="AA32" s="185" t="s">
        <v>3</v>
      </c>
      <c r="AB32" s="185" t="s">
        <v>1</v>
      </c>
      <c r="AC32" s="185" t="s">
        <v>1</v>
      </c>
      <c r="AD32" s="185" t="s">
        <v>1092</v>
      </c>
      <c r="AE32" s="185" t="s">
        <v>2</v>
      </c>
      <c r="AF32" s="185" t="s">
        <v>1092</v>
      </c>
      <c r="AG32" s="185" t="s">
        <v>2</v>
      </c>
      <c r="AH32" s="185" t="s">
        <v>1092</v>
      </c>
      <c r="AI32" s="185" t="s">
        <v>3</v>
      </c>
      <c r="AJ32" s="185" t="s">
        <v>3</v>
      </c>
      <c r="AK32" s="185" t="s">
        <v>2</v>
      </c>
      <c r="AL32" s="185" t="s">
        <v>1</v>
      </c>
      <c r="AM32" s="185" t="s">
        <v>1</v>
      </c>
      <c r="AN32" s="185" t="s">
        <v>3</v>
      </c>
      <c r="AO32" s="185" t="s">
        <v>1</v>
      </c>
      <c r="AP32" s="185" t="s">
        <v>1092</v>
      </c>
      <c r="AQ32" s="185" t="s">
        <v>1092</v>
      </c>
      <c r="AR32" s="185" t="s">
        <v>1092</v>
      </c>
      <c r="AS32" s="185" t="s">
        <v>1092</v>
      </c>
      <c r="AT32" s="185" t="s">
        <v>3</v>
      </c>
      <c r="AU32" s="185" t="s">
        <v>2</v>
      </c>
      <c r="AV32" s="185" t="s">
        <v>3</v>
      </c>
      <c r="AW32" s="185" t="s">
        <v>2</v>
      </c>
      <c r="AX32" s="185" t="s">
        <v>2</v>
      </c>
      <c r="AY32" s="185" t="s">
        <v>1</v>
      </c>
      <c r="AZ32" s="185" t="s">
        <v>3</v>
      </c>
      <c r="BA32" s="185" t="s">
        <v>3</v>
      </c>
      <c r="BB32" s="185" t="s">
        <v>1093</v>
      </c>
      <c r="BC32" s="185" t="s">
        <v>5</v>
      </c>
      <c r="BD32" s="185" t="s">
        <v>5</v>
      </c>
      <c r="BE32" s="185" t="s">
        <v>5</v>
      </c>
      <c r="BF32" s="185" t="s">
        <v>1</v>
      </c>
      <c r="BG32" s="185" t="s">
        <v>2</v>
      </c>
      <c r="BH32" s="185" t="s">
        <v>3</v>
      </c>
      <c r="BI32" s="185" t="s">
        <v>2</v>
      </c>
      <c r="BJ32" s="185" t="s">
        <v>2</v>
      </c>
      <c r="BK32" s="185" t="s">
        <v>3</v>
      </c>
      <c r="BL32" s="185" t="s">
        <v>1092</v>
      </c>
      <c r="BM32" s="185" t="s">
        <v>3</v>
      </c>
      <c r="BN32" s="185" t="s">
        <v>3</v>
      </c>
      <c r="BO32" s="185" t="s">
        <v>2</v>
      </c>
      <c r="BP32" s="185" t="s">
        <v>2</v>
      </c>
      <c r="BQ32" s="185" t="s">
        <v>1092</v>
      </c>
      <c r="BR32" s="185" t="s">
        <v>1092</v>
      </c>
      <c r="BS32" s="185" t="s">
        <v>1092</v>
      </c>
      <c r="BT32" s="185" t="s">
        <v>2</v>
      </c>
      <c r="BU32" s="185" t="s">
        <v>2</v>
      </c>
      <c r="BV32" s="185" t="s">
        <v>2</v>
      </c>
      <c r="BW32" s="185" t="s">
        <v>2</v>
      </c>
      <c r="BX32" s="185" t="s">
        <v>3</v>
      </c>
      <c r="BY32" s="185" t="s">
        <v>5</v>
      </c>
      <c r="BZ32" s="185" t="s">
        <v>5</v>
      </c>
      <c r="CA32" s="185" t="s">
        <v>1092</v>
      </c>
      <c r="CB32" s="185" t="s">
        <v>2</v>
      </c>
      <c r="CC32" s="185" t="s">
        <v>3</v>
      </c>
      <c r="CD32" s="185" t="s">
        <v>3</v>
      </c>
      <c r="CE32" s="185" t="s">
        <v>2</v>
      </c>
      <c r="CF32" s="185" t="s">
        <v>1093</v>
      </c>
      <c r="CG32" s="185" t="s">
        <v>5</v>
      </c>
      <c r="CH32" s="185" t="s">
        <v>5</v>
      </c>
      <c r="CI32" s="185" t="s">
        <v>3</v>
      </c>
      <c r="CJ32" s="185" t="s">
        <v>3</v>
      </c>
      <c r="CK32" s="185" t="s">
        <v>5</v>
      </c>
      <c r="CL32" s="185" t="s">
        <v>5</v>
      </c>
      <c r="CM32" s="185" t="s">
        <v>5</v>
      </c>
      <c r="CN32" s="185" t="s">
        <v>5</v>
      </c>
      <c r="CO32" s="185" t="s">
        <v>5</v>
      </c>
      <c r="CP32" s="185" t="s">
        <v>2</v>
      </c>
      <c r="CQ32" s="185" t="s">
        <v>3</v>
      </c>
      <c r="CR32" s="185" t="s">
        <v>2</v>
      </c>
      <c r="CS32" s="185" t="s">
        <v>5</v>
      </c>
      <c r="CT32" s="185" t="s">
        <v>5</v>
      </c>
      <c r="CU32" s="185" t="s">
        <v>5</v>
      </c>
      <c r="CV32" s="185" t="s">
        <v>5</v>
      </c>
      <c r="CW32" s="185" t="s">
        <v>3</v>
      </c>
      <c r="CX32" s="186"/>
      <c r="CY32" s="185">
        <v>20162572045</v>
      </c>
    </row>
    <row r="33" spans="1:103" ht="12.75" x14ac:dyDescent="0.2">
      <c r="A33" s="184">
        <v>42873.45284244213</v>
      </c>
      <c r="B33" s="185" t="s">
        <v>2267</v>
      </c>
      <c r="C33" s="185" t="s">
        <v>2237</v>
      </c>
      <c r="D33" s="185">
        <v>3</v>
      </c>
      <c r="E33" s="185" t="s">
        <v>2</v>
      </c>
      <c r="F33" s="185" t="s">
        <v>2</v>
      </c>
      <c r="G33" s="185" t="s">
        <v>3</v>
      </c>
      <c r="H33" s="185" t="s">
        <v>1</v>
      </c>
      <c r="I33" s="185" t="s">
        <v>1093</v>
      </c>
      <c r="J33" s="185" t="s">
        <v>1093</v>
      </c>
      <c r="K33" s="185" t="s">
        <v>2</v>
      </c>
      <c r="L33" s="185" t="s">
        <v>5</v>
      </c>
      <c r="M33" s="185" t="s">
        <v>1</v>
      </c>
      <c r="N33" s="185" t="s">
        <v>3</v>
      </c>
      <c r="O33" s="185" t="s">
        <v>1093</v>
      </c>
      <c r="P33" s="185" t="s">
        <v>1093</v>
      </c>
      <c r="Q33" s="185" t="s">
        <v>1093</v>
      </c>
      <c r="R33" s="185" t="s">
        <v>2</v>
      </c>
      <c r="S33" s="185" t="s">
        <v>2</v>
      </c>
      <c r="T33" s="185" t="s">
        <v>2</v>
      </c>
      <c r="U33" s="185" t="s">
        <v>1</v>
      </c>
      <c r="V33" s="185" t="s">
        <v>1</v>
      </c>
      <c r="W33" s="185" t="s">
        <v>1</v>
      </c>
      <c r="X33" s="185" t="s">
        <v>3</v>
      </c>
      <c r="Y33" s="185" t="s">
        <v>3</v>
      </c>
      <c r="Z33" s="185" t="s">
        <v>3</v>
      </c>
      <c r="AA33" s="185" t="s">
        <v>3</v>
      </c>
      <c r="AB33" s="185" t="s">
        <v>2</v>
      </c>
      <c r="AC33" s="185" t="s">
        <v>1</v>
      </c>
      <c r="AD33" s="185" t="s">
        <v>5</v>
      </c>
      <c r="AE33" s="185" t="s">
        <v>3</v>
      </c>
      <c r="AF33" s="185" t="s">
        <v>3</v>
      </c>
      <c r="AG33" s="185" t="s">
        <v>2</v>
      </c>
      <c r="AH33" s="185" t="s">
        <v>3</v>
      </c>
      <c r="AI33" s="185" t="s">
        <v>2</v>
      </c>
      <c r="AJ33" s="185" t="s">
        <v>1093</v>
      </c>
      <c r="AK33" s="185" t="s">
        <v>3</v>
      </c>
      <c r="AL33" s="185" t="s">
        <v>2</v>
      </c>
      <c r="AM33" s="185" t="s">
        <v>1</v>
      </c>
      <c r="AN33" s="185" t="s">
        <v>1</v>
      </c>
      <c r="AO33" s="185" t="s">
        <v>2</v>
      </c>
      <c r="AP33" s="185" t="s">
        <v>3</v>
      </c>
      <c r="AQ33" s="185" t="s">
        <v>1</v>
      </c>
      <c r="AR33" s="185" t="s">
        <v>3</v>
      </c>
      <c r="AS33" s="185" t="s">
        <v>1092</v>
      </c>
      <c r="AT33" s="185" t="s">
        <v>1092</v>
      </c>
      <c r="AU33" s="185" t="s">
        <v>1092</v>
      </c>
      <c r="AV33" s="185" t="s">
        <v>3</v>
      </c>
      <c r="AW33" s="185" t="s">
        <v>1</v>
      </c>
      <c r="AX33" s="185" t="s">
        <v>1</v>
      </c>
      <c r="AY33" s="185" t="s">
        <v>3</v>
      </c>
      <c r="AZ33" s="185" t="s">
        <v>1093</v>
      </c>
      <c r="BA33" s="185" t="s">
        <v>1093</v>
      </c>
      <c r="BB33" s="185" t="s">
        <v>1093</v>
      </c>
      <c r="BC33" s="185" t="s">
        <v>1093</v>
      </c>
      <c r="BD33" s="185" t="s">
        <v>1093</v>
      </c>
      <c r="BE33" s="185" t="s">
        <v>1093</v>
      </c>
      <c r="BF33" s="185" t="s">
        <v>1</v>
      </c>
      <c r="BG33" s="185" t="s">
        <v>2</v>
      </c>
      <c r="BH33" s="185" t="s">
        <v>2</v>
      </c>
      <c r="BI33" s="185" t="s">
        <v>1093</v>
      </c>
      <c r="BJ33" s="185" t="s">
        <v>1093</v>
      </c>
      <c r="BK33" s="185" t="s">
        <v>1</v>
      </c>
      <c r="BL33" s="185" t="s">
        <v>1</v>
      </c>
      <c r="BM33" s="185" t="s">
        <v>2</v>
      </c>
      <c r="BN33" s="185" t="s">
        <v>1</v>
      </c>
      <c r="BO33" s="185" t="s">
        <v>1093</v>
      </c>
      <c r="BP33" s="185" t="s">
        <v>3</v>
      </c>
      <c r="BQ33" s="185" t="s">
        <v>1</v>
      </c>
      <c r="BR33" s="185" t="s">
        <v>3</v>
      </c>
      <c r="BS33" s="185" t="s">
        <v>1092</v>
      </c>
      <c r="BT33" s="185" t="s">
        <v>1093</v>
      </c>
      <c r="BU33" s="185" t="s">
        <v>1093</v>
      </c>
      <c r="BV33" s="185" t="s">
        <v>3</v>
      </c>
      <c r="BW33" s="185" t="s">
        <v>2</v>
      </c>
      <c r="BX33" s="185" t="s">
        <v>5</v>
      </c>
      <c r="BY33" s="185" t="s">
        <v>3</v>
      </c>
      <c r="BZ33" s="185" t="s">
        <v>1092</v>
      </c>
      <c r="CA33" s="185" t="s">
        <v>1093</v>
      </c>
      <c r="CB33" s="185" t="s">
        <v>1</v>
      </c>
      <c r="CC33" s="185" t="s">
        <v>2</v>
      </c>
      <c r="CD33" s="185" t="s">
        <v>1093</v>
      </c>
      <c r="CE33" s="185" t="s">
        <v>1093</v>
      </c>
      <c r="CF33" s="185" t="s">
        <v>1093</v>
      </c>
      <c r="CG33" s="185" t="s">
        <v>1093</v>
      </c>
      <c r="CH33" s="185" t="s">
        <v>1</v>
      </c>
      <c r="CI33" s="185" t="s">
        <v>2</v>
      </c>
      <c r="CJ33" s="185" t="s">
        <v>1093</v>
      </c>
      <c r="CK33" s="185" t="s">
        <v>1093</v>
      </c>
      <c r="CL33" s="185" t="s">
        <v>1093</v>
      </c>
      <c r="CM33" s="185" t="s">
        <v>1</v>
      </c>
      <c r="CN33" s="185" t="s">
        <v>5</v>
      </c>
      <c r="CO33" s="185" t="s">
        <v>1</v>
      </c>
      <c r="CP33" s="185" t="s">
        <v>2</v>
      </c>
      <c r="CQ33" s="185" t="s">
        <v>2</v>
      </c>
      <c r="CR33" s="185" t="s">
        <v>1</v>
      </c>
      <c r="CS33" s="185" t="s">
        <v>1</v>
      </c>
      <c r="CT33" s="185" t="s">
        <v>1</v>
      </c>
      <c r="CU33" s="185" t="s">
        <v>1093</v>
      </c>
      <c r="CV33" s="185" t="s">
        <v>2</v>
      </c>
      <c r="CW33" s="185" t="s">
        <v>1</v>
      </c>
      <c r="CX33" s="185" t="s">
        <v>2268</v>
      </c>
      <c r="CY33" s="185">
        <v>20161572031</v>
      </c>
    </row>
    <row r="34" spans="1:103" ht="12.75" x14ac:dyDescent="0.2">
      <c r="A34" s="184">
        <v>42873.454399467591</v>
      </c>
      <c r="B34" s="185" t="s">
        <v>2269</v>
      </c>
      <c r="C34" s="185" t="s">
        <v>2237</v>
      </c>
      <c r="D34" s="185">
        <v>2</v>
      </c>
      <c r="E34" s="185" t="s">
        <v>3</v>
      </c>
      <c r="F34" s="185" t="s">
        <v>1092</v>
      </c>
      <c r="G34" s="185" t="s">
        <v>1092</v>
      </c>
      <c r="H34" s="185" t="s">
        <v>1092</v>
      </c>
      <c r="I34" s="185" t="s">
        <v>1093</v>
      </c>
      <c r="J34" s="185" t="s">
        <v>1092</v>
      </c>
      <c r="K34" s="185" t="s">
        <v>1092</v>
      </c>
      <c r="L34" s="185" t="s">
        <v>1092</v>
      </c>
      <c r="M34" s="185" t="s">
        <v>2</v>
      </c>
      <c r="N34" s="185" t="s">
        <v>1092</v>
      </c>
      <c r="O34" s="185" t="s">
        <v>1092</v>
      </c>
      <c r="P34" s="185" t="s">
        <v>2</v>
      </c>
      <c r="Q34" s="185" t="s">
        <v>1093</v>
      </c>
      <c r="R34" s="185" t="s">
        <v>1092</v>
      </c>
      <c r="S34" s="185" t="s">
        <v>1092</v>
      </c>
      <c r="T34" s="185" t="s">
        <v>3</v>
      </c>
      <c r="U34" s="185" t="s">
        <v>1092</v>
      </c>
      <c r="V34" s="185" t="s">
        <v>1092</v>
      </c>
      <c r="W34" s="185" t="s">
        <v>3</v>
      </c>
      <c r="X34" s="185" t="s">
        <v>1092</v>
      </c>
      <c r="Y34" s="185" t="s">
        <v>3</v>
      </c>
      <c r="Z34" s="185" t="s">
        <v>2</v>
      </c>
      <c r="AA34" s="185" t="s">
        <v>1092</v>
      </c>
      <c r="AB34" s="185" t="s">
        <v>1092</v>
      </c>
      <c r="AC34" s="185" t="s">
        <v>1092</v>
      </c>
      <c r="AD34" s="185" t="s">
        <v>1092</v>
      </c>
      <c r="AE34" s="185" t="s">
        <v>1092</v>
      </c>
      <c r="AF34" s="185" t="s">
        <v>1092</v>
      </c>
      <c r="AG34" s="185" t="s">
        <v>1092</v>
      </c>
      <c r="AH34" s="185" t="s">
        <v>1092</v>
      </c>
      <c r="AI34" s="185" t="s">
        <v>1092</v>
      </c>
      <c r="AJ34" s="185" t="s">
        <v>1092</v>
      </c>
      <c r="AK34" s="185" t="s">
        <v>1092</v>
      </c>
      <c r="AL34" s="185" t="s">
        <v>1092</v>
      </c>
      <c r="AM34" s="185" t="s">
        <v>1092</v>
      </c>
      <c r="AN34" s="185" t="s">
        <v>1092</v>
      </c>
      <c r="AO34" s="185" t="s">
        <v>1092</v>
      </c>
      <c r="AP34" s="185" t="s">
        <v>1092</v>
      </c>
      <c r="AQ34" s="185" t="s">
        <v>1092</v>
      </c>
      <c r="AR34" s="185" t="s">
        <v>1092</v>
      </c>
      <c r="AS34" s="185" t="s">
        <v>1092</v>
      </c>
      <c r="AT34" s="185" t="s">
        <v>1092</v>
      </c>
      <c r="AU34" s="185" t="s">
        <v>3</v>
      </c>
      <c r="AV34" s="185" t="s">
        <v>2</v>
      </c>
      <c r="AW34" s="185" t="s">
        <v>1</v>
      </c>
      <c r="AX34" s="185" t="s">
        <v>1092</v>
      </c>
      <c r="AY34" s="185" t="s">
        <v>1092</v>
      </c>
      <c r="AZ34" s="185" t="s">
        <v>1092</v>
      </c>
      <c r="BA34" s="185" t="s">
        <v>2</v>
      </c>
      <c r="BB34" s="185" t="s">
        <v>2</v>
      </c>
      <c r="BC34" s="185" t="s">
        <v>1093</v>
      </c>
      <c r="BD34" s="185" t="s">
        <v>1093</v>
      </c>
      <c r="BE34" s="185" t="s">
        <v>1093</v>
      </c>
      <c r="BF34" s="185" t="s">
        <v>1</v>
      </c>
      <c r="BG34" s="185" t="s">
        <v>1092</v>
      </c>
      <c r="BH34" s="185" t="s">
        <v>1</v>
      </c>
      <c r="BI34" s="185" t="s">
        <v>1092</v>
      </c>
      <c r="BJ34" s="185" t="s">
        <v>1092</v>
      </c>
      <c r="BK34" s="185" t="s">
        <v>1092</v>
      </c>
      <c r="BL34" s="185" t="s">
        <v>2</v>
      </c>
      <c r="BM34" s="185" t="s">
        <v>1093</v>
      </c>
      <c r="BN34" s="185" t="s">
        <v>1093</v>
      </c>
      <c r="BO34" s="185" t="s">
        <v>1093</v>
      </c>
      <c r="BP34" s="185" t="s">
        <v>1092</v>
      </c>
      <c r="BQ34" s="185" t="s">
        <v>2</v>
      </c>
      <c r="BR34" s="185" t="s">
        <v>1092</v>
      </c>
      <c r="BS34" s="185" t="s">
        <v>2</v>
      </c>
      <c r="BT34" s="185" t="s">
        <v>2</v>
      </c>
      <c r="BU34" s="185" t="s">
        <v>3</v>
      </c>
      <c r="BV34" s="185" t="s">
        <v>3</v>
      </c>
      <c r="BW34" s="185" t="s">
        <v>2</v>
      </c>
      <c r="BX34" s="185" t="s">
        <v>2</v>
      </c>
      <c r="BY34" s="185" t="s">
        <v>1093</v>
      </c>
      <c r="BZ34" s="185" t="s">
        <v>1093</v>
      </c>
      <c r="CA34" s="185" t="s">
        <v>2</v>
      </c>
      <c r="CB34" s="185" t="s">
        <v>1093</v>
      </c>
      <c r="CC34" s="185" t="s">
        <v>1093</v>
      </c>
      <c r="CD34" s="185" t="s">
        <v>1092</v>
      </c>
      <c r="CE34" s="185" t="s">
        <v>1092</v>
      </c>
      <c r="CF34" s="185" t="s">
        <v>1093</v>
      </c>
      <c r="CG34" s="185" t="s">
        <v>1</v>
      </c>
      <c r="CH34" s="185" t="s">
        <v>2</v>
      </c>
      <c r="CI34" s="185" t="s">
        <v>3</v>
      </c>
      <c r="CJ34" s="185" t="s">
        <v>2</v>
      </c>
      <c r="CK34" s="185" t="s">
        <v>2</v>
      </c>
      <c r="CL34" s="185" t="s">
        <v>1092</v>
      </c>
      <c r="CM34" s="185" t="s">
        <v>1093</v>
      </c>
      <c r="CN34" s="185" t="s">
        <v>2</v>
      </c>
      <c r="CO34" s="185" t="s">
        <v>2</v>
      </c>
      <c r="CP34" s="185" t="s">
        <v>3</v>
      </c>
      <c r="CQ34" s="185" t="s">
        <v>2</v>
      </c>
      <c r="CR34" s="185" t="s">
        <v>1093</v>
      </c>
      <c r="CS34" s="185" t="s">
        <v>1</v>
      </c>
      <c r="CT34" s="185" t="s">
        <v>2</v>
      </c>
      <c r="CU34" s="185" t="s">
        <v>1</v>
      </c>
      <c r="CV34" s="185" t="s">
        <v>2</v>
      </c>
      <c r="CW34" s="185" t="s">
        <v>2</v>
      </c>
      <c r="CX34" s="186"/>
      <c r="CY34" s="185">
        <v>20162572006</v>
      </c>
    </row>
    <row r="35" spans="1:103" ht="12.75" x14ac:dyDescent="0.2">
      <c r="A35" s="184">
        <v>42873.477082650468</v>
      </c>
      <c r="B35" s="185" t="s">
        <v>2270</v>
      </c>
      <c r="C35" s="185" t="s">
        <v>2271</v>
      </c>
      <c r="D35" s="185">
        <v>9</v>
      </c>
      <c r="E35" s="185" t="s">
        <v>3</v>
      </c>
      <c r="F35" s="185" t="s">
        <v>3</v>
      </c>
      <c r="G35" s="185" t="s">
        <v>3</v>
      </c>
      <c r="H35" s="185" t="s">
        <v>3</v>
      </c>
      <c r="I35" s="185" t="s">
        <v>1</v>
      </c>
      <c r="J35" s="185" t="s">
        <v>1</v>
      </c>
      <c r="K35" s="185" t="s">
        <v>1</v>
      </c>
      <c r="L35" s="185" t="s">
        <v>1</v>
      </c>
      <c r="M35" s="185" t="s">
        <v>1</v>
      </c>
      <c r="N35" s="185" t="s">
        <v>1</v>
      </c>
      <c r="O35" s="185" t="s">
        <v>3</v>
      </c>
      <c r="P35" s="185" t="s">
        <v>1</v>
      </c>
      <c r="Q35" s="185" t="s">
        <v>1</v>
      </c>
      <c r="R35" s="185" t="s">
        <v>1093</v>
      </c>
      <c r="S35" s="185" t="s">
        <v>1093</v>
      </c>
      <c r="T35" s="185" t="s">
        <v>1093</v>
      </c>
      <c r="U35" s="185" t="s">
        <v>1093</v>
      </c>
      <c r="V35" s="185" t="s">
        <v>3</v>
      </c>
      <c r="W35" s="185" t="s">
        <v>1093</v>
      </c>
      <c r="X35" s="185" t="s">
        <v>1093</v>
      </c>
      <c r="Y35" s="185" t="s">
        <v>3</v>
      </c>
      <c r="Z35" s="185" t="s">
        <v>3</v>
      </c>
      <c r="AA35" s="185" t="s">
        <v>3</v>
      </c>
      <c r="AB35" s="185" t="s">
        <v>1</v>
      </c>
      <c r="AC35" s="185" t="s">
        <v>1</v>
      </c>
      <c r="AD35" s="185" t="s">
        <v>1</v>
      </c>
      <c r="AE35" s="185" t="s">
        <v>2</v>
      </c>
      <c r="AF35" s="185" t="s">
        <v>1092</v>
      </c>
      <c r="AG35" s="185" t="s">
        <v>1092</v>
      </c>
      <c r="AH35" s="185" t="s">
        <v>1092</v>
      </c>
      <c r="AI35" s="185" t="s">
        <v>1092</v>
      </c>
      <c r="AJ35" s="185" t="s">
        <v>2</v>
      </c>
      <c r="AK35" s="185" t="s">
        <v>1093</v>
      </c>
      <c r="AL35" s="185" t="s">
        <v>1093</v>
      </c>
      <c r="AM35" s="185" t="s">
        <v>1093</v>
      </c>
      <c r="AN35" s="185" t="s">
        <v>3</v>
      </c>
      <c r="AO35" s="185" t="s">
        <v>1093</v>
      </c>
      <c r="AP35" s="185" t="s">
        <v>1093</v>
      </c>
      <c r="AQ35" s="185" t="s">
        <v>3</v>
      </c>
      <c r="AR35" s="185" t="s">
        <v>1092</v>
      </c>
      <c r="AS35" s="185" t="s">
        <v>1092</v>
      </c>
      <c r="AT35" s="185" t="s">
        <v>1092</v>
      </c>
      <c r="AU35" s="185" t="s">
        <v>1092</v>
      </c>
      <c r="AV35" s="185" t="s">
        <v>2</v>
      </c>
      <c r="AW35" s="185" t="s">
        <v>3</v>
      </c>
      <c r="AX35" s="185" t="s">
        <v>3</v>
      </c>
      <c r="AY35" s="185" t="s">
        <v>3</v>
      </c>
      <c r="AZ35" s="185" t="s">
        <v>2</v>
      </c>
      <c r="BA35" s="185" t="s">
        <v>2</v>
      </c>
      <c r="BB35" s="185" t="s">
        <v>1093</v>
      </c>
      <c r="BC35" s="185" t="s">
        <v>1093</v>
      </c>
      <c r="BD35" s="185" t="s">
        <v>1093</v>
      </c>
      <c r="BE35" s="185" t="s">
        <v>1093</v>
      </c>
      <c r="BF35" s="185" t="s">
        <v>1093</v>
      </c>
      <c r="BG35" s="185" t="s">
        <v>1093</v>
      </c>
      <c r="BH35" s="185" t="s">
        <v>3</v>
      </c>
      <c r="BI35" s="185" t="s">
        <v>3</v>
      </c>
      <c r="BJ35" s="185" t="s">
        <v>3</v>
      </c>
      <c r="BK35" s="185" t="s">
        <v>3</v>
      </c>
      <c r="BL35" s="185" t="s">
        <v>3</v>
      </c>
      <c r="BM35" s="185" t="s">
        <v>2</v>
      </c>
      <c r="BN35" s="185" t="s">
        <v>2</v>
      </c>
      <c r="BO35" s="185" t="s">
        <v>2</v>
      </c>
      <c r="BP35" s="185" t="s">
        <v>2</v>
      </c>
      <c r="BQ35" s="185" t="s">
        <v>1093</v>
      </c>
      <c r="BR35" s="185" t="s">
        <v>1093</v>
      </c>
      <c r="BS35" s="185" t="s">
        <v>1093</v>
      </c>
      <c r="BT35" s="185" t="s">
        <v>2</v>
      </c>
      <c r="BU35" s="185" t="s">
        <v>2</v>
      </c>
      <c r="BV35" s="185" t="s">
        <v>2</v>
      </c>
      <c r="BW35" s="185" t="s">
        <v>2</v>
      </c>
      <c r="BX35" s="185" t="s">
        <v>1093</v>
      </c>
      <c r="BY35" s="185" t="s">
        <v>1093</v>
      </c>
      <c r="BZ35" s="185" t="s">
        <v>1093</v>
      </c>
      <c r="CA35" s="185" t="s">
        <v>1093</v>
      </c>
      <c r="CB35" s="185" t="s">
        <v>1093</v>
      </c>
      <c r="CC35" s="185" t="s">
        <v>1093</v>
      </c>
      <c r="CD35" s="185" t="s">
        <v>1093</v>
      </c>
      <c r="CE35" s="185" t="s">
        <v>3</v>
      </c>
      <c r="CF35" s="185" t="s">
        <v>1</v>
      </c>
      <c r="CG35" s="185" t="s">
        <v>1093</v>
      </c>
      <c r="CH35" s="185" t="s">
        <v>1093</v>
      </c>
      <c r="CI35" s="185" t="s">
        <v>1093</v>
      </c>
      <c r="CJ35" s="185" t="s">
        <v>1093</v>
      </c>
      <c r="CK35" s="185" t="s">
        <v>1093</v>
      </c>
      <c r="CL35" s="185" t="s">
        <v>1093</v>
      </c>
      <c r="CM35" s="185" t="s">
        <v>1093</v>
      </c>
      <c r="CN35" s="185" t="s">
        <v>1093</v>
      </c>
      <c r="CO35" s="185" t="s">
        <v>1</v>
      </c>
      <c r="CP35" s="185" t="s">
        <v>1093</v>
      </c>
      <c r="CQ35" s="185" t="s">
        <v>1</v>
      </c>
      <c r="CR35" s="185" t="s">
        <v>1093</v>
      </c>
      <c r="CS35" s="185" t="s">
        <v>1093</v>
      </c>
      <c r="CT35" s="185" t="s">
        <v>1093</v>
      </c>
      <c r="CU35" s="185" t="s">
        <v>1093</v>
      </c>
      <c r="CV35" s="185" t="s">
        <v>1093</v>
      </c>
      <c r="CW35" s="185" t="s">
        <v>1093</v>
      </c>
      <c r="CX35" s="186"/>
      <c r="CY35" s="185">
        <v>20131372074</v>
      </c>
    </row>
    <row r="36" spans="1:103" ht="12.75" x14ac:dyDescent="0.2">
      <c r="A36" s="184">
        <v>42873.480673599537</v>
      </c>
      <c r="B36" s="185" t="s">
        <v>2272</v>
      </c>
      <c r="C36" s="185" t="s">
        <v>2271</v>
      </c>
      <c r="D36" s="185">
        <v>8</v>
      </c>
      <c r="E36" s="185" t="s">
        <v>3</v>
      </c>
      <c r="F36" s="185" t="s">
        <v>1092</v>
      </c>
      <c r="G36" s="185" t="s">
        <v>1092</v>
      </c>
      <c r="H36" s="185" t="s">
        <v>1093</v>
      </c>
      <c r="I36" s="185" t="s">
        <v>1093</v>
      </c>
      <c r="J36" s="185" t="s">
        <v>1093</v>
      </c>
      <c r="K36" s="185" t="s">
        <v>1092</v>
      </c>
      <c r="L36" s="185" t="s">
        <v>1092</v>
      </c>
      <c r="M36" s="185" t="s">
        <v>2</v>
      </c>
      <c r="N36" s="185" t="s">
        <v>1092</v>
      </c>
      <c r="O36" s="185" t="s">
        <v>3</v>
      </c>
      <c r="P36" s="185" t="s">
        <v>1093</v>
      </c>
      <c r="Q36" s="185" t="s">
        <v>1093</v>
      </c>
      <c r="R36" s="185" t="s">
        <v>1</v>
      </c>
      <c r="S36" s="185" t="s">
        <v>1</v>
      </c>
      <c r="T36" s="185" t="s">
        <v>1093</v>
      </c>
      <c r="U36" s="185" t="s">
        <v>1093</v>
      </c>
      <c r="V36" s="185" t="s">
        <v>2</v>
      </c>
      <c r="W36" s="185" t="s">
        <v>1093</v>
      </c>
      <c r="X36" s="185" t="s">
        <v>1093</v>
      </c>
      <c r="Y36" s="185" t="s">
        <v>1093</v>
      </c>
      <c r="Z36" s="185" t="s">
        <v>2</v>
      </c>
      <c r="AA36" s="185" t="s">
        <v>2</v>
      </c>
      <c r="AB36" s="185" t="s">
        <v>2</v>
      </c>
      <c r="AC36" s="185" t="s">
        <v>1</v>
      </c>
      <c r="AD36" s="185" t="s">
        <v>5</v>
      </c>
      <c r="AE36" s="185" t="s">
        <v>1</v>
      </c>
      <c r="AF36" s="185" t="s">
        <v>1093</v>
      </c>
      <c r="AG36" s="185" t="s">
        <v>1093</v>
      </c>
      <c r="AH36" s="185" t="s">
        <v>1093</v>
      </c>
      <c r="AI36" s="185" t="s">
        <v>1093</v>
      </c>
      <c r="AJ36" s="185" t="s">
        <v>1</v>
      </c>
      <c r="AK36" s="185" t="s">
        <v>2</v>
      </c>
      <c r="AL36" s="185" t="s">
        <v>1093</v>
      </c>
      <c r="AM36" s="185" t="s">
        <v>1</v>
      </c>
      <c r="AN36" s="185" t="s">
        <v>3</v>
      </c>
      <c r="AO36" s="185" t="s">
        <v>2</v>
      </c>
      <c r="AP36" s="185" t="s">
        <v>3</v>
      </c>
      <c r="AQ36" s="185" t="s">
        <v>1092</v>
      </c>
      <c r="AR36" s="185" t="s">
        <v>1092</v>
      </c>
      <c r="AS36" s="185" t="s">
        <v>1092</v>
      </c>
      <c r="AT36" s="185" t="s">
        <v>1092</v>
      </c>
      <c r="AU36" s="185" t="s">
        <v>1093</v>
      </c>
      <c r="AV36" s="185" t="s">
        <v>1</v>
      </c>
      <c r="AW36" s="185" t="s">
        <v>1093</v>
      </c>
      <c r="AX36" s="185" t="s">
        <v>3</v>
      </c>
      <c r="AY36" s="185" t="s">
        <v>1</v>
      </c>
      <c r="AZ36" s="185" t="s">
        <v>1093</v>
      </c>
      <c r="BA36" s="185" t="s">
        <v>1093</v>
      </c>
      <c r="BB36" s="185" t="s">
        <v>1093</v>
      </c>
      <c r="BC36" s="185" t="s">
        <v>1093</v>
      </c>
      <c r="BD36" s="185" t="s">
        <v>1093</v>
      </c>
      <c r="BE36" s="185" t="s">
        <v>1093</v>
      </c>
      <c r="BF36" s="185" t="s">
        <v>1093</v>
      </c>
      <c r="BG36" s="185" t="s">
        <v>2</v>
      </c>
      <c r="BH36" s="185" t="s">
        <v>2</v>
      </c>
      <c r="BI36" s="185" t="s">
        <v>2</v>
      </c>
      <c r="BJ36" s="185" t="s">
        <v>2</v>
      </c>
      <c r="BK36" s="185" t="s">
        <v>3</v>
      </c>
      <c r="BL36" s="185" t="s">
        <v>3</v>
      </c>
      <c r="BM36" s="185" t="s">
        <v>1093</v>
      </c>
      <c r="BN36" s="185" t="s">
        <v>2</v>
      </c>
      <c r="BO36" s="185" t="s">
        <v>2</v>
      </c>
      <c r="BP36" s="185" t="s">
        <v>1</v>
      </c>
      <c r="BQ36" s="185" t="s">
        <v>2</v>
      </c>
      <c r="BR36" s="185" t="s">
        <v>3</v>
      </c>
      <c r="BS36" s="185" t="s">
        <v>3</v>
      </c>
      <c r="BT36" s="185" t="s">
        <v>1092</v>
      </c>
      <c r="BU36" s="185" t="s">
        <v>1092</v>
      </c>
      <c r="BV36" s="185" t="s">
        <v>1092</v>
      </c>
      <c r="BW36" s="185" t="s">
        <v>1092</v>
      </c>
      <c r="BX36" s="185" t="s">
        <v>1093</v>
      </c>
      <c r="BY36" s="185" t="s">
        <v>1093</v>
      </c>
      <c r="BZ36" s="185" t="s">
        <v>1093</v>
      </c>
      <c r="CA36" s="185" t="s">
        <v>5</v>
      </c>
      <c r="CB36" s="185" t="s">
        <v>5</v>
      </c>
      <c r="CC36" s="185" t="s">
        <v>5</v>
      </c>
      <c r="CD36" s="185" t="s">
        <v>1092</v>
      </c>
      <c r="CE36" s="185" t="s">
        <v>1092</v>
      </c>
      <c r="CF36" s="185" t="s">
        <v>1</v>
      </c>
      <c r="CG36" s="185" t="s">
        <v>1093</v>
      </c>
      <c r="CH36" s="185" t="s">
        <v>1092</v>
      </c>
      <c r="CI36" s="185" t="s">
        <v>1092</v>
      </c>
      <c r="CJ36" s="185" t="s">
        <v>1093</v>
      </c>
      <c r="CK36" s="185" t="s">
        <v>5</v>
      </c>
      <c r="CL36" s="185" t="s">
        <v>5</v>
      </c>
      <c r="CM36" s="185" t="s">
        <v>1</v>
      </c>
      <c r="CN36" s="185" t="s">
        <v>1093</v>
      </c>
      <c r="CO36" s="185" t="s">
        <v>5</v>
      </c>
      <c r="CP36" s="185" t="s">
        <v>3</v>
      </c>
      <c r="CQ36" s="185" t="s">
        <v>1092</v>
      </c>
      <c r="CR36" s="185" t="s">
        <v>1092</v>
      </c>
      <c r="CS36" s="185" t="s">
        <v>1093</v>
      </c>
      <c r="CT36" s="185" t="s">
        <v>1093</v>
      </c>
      <c r="CU36" s="185" t="s">
        <v>1092</v>
      </c>
      <c r="CV36" s="185" t="s">
        <v>1092</v>
      </c>
      <c r="CW36" s="185" t="s">
        <v>1092</v>
      </c>
      <c r="CX36" s="186"/>
      <c r="CY36" s="185">
        <v>20131372037</v>
      </c>
    </row>
    <row r="37" spans="1:103" ht="12.75" x14ac:dyDescent="0.2">
      <c r="A37" s="184">
        <v>42873.492288229172</v>
      </c>
      <c r="B37" s="185" t="s">
        <v>2273</v>
      </c>
      <c r="C37" s="185" t="s">
        <v>2237</v>
      </c>
      <c r="D37" s="185">
        <v>2</v>
      </c>
      <c r="E37" s="185" t="s">
        <v>1092</v>
      </c>
      <c r="F37" s="185" t="s">
        <v>1092</v>
      </c>
      <c r="G37" s="185" t="s">
        <v>1092</v>
      </c>
      <c r="H37" s="185" t="s">
        <v>1092</v>
      </c>
      <c r="I37" s="185" t="s">
        <v>1093</v>
      </c>
      <c r="J37" s="185" t="s">
        <v>1092</v>
      </c>
      <c r="K37" s="185" t="s">
        <v>1092</v>
      </c>
      <c r="L37" s="185" t="s">
        <v>1093</v>
      </c>
      <c r="M37" s="185" t="s">
        <v>1093</v>
      </c>
      <c r="N37" s="185" t="s">
        <v>1093</v>
      </c>
      <c r="O37" s="185" t="s">
        <v>1092</v>
      </c>
      <c r="P37" s="185" t="s">
        <v>1092</v>
      </c>
      <c r="Q37" s="185" t="s">
        <v>1093</v>
      </c>
      <c r="R37" s="185" t="s">
        <v>1093</v>
      </c>
      <c r="S37" s="185" t="s">
        <v>1092</v>
      </c>
      <c r="T37" s="185" t="s">
        <v>1093</v>
      </c>
      <c r="U37" s="185" t="s">
        <v>1093</v>
      </c>
      <c r="V37" s="185" t="s">
        <v>1092</v>
      </c>
      <c r="W37" s="185" t="s">
        <v>1092</v>
      </c>
      <c r="X37" s="185" t="s">
        <v>1092</v>
      </c>
      <c r="Y37" s="185" t="s">
        <v>1092</v>
      </c>
      <c r="Z37" s="185" t="s">
        <v>1092</v>
      </c>
      <c r="AA37" s="185" t="s">
        <v>1092</v>
      </c>
      <c r="AB37" s="185" t="s">
        <v>1092</v>
      </c>
      <c r="AC37" s="185" t="s">
        <v>1092</v>
      </c>
      <c r="AD37" s="185" t="s">
        <v>1092</v>
      </c>
      <c r="AE37" s="185" t="s">
        <v>1092</v>
      </c>
      <c r="AF37" s="185" t="s">
        <v>1092</v>
      </c>
      <c r="AG37" s="185" t="s">
        <v>1092</v>
      </c>
      <c r="AH37" s="185" t="s">
        <v>1092</v>
      </c>
      <c r="AI37" s="185" t="s">
        <v>1092</v>
      </c>
      <c r="AJ37" s="185" t="s">
        <v>1092</v>
      </c>
      <c r="AK37" s="185" t="s">
        <v>1092</v>
      </c>
      <c r="AL37" s="185" t="s">
        <v>1092</v>
      </c>
      <c r="AM37" s="185" t="s">
        <v>1092</v>
      </c>
      <c r="AN37" s="185" t="s">
        <v>1092</v>
      </c>
      <c r="AO37" s="185" t="s">
        <v>1092</v>
      </c>
      <c r="AP37" s="185" t="s">
        <v>1092</v>
      </c>
      <c r="AQ37" s="185" t="s">
        <v>1092</v>
      </c>
      <c r="AR37" s="185" t="s">
        <v>1092</v>
      </c>
      <c r="AS37" s="185" t="s">
        <v>1092</v>
      </c>
      <c r="AT37" s="185" t="s">
        <v>1092</v>
      </c>
      <c r="AU37" s="185" t="s">
        <v>1092</v>
      </c>
      <c r="AV37" s="185" t="s">
        <v>1092</v>
      </c>
      <c r="AW37" s="185" t="s">
        <v>1092</v>
      </c>
      <c r="AX37" s="185" t="s">
        <v>1092</v>
      </c>
      <c r="AY37" s="185" t="s">
        <v>1092</v>
      </c>
      <c r="AZ37" s="185" t="s">
        <v>1092</v>
      </c>
      <c r="BA37" s="185" t="s">
        <v>1092</v>
      </c>
      <c r="BB37" s="185" t="s">
        <v>1092</v>
      </c>
      <c r="BC37" s="185" t="s">
        <v>1092</v>
      </c>
      <c r="BD37" s="185" t="s">
        <v>1093</v>
      </c>
      <c r="BE37" s="185" t="s">
        <v>1092</v>
      </c>
      <c r="BF37" s="185" t="s">
        <v>1093</v>
      </c>
      <c r="BG37" s="185" t="s">
        <v>1093</v>
      </c>
      <c r="BH37" s="185" t="s">
        <v>1093</v>
      </c>
      <c r="BI37" s="185" t="s">
        <v>1093</v>
      </c>
      <c r="BJ37" s="185" t="s">
        <v>1093</v>
      </c>
      <c r="BK37" s="185" t="s">
        <v>1093</v>
      </c>
      <c r="BL37" s="185" t="s">
        <v>2</v>
      </c>
      <c r="BM37" s="185" t="s">
        <v>2</v>
      </c>
      <c r="BN37" s="185" t="s">
        <v>2</v>
      </c>
      <c r="BO37" s="185" t="s">
        <v>2</v>
      </c>
      <c r="BP37" s="185" t="s">
        <v>1093</v>
      </c>
      <c r="BQ37" s="185" t="s">
        <v>2</v>
      </c>
      <c r="BR37" s="185" t="s">
        <v>1092</v>
      </c>
      <c r="BS37" s="185" t="s">
        <v>1092</v>
      </c>
      <c r="BT37" s="185" t="s">
        <v>1093</v>
      </c>
      <c r="BU37" s="185" t="s">
        <v>1093</v>
      </c>
      <c r="BV37" s="185" t="s">
        <v>1092</v>
      </c>
      <c r="BW37" s="185" t="s">
        <v>1093</v>
      </c>
      <c r="BX37" s="185" t="s">
        <v>1092</v>
      </c>
      <c r="BY37" s="185" t="s">
        <v>1093</v>
      </c>
      <c r="BZ37" s="185" t="s">
        <v>1093</v>
      </c>
      <c r="CA37" s="185" t="s">
        <v>1092</v>
      </c>
      <c r="CB37" s="185" t="s">
        <v>1093</v>
      </c>
      <c r="CC37" s="185" t="s">
        <v>1093</v>
      </c>
      <c r="CD37" s="185" t="s">
        <v>1092</v>
      </c>
      <c r="CE37" s="185" t="s">
        <v>1092</v>
      </c>
      <c r="CF37" s="185" t="s">
        <v>1093</v>
      </c>
      <c r="CG37" s="185" t="s">
        <v>1093</v>
      </c>
      <c r="CH37" s="185" t="s">
        <v>1092</v>
      </c>
      <c r="CI37" s="185" t="s">
        <v>1092</v>
      </c>
      <c r="CJ37" s="185" t="s">
        <v>1092</v>
      </c>
      <c r="CK37" s="185" t="s">
        <v>1092</v>
      </c>
      <c r="CL37" s="185" t="s">
        <v>1092</v>
      </c>
      <c r="CM37" s="185" t="s">
        <v>1092</v>
      </c>
      <c r="CN37" s="185" t="s">
        <v>1092</v>
      </c>
      <c r="CO37" s="185" t="s">
        <v>1093</v>
      </c>
      <c r="CP37" s="185" t="s">
        <v>1093</v>
      </c>
      <c r="CQ37" s="185" t="s">
        <v>1093</v>
      </c>
      <c r="CR37" s="185" t="s">
        <v>1093</v>
      </c>
      <c r="CS37" s="185" t="s">
        <v>1092</v>
      </c>
      <c r="CT37" s="185" t="s">
        <v>1093</v>
      </c>
      <c r="CU37" s="185" t="s">
        <v>1093</v>
      </c>
      <c r="CV37" s="185" t="s">
        <v>1093</v>
      </c>
      <c r="CW37" s="185" t="s">
        <v>1093</v>
      </c>
      <c r="CX37" s="186"/>
      <c r="CY37" s="185">
        <v>20162572001</v>
      </c>
    </row>
    <row r="38" spans="1:103" ht="12.75" x14ac:dyDescent="0.2">
      <c r="A38" s="184">
        <v>42873.495875034721</v>
      </c>
      <c r="B38" s="185" t="s">
        <v>2274</v>
      </c>
      <c r="C38" s="185" t="s">
        <v>2271</v>
      </c>
      <c r="D38" s="185">
        <v>2</v>
      </c>
      <c r="E38" s="185" t="s">
        <v>2</v>
      </c>
      <c r="F38" s="185" t="s">
        <v>1092</v>
      </c>
      <c r="G38" s="185" t="s">
        <v>3</v>
      </c>
      <c r="H38" s="185" t="s">
        <v>3</v>
      </c>
      <c r="I38" s="185" t="s">
        <v>1</v>
      </c>
      <c r="J38" s="185" t="s">
        <v>2</v>
      </c>
      <c r="K38" s="185" t="s">
        <v>2</v>
      </c>
      <c r="L38" s="185" t="s">
        <v>3</v>
      </c>
      <c r="M38" s="185" t="s">
        <v>3</v>
      </c>
      <c r="N38" s="185" t="s">
        <v>2</v>
      </c>
      <c r="O38" s="185" t="s">
        <v>2</v>
      </c>
      <c r="P38" s="185" t="s">
        <v>3</v>
      </c>
      <c r="Q38" s="185" t="s">
        <v>1093</v>
      </c>
      <c r="R38" s="185" t="s">
        <v>1</v>
      </c>
      <c r="S38" s="185" t="s">
        <v>2</v>
      </c>
      <c r="T38" s="185" t="s">
        <v>1</v>
      </c>
      <c r="U38" s="185" t="s">
        <v>1</v>
      </c>
      <c r="V38" s="185" t="s">
        <v>1</v>
      </c>
      <c r="W38" s="185" t="s">
        <v>2</v>
      </c>
      <c r="X38" s="185" t="s">
        <v>3</v>
      </c>
      <c r="Y38" s="185" t="s">
        <v>3</v>
      </c>
      <c r="Z38" s="185" t="s">
        <v>3</v>
      </c>
      <c r="AA38" s="185" t="s">
        <v>3</v>
      </c>
      <c r="AB38" s="185" t="s">
        <v>1093</v>
      </c>
      <c r="AC38" s="185" t="s">
        <v>1093</v>
      </c>
      <c r="AD38" s="185" t="s">
        <v>1</v>
      </c>
      <c r="AE38" s="185" t="s">
        <v>1</v>
      </c>
      <c r="AF38" s="185" t="s">
        <v>3</v>
      </c>
      <c r="AG38" s="185" t="s">
        <v>2</v>
      </c>
      <c r="AH38" s="185" t="s">
        <v>3</v>
      </c>
      <c r="AI38" s="185" t="s">
        <v>1</v>
      </c>
      <c r="AJ38" s="185" t="s">
        <v>1</v>
      </c>
      <c r="AK38" s="185" t="s">
        <v>1</v>
      </c>
      <c r="AL38" s="185" t="s">
        <v>2</v>
      </c>
      <c r="AM38" s="185" t="s">
        <v>1</v>
      </c>
      <c r="AN38" s="185" t="s">
        <v>2</v>
      </c>
      <c r="AO38" s="185" t="s">
        <v>1</v>
      </c>
      <c r="AP38" s="185" t="s">
        <v>2</v>
      </c>
      <c r="AQ38" s="185" t="s">
        <v>2</v>
      </c>
      <c r="AR38" s="185" t="s">
        <v>3</v>
      </c>
      <c r="AS38" s="185" t="s">
        <v>1092</v>
      </c>
      <c r="AT38" s="185" t="s">
        <v>1092</v>
      </c>
      <c r="AU38" s="185" t="s">
        <v>3</v>
      </c>
      <c r="AV38" s="185" t="s">
        <v>1</v>
      </c>
      <c r="AW38" s="185" t="s">
        <v>2</v>
      </c>
      <c r="AX38" s="185" t="s">
        <v>1</v>
      </c>
      <c r="AY38" s="185" t="s">
        <v>2</v>
      </c>
      <c r="AZ38" s="185" t="s">
        <v>5</v>
      </c>
      <c r="BA38" s="185" t="s">
        <v>5</v>
      </c>
      <c r="BB38" s="185" t="s">
        <v>1</v>
      </c>
      <c r="BC38" s="185" t="s">
        <v>2</v>
      </c>
      <c r="BD38" s="185" t="s">
        <v>1</v>
      </c>
      <c r="BE38" s="185" t="s">
        <v>1</v>
      </c>
      <c r="BF38" s="185" t="s">
        <v>1</v>
      </c>
      <c r="BG38" s="185" t="s">
        <v>1</v>
      </c>
      <c r="BH38" s="185" t="s">
        <v>2</v>
      </c>
      <c r="BI38" s="185" t="s">
        <v>2</v>
      </c>
      <c r="BJ38" s="185" t="s">
        <v>2</v>
      </c>
      <c r="BK38" s="185" t="s">
        <v>2</v>
      </c>
      <c r="BL38" s="185" t="s">
        <v>3</v>
      </c>
      <c r="BM38" s="185" t="s">
        <v>2</v>
      </c>
      <c r="BN38" s="185" t="s">
        <v>2</v>
      </c>
      <c r="BO38" s="185" t="s">
        <v>2</v>
      </c>
      <c r="BP38" s="185" t="s">
        <v>1</v>
      </c>
      <c r="BQ38" s="185" t="s">
        <v>2</v>
      </c>
      <c r="BR38" s="185" t="s">
        <v>3</v>
      </c>
      <c r="BS38" s="185" t="s">
        <v>1</v>
      </c>
      <c r="BT38" s="185" t="s">
        <v>1</v>
      </c>
      <c r="BU38" s="185" t="s">
        <v>2</v>
      </c>
      <c r="BV38" s="185" t="s">
        <v>3</v>
      </c>
      <c r="BW38" s="185" t="s">
        <v>2</v>
      </c>
      <c r="BX38" s="185" t="s">
        <v>2</v>
      </c>
      <c r="BY38" s="185" t="s">
        <v>2</v>
      </c>
      <c r="BZ38" s="185" t="s">
        <v>1</v>
      </c>
      <c r="CA38" s="185" t="s">
        <v>5</v>
      </c>
      <c r="CB38" s="185" t="s">
        <v>5</v>
      </c>
      <c r="CC38" s="185" t="s">
        <v>5</v>
      </c>
      <c r="CD38" s="185" t="s">
        <v>5</v>
      </c>
      <c r="CE38" s="185" t="s">
        <v>3</v>
      </c>
      <c r="CF38" s="185" t="s">
        <v>1</v>
      </c>
      <c r="CG38" s="185" t="s">
        <v>1</v>
      </c>
      <c r="CH38" s="185" t="s">
        <v>2</v>
      </c>
      <c r="CI38" s="185" t="s">
        <v>1</v>
      </c>
      <c r="CJ38" s="185" t="s">
        <v>5</v>
      </c>
      <c r="CK38" s="185" t="s">
        <v>5</v>
      </c>
      <c r="CL38" s="185" t="s">
        <v>1</v>
      </c>
      <c r="CM38" s="185" t="s">
        <v>5</v>
      </c>
      <c r="CN38" s="185" t="s">
        <v>1</v>
      </c>
      <c r="CO38" s="185" t="s">
        <v>2</v>
      </c>
      <c r="CP38" s="185" t="s">
        <v>2</v>
      </c>
      <c r="CQ38" s="185" t="s">
        <v>3</v>
      </c>
      <c r="CR38" s="185" t="s">
        <v>5</v>
      </c>
      <c r="CS38" s="185" t="s">
        <v>2</v>
      </c>
      <c r="CT38" s="185" t="s">
        <v>1</v>
      </c>
      <c r="CU38" s="185" t="s">
        <v>2</v>
      </c>
      <c r="CV38" s="185" t="s">
        <v>1</v>
      </c>
      <c r="CW38" s="185" t="s">
        <v>2</v>
      </c>
      <c r="CX38" s="186"/>
      <c r="CY38" s="185">
        <v>20141372057</v>
      </c>
    </row>
    <row r="39" spans="1:103" ht="12.75" x14ac:dyDescent="0.2">
      <c r="A39" s="184">
        <v>42873.515975578703</v>
      </c>
      <c r="B39" s="185" t="s">
        <v>2275</v>
      </c>
      <c r="C39" s="185" t="s">
        <v>2271</v>
      </c>
      <c r="D39" s="185">
        <v>3</v>
      </c>
      <c r="E39" s="185" t="s">
        <v>1092</v>
      </c>
      <c r="F39" s="185" t="s">
        <v>2</v>
      </c>
      <c r="G39" s="185" t="s">
        <v>1092</v>
      </c>
      <c r="H39" s="185" t="s">
        <v>1092</v>
      </c>
      <c r="I39" s="185" t="s">
        <v>1</v>
      </c>
      <c r="J39" s="185" t="s">
        <v>2</v>
      </c>
      <c r="K39" s="185" t="s">
        <v>1092</v>
      </c>
      <c r="L39" s="185" t="s">
        <v>1093</v>
      </c>
      <c r="M39" s="185" t="s">
        <v>2</v>
      </c>
      <c r="N39" s="185" t="s">
        <v>3</v>
      </c>
      <c r="O39" s="185" t="s">
        <v>3</v>
      </c>
      <c r="P39" s="185" t="s">
        <v>1093</v>
      </c>
      <c r="Q39" s="185" t="s">
        <v>1093</v>
      </c>
      <c r="R39" s="185" t="s">
        <v>2</v>
      </c>
      <c r="S39" s="185" t="s">
        <v>3</v>
      </c>
      <c r="T39" s="185" t="s">
        <v>2</v>
      </c>
      <c r="U39" s="185" t="s">
        <v>1093</v>
      </c>
      <c r="V39" s="185" t="s">
        <v>2</v>
      </c>
      <c r="W39" s="185" t="s">
        <v>2</v>
      </c>
      <c r="X39" s="185" t="s">
        <v>1092</v>
      </c>
      <c r="Y39" s="185" t="s">
        <v>3</v>
      </c>
      <c r="Z39" s="185" t="s">
        <v>3</v>
      </c>
      <c r="AA39" s="185" t="s">
        <v>3</v>
      </c>
      <c r="AB39" s="185" t="s">
        <v>1</v>
      </c>
      <c r="AC39" s="185" t="s">
        <v>2</v>
      </c>
      <c r="AD39" s="185" t="s">
        <v>2</v>
      </c>
      <c r="AE39" s="185" t="s">
        <v>2</v>
      </c>
      <c r="AF39" s="185" t="s">
        <v>2</v>
      </c>
      <c r="AG39" s="185" t="s">
        <v>3</v>
      </c>
      <c r="AH39" s="185" t="s">
        <v>3</v>
      </c>
      <c r="AI39" s="185" t="s">
        <v>1</v>
      </c>
      <c r="AJ39" s="185" t="s">
        <v>3</v>
      </c>
      <c r="AK39" s="185" t="s">
        <v>3</v>
      </c>
      <c r="AL39" s="185" t="s">
        <v>3</v>
      </c>
      <c r="AM39" s="185" t="s">
        <v>3</v>
      </c>
      <c r="AN39" s="185" t="s">
        <v>3</v>
      </c>
      <c r="AO39" s="185" t="s">
        <v>3</v>
      </c>
      <c r="AP39" s="185" t="s">
        <v>1092</v>
      </c>
      <c r="AQ39" s="185" t="s">
        <v>1092</v>
      </c>
      <c r="AR39" s="185" t="s">
        <v>1092</v>
      </c>
      <c r="AS39" s="185" t="s">
        <v>1092</v>
      </c>
      <c r="AT39" s="185" t="s">
        <v>1092</v>
      </c>
      <c r="AU39" s="185" t="s">
        <v>1092</v>
      </c>
      <c r="AV39" s="185" t="s">
        <v>3</v>
      </c>
      <c r="AW39" s="185" t="s">
        <v>3</v>
      </c>
      <c r="AX39" s="185" t="s">
        <v>3</v>
      </c>
      <c r="AY39" s="185" t="s">
        <v>3</v>
      </c>
      <c r="AZ39" s="185" t="s">
        <v>1</v>
      </c>
      <c r="BA39" s="185" t="s">
        <v>1</v>
      </c>
      <c r="BB39" s="185" t="s">
        <v>1</v>
      </c>
      <c r="BC39" s="185" t="s">
        <v>1</v>
      </c>
      <c r="BD39" s="185" t="s">
        <v>1</v>
      </c>
      <c r="BE39" s="185" t="s">
        <v>2</v>
      </c>
      <c r="BF39" s="185" t="s">
        <v>3</v>
      </c>
      <c r="BG39" s="185" t="s">
        <v>3</v>
      </c>
      <c r="BH39" s="185" t="s">
        <v>3</v>
      </c>
      <c r="BI39" s="185" t="s">
        <v>1092</v>
      </c>
      <c r="BJ39" s="185" t="s">
        <v>1092</v>
      </c>
      <c r="BK39" s="185" t="s">
        <v>1092</v>
      </c>
      <c r="BL39" s="185" t="s">
        <v>3</v>
      </c>
      <c r="BM39" s="185" t="s">
        <v>1092</v>
      </c>
      <c r="BN39" s="185" t="s">
        <v>1092</v>
      </c>
      <c r="BO39" s="185" t="s">
        <v>1092</v>
      </c>
      <c r="BP39" s="185" t="s">
        <v>3</v>
      </c>
      <c r="BQ39" s="185" t="s">
        <v>3</v>
      </c>
      <c r="BR39" s="185" t="s">
        <v>3</v>
      </c>
      <c r="BS39" s="185" t="s">
        <v>2</v>
      </c>
      <c r="BT39" s="185" t="s">
        <v>1092</v>
      </c>
      <c r="BU39" s="185" t="s">
        <v>1092</v>
      </c>
      <c r="BV39" s="185" t="s">
        <v>1092</v>
      </c>
      <c r="BW39" s="185" t="s">
        <v>1092</v>
      </c>
      <c r="BX39" s="185" t="s">
        <v>3</v>
      </c>
      <c r="BY39" s="185" t="s">
        <v>2</v>
      </c>
      <c r="BZ39" s="185" t="s">
        <v>5</v>
      </c>
      <c r="CA39" s="185" t="s">
        <v>2</v>
      </c>
      <c r="CB39" s="185" t="s">
        <v>2</v>
      </c>
      <c r="CC39" s="185" t="s">
        <v>2</v>
      </c>
      <c r="CD39" s="185" t="s">
        <v>2</v>
      </c>
      <c r="CE39" s="185" t="s">
        <v>1092</v>
      </c>
      <c r="CF39" s="185" t="s">
        <v>1092</v>
      </c>
      <c r="CG39" s="185" t="s">
        <v>1092</v>
      </c>
      <c r="CH39" s="185" t="s">
        <v>2</v>
      </c>
      <c r="CI39" s="185" t="s">
        <v>2</v>
      </c>
      <c r="CJ39" s="185" t="s">
        <v>2</v>
      </c>
      <c r="CK39" s="185" t="s">
        <v>2</v>
      </c>
      <c r="CL39" s="185" t="s">
        <v>1</v>
      </c>
      <c r="CM39" s="185" t="s">
        <v>1</v>
      </c>
      <c r="CN39" s="185" t="s">
        <v>1</v>
      </c>
      <c r="CO39" s="185" t="s">
        <v>2</v>
      </c>
      <c r="CP39" s="185" t="s">
        <v>2</v>
      </c>
      <c r="CQ39" s="185" t="s">
        <v>2</v>
      </c>
      <c r="CR39" s="185" t="s">
        <v>2</v>
      </c>
      <c r="CS39" s="185" t="s">
        <v>3</v>
      </c>
      <c r="CT39" s="185" t="s">
        <v>1</v>
      </c>
      <c r="CU39" s="185" t="s">
        <v>1092</v>
      </c>
      <c r="CV39" s="185" t="s">
        <v>1092</v>
      </c>
      <c r="CW39" s="185" t="s">
        <v>1092</v>
      </c>
      <c r="CX39" s="186"/>
      <c r="CY39" s="185">
        <v>20161372060</v>
      </c>
    </row>
    <row r="40" spans="1:103" ht="12.75" x14ac:dyDescent="0.2">
      <c r="A40" s="184">
        <v>42873.517730509258</v>
      </c>
      <c r="B40" s="185" t="s">
        <v>2276</v>
      </c>
      <c r="C40" s="185" t="s">
        <v>2271</v>
      </c>
      <c r="D40" s="185">
        <v>6</v>
      </c>
      <c r="E40" s="185" t="s">
        <v>1092</v>
      </c>
      <c r="F40" s="185" t="s">
        <v>1092</v>
      </c>
      <c r="G40" s="185" t="s">
        <v>3</v>
      </c>
      <c r="H40" s="185" t="s">
        <v>3</v>
      </c>
      <c r="I40" s="185" t="s">
        <v>1</v>
      </c>
      <c r="J40" s="185" t="s">
        <v>3</v>
      </c>
      <c r="K40" s="185" t="s">
        <v>3</v>
      </c>
      <c r="L40" s="185" t="s">
        <v>2</v>
      </c>
      <c r="M40" s="185" t="s">
        <v>3</v>
      </c>
      <c r="N40" s="185" t="s">
        <v>2</v>
      </c>
      <c r="O40" s="185" t="s">
        <v>1093</v>
      </c>
      <c r="P40" s="185" t="s">
        <v>1093</v>
      </c>
      <c r="Q40" s="185" t="s">
        <v>1093</v>
      </c>
      <c r="R40" s="185" t="s">
        <v>3</v>
      </c>
      <c r="S40" s="185" t="s">
        <v>3</v>
      </c>
      <c r="T40" s="185" t="s">
        <v>3</v>
      </c>
      <c r="U40" s="185" t="s">
        <v>3</v>
      </c>
      <c r="V40" s="185" t="s">
        <v>3</v>
      </c>
      <c r="W40" s="185" t="s">
        <v>3</v>
      </c>
      <c r="X40" s="185" t="s">
        <v>3</v>
      </c>
      <c r="Y40" s="185" t="s">
        <v>3</v>
      </c>
      <c r="Z40" s="185" t="s">
        <v>3</v>
      </c>
      <c r="AA40" s="185" t="s">
        <v>3</v>
      </c>
      <c r="AB40" s="185" t="s">
        <v>1093</v>
      </c>
      <c r="AC40" s="185" t="s">
        <v>1093</v>
      </c>
      <c r="AD40" s="185" t="s">
        <v>3</v>
      </c>
      <c r="AE40" s="185" t="s">
        <v>2</v>
      </c>
      <c r="AF40" s="185" t="s">
        <v>1093</v>
      </c>
      <c r="AG40" s="185" t="s">
        <v>1093</v>
      </c>
      <c r="AH40" s="185" t="s">
        <v>3</v>
      </c>
      <c r="AI40" s="185" t="s">
        <v>1093</v>
      </c>
      <c r="AJ40" s="185" t="s">
        <v>2</v>
      </c>
      <c r="AK40" s="185" t="s">
        <v>2</v>
      </c>
      <c r="AL40" s="185" t="s">
        <v>2</v>
      </c>
      <c r="AM40" s="185" t="s">
        <v>2</v>
      </c>
      <c r="AN40" s="185" t="s">
        <v>2</v>
      </c>
      <c r="AO40" s="185" t="s">
        <v>2</v>
      </c>
      <c r="AP40" s="185" t="s">
        <v>1092</v>
      </c>
      <c r="AQ40" s="185" t="s">
        <v>3</v>
      </c>
      <c r="AR40" s="185" t="s">
        <v>3</v>
      </c>
      <c r="AS40" s="185" t="s">
        <v>2</v>
      </c>
      <c r="AT40" s="185" t="s">
        <v>1092</v>
      </c>
      <c r="AU40" s="185" t="s">
        <v>1092</v>
      </c>
      <c r="AV40" s="185" t="s">
        <v>3</v>
      </c>
      <c r="AW40" s="185" t="s">
        <v>3</v>
      </c>
      <c r="AX40" s="185" t="s">
        <v>3</v>
      </c>
      <c r="AY40" s="185" t="s">
        <v>3</v>
      </c>
      <c r="AZ40" s="185" t="s">
        <v>2</v>
      </c>
      <c r="BA40" s="185" t="s">
        <v>2</v>
      </c>
      <c r="BB40" s="185" t="s">
        <v>2</v>
      </c>
      <c r="BC40" s="185" t="s">
        <v>2</v>
      </c>
      <c r="BD40" s="185" t="s">
        <v>2</v>
      </c>
      <c r="BE40" s="185" t="s">
        <v>2</v>
      </c>
      <c r="BF40" s="185" t="s">
        <v>3</v>
      </c>
      <c r="BG40" s="185" t="s">
        <v>3</v>
      </c>
      <c r="BH40" s="185" t="s">
        <v>2</v>
      </c>
      <c r="BI40" s="185" t="s">
        <v>2</v>
      </c>
      <c r="BJ40" s="185" t="s">
        <v>2</v>
      </c>
      <c r="BK40" s="185" t="s">
        <v>3</v>
      </c>
      <c r="BL40" s="185" t="s">
        <v>2</v>
      </c>
      <c r="BM40" s="185" t="s">
        <v>2</v>
      </c>
      <c r="BN40" s="185" t="s">
        <v>2</v>
      </c>
      <c r="BO40" s="185" t="s">
        <v>2</v>
      </c>
      <c r="BP40" s="185" t="s">
        <v>1093</v>
      </c>
      <c r="BQ40" s="185" t="s">
        <v>1</v>
      </c>
      <c r="BR40" s="185" t="s">
        <v>1</v>
      </c>
      <c r="BS40" s="185" t="s">
        <v>2</v>
      </c>
      <c r="BT40" s="185" t="s">
        <v>1</v>
      </c>
      <c r="BU40" s="185" t="s">
        <v>2</v>
      </c>
      <c r="BV40" s="185" t="s">
        <v>2</v>
      </c>
      <c r="BW40" s="185" t="s">
        <v>1</v>
      </c>
      <c r="BX40" s="185" t="s">
        <v>2</v>
      </c>
      <c r="BY40" s="185" t="s">
        <v>2</v>
      </c>
      <c r="BZ40" s="185" t="s">
        <v>1093</v>
      </c>
      <c r="CA40" s="185" t="s">
        <v>2</v>
      </c>
      <c r="CB40" s="185" t="s">
        <v>2</v>
      </c>
      <c r="CC40" s="185" t="s">
        <v>2</v>
      </c>
      <c r="CD40" s="185" t="s">
        <v>2</v>
      </c>
      <c r="CE40" s="185" t="s">
        <v>1092</v>
      </c>
      <c r="CF40" s="185" t="s">
        <v>2</v>
      </c>
      <c r="CG40" s="185" t="s">
        <v>1093</v>
      </c>
      <c r="CH40" s="185" t="s">
        <v>1093</v>
      </c>
      <c r="CI40" s="185" t="s">
        <v>2</v>
      </c>
      <c r="CJ40" s="185" t="s">
        <v>2</v>
      </c>
      <c r="CK40" s="185" t="s">
        <v>2</v>
      </c>
      <c r="CL40" s="185" t="s">
        <v>2</v>
      </c>
      <c r="CM40" s="185" t="s">
        <v>2</v>
      </c>
      <c r="CN40" s="185" t="s">
        <v>2</v>
      </c>
      <c r="CO40" s="185" t="s">
        <v>2</v>
      </c>
      <c r="CP40" s="185" t="s">
        <v>2</v>
      </c>
      <c r="CQ40" s="185" t="s">
        <v>2</v>
      </c>
      <c r="CR40" s="185" t="s">
        <v>2</v>
      </c>
      <c r="CS40" s="185" t="s">
        <v>1</v>
      </c>
      <c r="CT40" s="185" t="s">
        <v>1</v>
      </c>
      <c r="CU40" s="185" t="s">
        <v>2</v>
      </c>
      <c r="CV40" s="185" t="s">
        <v>2</v>
      </c>
      <c r="CW40" s="185" t="s">
        <v>2</v>
      </c>
      <c r="CX40" s="186"/>
      <c r="CY40" s="185">
        <v>20141372083</v>
      </c>
    </row>
    <row r="41" spans="1:103" ht="12.75" x14ac:dyDescent="0.2">
      <c r="A41" s="184">
        <v>42873.519461493051</v>
      </c>
      <c r="B41" s="185" t="s">
        <v>2277</v>
      </c>
      <c r="C41" s="185" t="s">
        <v>2271</v>
      </c>
      <c r="D41" s="185">
        <v>7</v>
      </c>
      <c r="E41" s="185" t="s">
        <v>3</v>
      </c>
      <c r="F41" s="185" t="s">
        <v>1092</v>
      </c>
      <c r="G41" s="185" t="s">
        <v>1092</v>
      </c>
      <c r="H41" s="185" t="s">
        <v>1092</v>
      </c>
      <c r="I41" s="185" t="s">
        <v>3</v>
      </c>
      <c r="J41" s="185" t="s">
        <v>3</v>
      </c>
      <c r="K41" s="185" t="s">
        <v>2</v>
      </c>
      <c r="L41" s="185" t="s">
        <v>2</v>
      </c>
      <c r="M41" s="185" t="s">
        <v>1092</v>
      </c>
      <c r="N41" s="185" t="s">
        <v>2</v>
      </c>
      <c r="O41" s="185" t="s">
        <v>1</v>
      </c>
      <c r="P41" s="185" t="s">
        <v>2</v>
      </c>
      <c r="Q41" s="185" t="s">
        <v>1</v>
      </c>
      <c r="R41" s="185" t="s">
        <v>1</v>
      </c>
      <c r="S41" s="185" t="s">
        <v>2</v>
      </c>
      <c r="T41" s="185" t="s">
        <v>3</v>
      </c>
      <c r="U41" s="185" t="s">
        <v>2</v>
      </c>
      <c r="V41" s="185" t="s">
        <v>3</v>
      </c>
      <c r="W41" s="185" t="s">
        <v>2</v>
      </c>
      <c r="X41" s="185" t="s">
        <v>3</v>
      </c>
      <c r="Y41" s="185" t="s">
        <v>3</v>
      </c>
      <c r="Z41" s="185" t="s">
        <v>2</v>
      </c>
      <c r="AA41" s="185" t="s">
        <v>2</v>
      </c>
      <c r="AB41" s="185" t="s">
        <v>2</v>
      </c>
      <c r="AC41" s="185" t="s">
        <v>3</v>
      </c>
      <c r="AD41" s="185" t="s">
        <v>3</v>
      </c>
      <c r="AE41" s="185" t="s">
        <v>2</v>
      </c>
      <c r="AF41" s="185" t="s">
        <v>1</v>
      </c>
      <c r="AG41" s="185" t="s">
        <v>1</v>
      </c>
      <c r="AH41" s="185" t="s">
        <v>3</v>
      </c>
      <c r="AI41" s="185" t="s">
        <v>2</v>
      </c>
      <c r="AJ41" s="185" t="s">
        <v>2</v>
      </c>
      <c r="AK41" s="185" t="s">
        <v>3</v>
      </c>
      <c r="AL41" s="185" t="s">
        <v>2</v>
      </c>
      <c r="AM41" s="185" t="s">
        <v>2</v>
      </c>
      <c r="AN41" s="185" t="s">
        <v>3</v>
      </c>
      <c r="AO41" s="185" t="s">
        <v>2</v>
      </c>
      <c r="AP41" s="185" t="s">
        <v>3</v>
      </c>
      <c r="AQ41" s="185" t="s">
        <v>2</v>
      </c>
      <c r="AR41" s="185" t="s">
        <v>1092</v>
      </c>
      <c r="AS41" s="185" t="s">
        <v>1092</v>
      </c>
      <c r="AT41" s="185" t="s">
        <v>1092</v>
      </c>
      <c r="AU41" s="185" t="s">
        <v>1092</v>
      </c>
      <c r="AV41" s="185" t="s">
        <v>1</v>
      </c>
      <c r="AW41" s="185" t="s">
        <v>1</v>
      </c>
      <c r="AX41" s="185" t="s">
        <v>3</v>
      </c>
      <c r="AY41" s="185" t="s">
        <v>3</v>
      </c>
      <c r="AZ41" s="185" t="s">
        <v>2</v>
      </c>
      <c r="BA41" s="185" t="s">
        <v>2</v>
      </c>
      <c r="BB41" s="185" t="s">
        <v>2</v>
      </c>
      <c r="BC41" s="185" t="s">
        <v>3</v>
      </c>
      <c r="BD41" s="185" t="s">
        <v>1</v>
      </c>
      <c r="BE41" s="185" t="s">
        <v>3</v>
      </c>
      <c r="BF41" s="185" t="s">
        <v>2</v>
      </c>
      <c r="BG41" s="185" t="s">
        <v>2</v>
      </c>
      <c r="BH41" s="185" t="s">
        <v>3</v>
      </c>
      <c r="BI41" s="185" t="s">
        <v>3</v>
      </c>
      <c r="BJ41" s="185" t="s">
        <v>3</v>
      </c>
      <c r="BK41" s="185" t="s">
        <v>3</v>
      </c>
      <c r="BL41" s="185" t="s">
        <v>3</v>
      </c>
      <c r="BM41" s="185" t="s">
        <v>3</v>
      </c>
      <c r="BN41" s="185" t="s">
        <v>1</v>
      </c>
      <c r="BO41" s="185" t="s">
        <v>2</v>
      </c>
      <c r="BP41" s="185" t="s">
        <v>1</v>
      </c>
      <c r="BQ41" s="185" t="s">
        <v>1093</v>
      </c>
      <c r="BR41" s="185" t="s">
        <v>1093</v>
      </c>
      <c r="BS41" s="185" t="s">
        <v>1093</v>
      </c>
      <c r="BT41" s="185" t="s">
        <v>1093</v>
      </c>
      <c r="BU41" s="185" t="s">
        <v>1093</v>
      </c>
      <c r="BV41" s="185" t="s">
        <v>1093</v>
      </c>
      <c r="BW41" s="185" t="s">
        <v>1</v>
      </c>
      <c r="BX41" s="185" t="s">
        <v>2</v>
      </c>
      <c r="BY41" s="185" t="s">
        <v>2</v>
      </c>
      <c r="BZ41" s="185" t="s">
        <v>2</v>
      </c>
      <c r="CA41" s="185" t="s">
        <v>2</v>
      </c>
      <c r="CB41" s="185" t="s">
        <v>1093</v>
      </c>
      <c r="CC41" s="185" t="s">
        <v>1093</v>
      </c>
      <c r="CD41" s="185" t="s">
        <v>1093</v>
      </c>
      <c r="CE41" s="185" t="s">
        <v>2</v>
      </c>
      <c r="CF41" s="185" t="s">
        <v>1</v>
      </c>
      <c r="CG41" s="185" t="s">
        <v>2</v>
      </c>
      <c r="CH41" s="185" t="s">
        <v>1093</v>
      </c>
      <c r="CI41" s="185" t="s">
        <v>1093</v>
      </c>
      <c r="CJ41" s="185" t="s">
        <v>2</v>
      </c>
      <c r="CK41" s="185" t="s">
        <v>2</v>
      </c>
      <c r="CL41" s="185" t="s">
        <v>2</v>
      </c>
      <c r="CM41" s="185" t="s">
        <v>2</v>
      </c>
      <c r="CN41" s="185" t="s">
        <v>2</v>
      </c>
      <c r="CO41" s="185" t="s">
        <v>1</v>
      </c>
      <c r="CP41" s="185" t="s">
        <v>2</v>
      </c>
      <c r="CQ41" s="185" t="s">
        <v>3</v>
      </c>
      <c r="CR41" s="185" t="s">
        <v>3</v>
      </c>
      <c r="CS41" s="185" t="s">
        <v>3</v>
      </c>
      <c r="CT41" s="185" t="s">
        <v>3</v>
      </c>
      <c r="CU41" s="185" t="s">
        <v>1093</v>
      </c>
      <c r="CV41" s="185" t="s">
        <v>1093</v>
      </c>
      <c r="CW41" s="185" t="s">
        <v>1093</v>
      </c>
      <c r="CX41" s="185" t="s">
        <v>2278</v>
      </c>
      <c r="CY41" s="185">
        <v>20132372078</v>
      </c>
    </row>
    <row r="42" spans="1:103" ht="12.75" x14ac:dyDescent="0.2">
      <c r="A42" s="184">
        <v>42873.580923483794</v>
      </c>
      <c r="B42" s="185" t="s">
        <v>2279</v>
      </c>
      <c r="C42" s="185" t="s">
        <v>2271</v>
      </c>
      <c r="D42" s="185">
        <v>1</v>
      </c>
      <c r="E42" s="185" t="s">
        <v>2</v>
      </c>
      <c r="F42" s="185" t="s">
        <v>1092</v>
      </c>
      <c r="G42" s="185" t="s">
        <v>1092</v>
      </c>
      <c r="H42" s="185" t="s">
        <v>1092</v>
      </c>
      <c r="I42" s="185" t="s">
        <v>1</v>
      </c>
      <c r="J42" s="185" t="s">
        <v>3</v>
      </c>
      <c r="K42" s="185" t="s">
        <v>3</v>
      </c>
      <c r="L42" s="185" t="s">
        <v>3</v>
      </c>
      <c r="M42" s="185" t="s">
        <v>3</v>
      </c>
      <c r="N42" s="185" t="s">
        <v>3</v>
      </c>
      <c r="O42" s="185" t="s">
        <v>3</v>
      </c>
      <c r="P42" s="185" t="s">
        <v>1093</v>
      </c>
      <c r="Q42" s="185" t="s">
        <v>2</v>
      </c>
      <c r="R42" s="185" t="s">
        <v>1</v>
      </c>
      <c r="S42" s="185" t="s">
        <v>3</v>
      </c>
      <c r="T42" s="185" t="s">
        <v>2</v>
      </c>
      <c r="U42" s="185" t="s">
        <v>1</v>
      </c>
      <c r="V42" s="185" t="s">
        <v>1</v>
      </c>
      <c r="W42" s="185" t="s">
        <v>2</v>
      </c>
      <c r="X42" s="185" t="s">
        <v>3</v>
      </c>
      <c r="Y42" s="185" t="s">
        <v>3</v>
      </c>
      <c r="Z42" s="185" t="s">
        <v>3</v>
      </c>
      <c r="AA42" s="185" t="s">
        <v>2</v>
      </c>
      <c r="AB42" s="185" t="s">
        <v>1093</v>
      </c>
      <c r="AC42" s="185" t="s">
        <v>1</v>
      </c>
      <c r="AD42" s="185" t="s">
        <v>1</v>
      </c>
      <c r="AE42" s="185" t="s">
        <v>1</v>
      </c>
      <c r="AF42" s="185" t="s">
        <v>3</v>
      </c>
      <c r="AG42" s="185" t="s">
        <v>1</v>
      </c>
      <c r="AH42" s="185" t="s">
        <v>2</v>
      </c>
      <c r="AI42" s="185" t="s">
        <v>1</v>
      </c>
      <c r="AJ42" s="185" t="s">
        <v>2</v>
      </c>
      <c r="AK42" s="185" t="s">
        <v>2</v>
      </c>
      <c r="AL42" s="185" t="s">
        <v>2</v>
      </c>
      <c r="AM42" s="185" t="s">
        <v>2</v>
      </c>
      <c r="AN42" s="185" t="s">
        <v>2</v>
      </c>
      <c r="AO42" s="185" t="s">
        <v>2</v>
      </c>
      <c r="AP42" s="185" t="s">
        <v>1</v>
      </c>
      <c r="AQ42" s="185" t="s">
        <v>1</v>
      </c>
      <c r="AR42" s="185" t="s">
        <v>3</v>
      </c>
      <c r="AS42" s="185" t="s">
        <v>3</v>
      </c>
      <c r="AT42" s="185" t="s">
        <v>3</v>
      </c>
      <c r="AU42" s="185" t="s">
        <v>1092</v>
      </c>
      <c r="AV42" s="185" t="s">
        <v>2</v>
      </c>
      <c r="AW42" s="185" t="s">
        <v>3</v>
      </c>
      <c r="AX42" s="185" t="s">
        <v>2</v>
      </c>
      <c r="AY42" s="185" t="s">
        <v>1</v>
      </c>
      <c r="AZ42" s="185" t="s">
        <v>3</v>
      </c>
      <c r="BA42" s="185" t="s">
        <v>3</v>
      </c>
      <c r="BB42" s="185" t="s">
        <v>2</v>
      </c>
      <c r="BC42" s="185" t="s">
        <v>1</v>
      </c>
      <c r="BD42" s="185" t="s">
        <v>1093</v>
      </c>
      <c r="BE42" s="185" t="s">
        <v>1</v>
      </c>
      <c r="BF42" s="185" t="s">
        <v>3</v>
      </c>
      <c r="BG42" s="185" t="s">
        <v>3</v>
      </c>
      <c r="BH42" s="185" t="s">
        <v>3</v>
      </c>
      <c r="BI42" s="185" t="s">
        <v>3</v>
      </c>
      <c r="BJ42" s="185" t="s">
        <v>3</v>
      </c>
      <c r="BK42" s="185" t="s">
        <v>3</v>
      </c>
      <c r="BL42" s="185" t="s">
        <v>1</v>
      </c>
      <c r="BM42" s="185" t="s">
        <v>2</v>
      </c>
      <c r="BN42" s="185" t="s">
        <v>3</v>
      </c>
      <c r="BO42" s="185" t="s">
        <v>1</v>
      </c>
      <c r="BP42" s="185" t="s">
        <v>1</v>
      </c>
      <c r="BQ42" s="185" t="s">
        <v>2</v>
      </c>
      <c r="BR42" s="185" t="s">
        <v>2</v>
      </c>
      <c r="BS42" s="185" t="s">
        <v>2</v>
      </c>
      <c r="BT42" s="185" t="s">
        <v>3</v>
      </c>
      <c r="BU42" s="185" t="s">
        <v>3</v>
      </c>
      <c r="BV42" s="185" t="s">
        <v>3</v>
      </c>
      <c r="BW42" s="185" t="s">
        <v>3</v>
      </c>
      <c r="BX42" s="185" t="s">
        <v>1093</v>
      </c>
      <c r="BY42" s="185" t="s">
        <v>1</v>
      </c>
      <c r="BZ42" s="185" t="s">
        <v>1093</v>
      </c>
      <c r="CA42" s="185" t="s">
        <v>1</v>
      </c>
      <c r="CB42" s="185" t="s">
        <v>1093</v>
      </c>
      <c r="CC42" s="185" t="s">
        <v>1093</v>
      </c>
      <c r="CD42" s="185" t="s">
        <v>1093</v>
      </c>
      <c r="CE42" s="185" t="s">
        <v>3</v>
      </c>
      <c r="CF42" s="185" t="s">
        <v>1093</v>
      </c>
      <c r="CG42" s="185" t="s">
        <v>1093</v>
      </c>
      <c r="CH42" s="185" t="s">
        <v>1093</v>
      </c>
      <c r="CI42" s="185" t="s">
        <v>1093</v>
      </c>
      <c r="CJ42" s="185" t="s">
        <v>1093</v>
      </c>
      <c r="CK42" s="185" t="s">
        <v>1093</v>
      </c>
      <c r="CL42" s="185" t="s">
        <v>1</v>
      </c>
      <c r="CM42" s="185" t="s">
        <v>1</v>
      </c>
      <c r="CN42" s="185" t="s">
        <v>1</v>
      </c>
      <c r="CO42" s="185" t="s">
        <v>1</v>
      </c>
      <c r="CP42" s="185" t="s">
        <v>1</v>
      </c>
      <c r="CQ42" s="185" t="s">
        <v>1</v>
      </c>
      <c r="CR42" s="185" t="s">
        <v>1</v>
      </c>
      <c r="CS42" s="185" t="s">
        <v>1</v>
      </c>
      <c r="CT42" s="185" t="s">
        <v>1</v>
      </c>
      <c r="CU42" s="185" t="s">
        <v>1</v>
      </c>
      <c r="CV42" s="185" t="s">
        <v>1</v>
      </c>
      <c r="CW42" s="185" t="s">
        <v>2</v>
      </c>
      <c r="CX42" s="186"/>
      <c r="CY42" s="185">
        <v>20142372052</v>
      </c>
    </row>
    <row r="43" spans="1:103" ht="12.75" x14ac:dyDescent="0.2">
      <c r="A43" s="184">
        <v>42873.585999074072</v>
      </c>
      <c r="B43" s="185" t="s">
        <v>2280</v>
      </c>
      <c r="C43" s="185" t="s">
        <v>2235</v>
      </c>
      <c r="D43" s="185">
        <v>10</v>
      </c>
      <c r="E43" s="185" t="s">
        <v>3</v>
      </c>
      <c r="F43" s="185" t="s">
        <v>1092</v>
      </c>
      <c r="G43" s="185" t="s">
        <v>1092</v>
      </c>
      <c r="H43" s="185" t="s">
        <v>2</v>
      </c>
      <c r="I43" s="185" t="s">
        <v>1093</v>
      </c>
      <c r="J43" s="185" t="s">
        <v>3</v>
      </c>
      <c r="K43" s="185" t="s">
        <v>1092</v>
      </c>
      <c r="L43" s="185" t="s">
        <v>1092</v>
      </c>
      <c r="M43" s="185" t="s">
        <v>3</v>
      </c>
      <c r="N43" s="185" t="s">
        <v>1092</v>
      </c>
      <c r="O43" s="185" t="s">
        <v>3</v>
      </c>
      <c r="P43" s="185" t="s">
        <v>1093</v>
      </c>
      <c r="Q43" s="185" t="s">
        <v>5</v>
      </c>
      <c r="R43" s="185" t="s">
        <v>3</v>
      </c>
      <c r="S43" s="185" t="s">
        <v>3</v>
      </c>
      <c r="T43" s="185" t="s">
        <v>1092</v>
      </c>
      <c r="U43" s="185" t="s">
        <v>5</v>
      </c>
      <c r="V43" s="185" t="s">
        <v>3</v>
      </c>
      <c r="W43" s="185" t="s">
        <v>1092</v>
      </c>
      <c r="X43" s="185" t="s">
        <v>1092</v>
      </c>
      <c r="Y43" s="185" t="s">
        <v>3</v>
      </c>
      <c r="Z43" s="185" t="s">
        <v>3</v>
      </c>
      <c r="AA43" s="185" t="s">
        <v>1092</v>
      </c>
      <c r="AB43" s="185" t="s">
        <v>3</v>
      </c>
      <c r="AC43" s="185" t="s">
        <v>3</v>
      </c>
      <c r="AD43" s="185" t="s">
        <v>2</v>
      </c>
      <c r="AE43" s="185" t="s">
        <v>5</v>
      </c>
      <c r="AF43" s="185" t="s">
        <v>1092</v>
      </c>
      <c r="AG43" s="185" t="s">
        <v>5</v>
      </c>
      <c r="AH43" s="185" t="s">
        <v>1092</v>
      </c>
      <c r="AI43" s="185" t="s">
        <v>1092</v>
      </c>
      <c r="AJ43" s="185" t="s">
        <v>3</v>
      </c>
      <c r="AK43" s="185" t="s">
        <v>3</v>
      </c>
      <c r="AL43" s="185" t="s">
        <v>3</v>
      </c>
      <c r="AM43" s="185" t="s">
        <v>3</v>
      </c>
      <c r="AN43" s="185" t="s">
        <v>3</v>
      </c>
      <c r="AO43" s="185" t="s">
        <v>3</v>
      </c>
      <c r="AP43" s="185" t="s">
        <v>1092</v>
      </c>
      <c r="AQ43" s="185" t="s">
        <v>1092</v>
      </c>
      <c r="AR43" s="185" t="s">
        <v>1092</v>
      </c>
      <c r="AS43" s="185" t="s">
        <v>1092</v>
      </c>
      <c r="AT43" s="185" t="s">
        <v>1092</v>
      </c>
      <c r="AU43" s="185" t="s">
        <v>1093</v>
      </c>
      <c r="AV43" s="185" t="s">
        <v>3</v>
      </c>
      <c r="AW43" s="185" t="s">
        <v>5</v>
      </c>
      <c r="AX43" s="185" t="s">
        <v>3</v>
      </c>
      <c r="AY43" s="185" t="s">
        <v>1092</v>
      </c>
      <c r="AZ43" s="185" t="s">
        <v>1092</v>
      </c>
      <c r="BA43" s="185" t="s">
        <v>2</v>
      </c>
      <c r="BB43" s="185" t="s">
        <v>3</v>
      </c>
      <c r="BC43" s="185" t="s">
        <v>5</v>
      </c>
      <c r="BD43" s="185" t="s">
        <v>1093</v>
      </c>
      <c r="BE43" s="185" t="s">
        <v>5</v>
      </c>
      <c r="BF43" s="185" t="s">
        <v>3</v>
      </c>
      <c r="BG43" s="185" t="s">
        <v>3</v>
      </c>
      <c r="BH43" s="185" t="s">
        <v>3</v>
      </c>
      <c r="BI43" s="185" t="s">
        <v>3</v>
      </c>
      <c r="BJ43" s="185" t="s">
        <v>3</v>
      </c>
      <c r="BK43" s="185" t="s">
        <v>1092</v>
      </c>
      <c r="BL43" s="185" t="s">
        <v>1092</v>
      </c>
      <c r="BM43" s="185" t="s">
        <v>3</v>
      </c>
      <c r="BN43" s="185" t="s">
        <v>3</v>
      </c>
      <c r="BO43" s="185" t="s">
        <v>3</v>
      </c>
      <c r="BP43" s="185" t="s">
        <v>1092</v>
      </c>
      <c r="BQ43" s="185" t="s">
        <v>3</v>
      </c>
      <c r="BR43" s="185" t="s">
        <v>1092</v>
      </c>
      <c r="BS43" s="185" t="s">
        <v>3</v>
      </c>
      <c r="BT43" s="185" t="s">
        <v>3</v>
      </c>
      <c r="BU43" s="185" t="s">
        <v>3</v>
      </c>
      <c r="BV43" s="185" t="s">
        <v>3</v>
      </c>
      <c r="BW43" s="185" t="s">
        <v>1092</v>
      </c>
      <c r="BX43" s="185" t="s">
        <v>1092</v>
      </c>
      <c r="BY43" s="185" t="s">
        <v>1092</v>
      </c>
      <c r="BZ43" s="185" t="s">
        <v>1093</v>
      </c>
      <c r="CA43" s="185" t="s">
        <v>3</v>
      </c>
      <c r="CB43" s="185" t="s">
        <v>2</v>
      </c>
      <c r="CC43" s="185" t="s">
        <v>3</v>
      </c>
      <c r="CD43" s="185" t="s">
        <v>1092</v>
      </c>
      <c r="CE43" s="185" t="s">
        <v>1092</v>
      </c>
      <c r="CF43" s="185" t="s">
        <v>3</v>
      </c>
      <c r="CG43" s="185" t="s">
        <v>3</v>
      </c>
      <c r="CH43" s="185" t="s">
        <v>3</v>
      </c>
      <c r="CI43" s="185" t="s">
        <v>3</v>
      </c>
      <c r="CJ43" s="185" t="s">
        <v>3</v>
      </c>
      <c r="CK43" s="185" t="s">
        <v>5</v>
      </c>
      <c r="CL43" s="185" t="s">
        <v>5</v>
      </c>
      <c r="CM43" s="185" t="s">
        <v>5</v>
      </c>
      <c r="CN43" s="185" t="s">
        <v>5</v>
      </c>
      <c r="CO43" s="185" t="s">
        <v>3</v>
      </c>
      <c r="CP43" s="185" t="s">
        <v>1092</v>
      </c>
      <c r="CQ43" s="185" t="s">
        <v>1092</v>
      </c>
      <c r="CR43" s="185" t="s">
        <v>1092</v>
      </c>
      <c r="CS43" s="185" t="s">
        <v>3</v>
      </c>
      <c r="CT43" s="185" t="s">
        <v>3</v>
      </c>
      <c r="CU43" s="185" t="s">
        <v>3</v>
      </c>
      <c r="CV43" s="185" t="s">
        <v>3</v>
      </c>
      <c r="CW43" s="185" t="s">
        <v>3</v>
      </c>
      <c r="CX43" s="186"/>
      <c r="CY43" s="185">
        <v>20111072038</v>
      </c>
    </row>
    <row r="44" spans="1:103" ht="12.75" x14ac:dyDescent="0.2">
      <c r="A44" s="184">
        <v>42873.595366516209</v>
      </c>
      <c r="B44" s="185" t="s">
        <v>2281</v>
      </c>
      <c r="C44" s="185" t="s">
        <v>2271</v>
      </c>
      <c r="D44" s="185">
        <v>10</v>
      </c>
      <c r="E44" s="185" t="s">
        <v>1092</v>
      </c>
      <c r="F44" s="185" t="s">
        <v>1092</v>
      </c>
      <c r="G44" s="185" t="s">
        <v>1092</v>
      </c>
      <c r="H44" s="185" t="s">
        <v>1092</v>
      </c>
      <c r="I44" s="185" t="s">
        <v>3</v>
      </c>
      <c r="J44" s="185" t="s">
        <v>3</v>
      </c>
      <c r="K44" s="185" t="s">
        <v>1092</v>
      </c>
      <c r="L44" s="185" t="s">
        <v>1092</v>
      </c>
      <c r="M44" s="185" t="s">
        <v>1093</v>
      </c>
      <c r="N44" s="185" t="s">
        <v>3</v>
      </c>
      <c r="O44" s="185" t="s">
        <v>1093</v>
      </c>
      <c r="P44" s="185" t="s">
        <v>1093</v>
      </c>
      <c r="Q44" s="185" t="s">
        <v>1092</v>
      </c>
      <c r="R44" s="185" t="s">
        <v>1093</v>
      </c>
      <c r="S44" s="185" t="s">
        <v>1093</v>
      </c>
      <c r="T44" s="185" t="s">
        <v>1093</v>
      </c>
      <c r="U44" s="185" t="s">
        <v>1093</v>
      </c>
      <c r="V44" s="185" t="s">
        <v>1092</v>
      </c>
      <c r="W44" s="185" t="s">
        <v>1093</v>
      </c>
      <c r="X44" s="185" t="s">
        <v>1092</v>
      </c>
      <c r="Y44" s="185" t="s">
        <v>2</v>
      </c>
      <c r="Z44" s="185" t="s">
        <v>1092</v>
      </c>
      <c r="AA44" s="185" t="s">
        <v>1092</v>
      </c>
      <c r="AB44" s="185" t="s">
        <v>1093</v>
      </c>
      <c r="AC44" s="185" t="s">
        <v>1092</v>
      </c>
      <c r="AD44" s="185" t="s">
        <v>1093</v>
      </c>
      <c r="AE44" s="185" t="s">
        <v>1093</v>
      </c>
      <c r="AF44" s="185" t="s">
        <v>1092</v>
      </c>
      <c r="AG44" s="185" t="s">
        <v>1093</v>
      </c>
      <c r="AH44" s="185" t="s">
        <v>1092</v>
      </c>
      <c r="AI44" s="185" t="s">
        <v>1092</v>
      </c>
      <c r="AJ44" s="185" t="s">
        <v>1093</v>
      </c>
      <c r="AK44" s="185" t="s">
        <v>1092</v>
      </c>
      <c r="AL44" s="185" t="s">
        <v>1093</v>
      </c>
      <c r="AM44" s="185" t="s">
        <v>1093</v>
      </c>
      <c r="AN44" s="185" t="s">
        <v>3</v>
      </c>
      <c r="AO44" s="185" t="s">
        <v>1093</v>
      </c>
      <c r="AP44" s="185" t="s">
        <v>1093</v>
      </c>
      <c r="AQ44" s="185" t="s">
        <v>2</v>
      </c>
      <c r="AR44" s="185" t="s">
        <v>1092</v>
      </c>
      <c r="AS44" s="185" t="s">
        <v>1092</v>
      </c>
      <c r="AT44" s="185" t="s">
        <v>1092</v>
      </c>
      <c r="AU44" s="185" t="s">
        <v>1093</v>
      </c>
      <c r="AV44" s="185" t="s">
        <v>1092</v>
      </c>
      <c r="AW44" s="185" t="s">
        <v>3</v>
      </c>
      <c r="AX44" s="185" t="s">
        <v>1092</v>
      </c>
      <c r="AY44" s="185" t="s">
        <v>1092</v>
      </c>
      <c r="AZ44" s="185" t="s">
        <v>1093</v>
      </c>
      <c r="BA44" s="185" t="s">
        <v>5</v>
      </c>
      <c r="BB44" s="185" t="s">
        <v>1092</v>
      </c>
      <c r="BC44" s="185" t="s">
        <v>1093</v>
      </c>
      <c r="BD44" s="185" t="s">
        <v>1093</v>
      </c>
      <c r="BE44" s="185" t="s">
        <v>1093</v>
      </c>
      <c r="BF44" s="185" t="s">
        <v>1093</v>
      </c>
      <c r="BG44" s="185" t="s">
        <v>1093</v>
      </c>
      <c r="BH44" s="185" t="s">
        <v>5</v>
      </c>
      <c r="BI44" s="185" t="s">
        <v>1092</v>
      </c>
      <c r="BJ44" s="185" t="s">
        <v>1093</v>
      </c>
      <c r="BK44" s="185" t="s">
        <v>1093</v>
      </c>
      <c r="BL44" s="185" t="s">
        <v>1092</v>
      </c>
      <c r="BM44" s="185" t="s">
        <v>1093</v>
      </c>
      <c r="BN44" s="185" t="s">
        <v>1093</v>
      </c>
      <c r="BO44" s="185" t="s">
        <v>1093</v>
      </c>
      <c r="BP44" s="185" t="s">
        <v>3</v>
      </c>
      <c r="BQ44" s="185" t="s">
        <v>5</v>
      </c>
      <c r="BR44" s="185" t="s">
        <v>5</v>
      </c>
      <c r="BS44" s="185" t="s">
        <v>5</v>
      </c>
      <c r="BT44" s="185" t="s">
        <v>1093</v>
      </c>
      <c r="BU44" s="185" t="s">
        <v>3</v>
      </c>
      <c r="BV44" s="185" t="s">
        <v>2</v>
      </c>
      <c r="BW44" s="185" t="s">
        <v>5</v>
      </c>
      <c r="BX44" s="185" t="s">
        <v>5</v>
      </c>
      <c r="BY44" s="185" t="s">
        <v>5</v>
      </c>
      <c r="BZ44" s="185" t="s">
        <v>1093</v>
      </c>
      <c r="CA44" s="185" t="s">
        <v>1093</v>
      </c>
      <c r="CB44" s="185" t="s">
        <v>1093</v>
      </c>
      <c r="CC44" s="185" t="s">
        <v>3</v>
      </c>
      <c r="CD44" s="185" t="s">
        <v>1093</v>
      </c>
      <c r="CE44" s="185" t="s">
        <v>1092</v>
      </c>
      <c r="CF44" s="185" t="s">
        <v>1093</v>
      </c>
      <c r="CG44" s="185" t="s">
        <v>1093</v>
      </c>
      <c r="CH44" s="185" t="s">
        <v>1092</v>
      </c>
      <c r="CI44" s="185" t="s">
        <v>3</v>
      </c>
      <c r="CJ44" s="185" t="s">
        <v>2</v>
      </c>
      <c r="CK44" s="185" t="s">
        <v>1093</v>
      </c>
      <c r="CL44" s="185" t="s">
        <v>3</v>
      </c>
      <c r="CM44" s="185" t="s">
        <v>2</v>
      </c>
      <c r="CN44" s="185" t="s">
        <v>5</v>
      </c>
      <c r="CO44" s="185" t="s">
        <v>3</v>
      </c>
      <c r="CP44" s="185" t="s">
        <v>3</v>
      </c>
      <c r="CQ44" s="185" t="s">
        <v>3</v>
      </c>
      <c r="CR44" s="185" t="s">
        <v>3</v>
      </c>
      <c r="CS44" s="185" t="s">
        <v>5</v>
      </c>
      <c r="CT44" s="185" t="s">
        <v>2</v>
      </c>
      <c r="CU44" s="185" t="s">
        <v>2</v>
      </c>
      <c r="CV44" s="185" t="s">
        <v>1093</v>
      </c>
      <c r="CW44" s="185" t="s">
        <v>1092</v>
      </c>
      <c r="CX44" s="185" t="s">
        <v>2282</v>
      </c>
      <c r="CY44" s="185">
        <v>20132372069</v>
      </c>
    </row>
    <row r="45" spans="1:103" ht="12.75" x14ac:dyDescent="0.2">
      <c r="A45" s="184">
        <v>42873.601445659719</v>
      </c>
      <c r="B45" s="185" t="s">
        <v>2283</v>
      </c>
      <c r="C45" s="185" t="s">
        <v>2271</v>
      </c>
      <c r="D45" s="185">
        <v>10</v>
      </c>
      <c r="E45" s="185" t="s">
        <v>3</v>
      </c>
      <c r="F45" s="185" t="s">
        <v>3</v>
      </c>
      <c r="G45" s="185" t="s">
        <v>1092</v>
      </c>
      <c r="H45" s="185" t="s">
        <v>2</v>
      </c>
      <c r="I45" s="185" t="s">
        <v>1093</v>
      </c>
      <c r="J45" s="185" t="s">
        <v>1</v>
      </c>
      <c r="K45" s="185" t="s">
        <v>1</v>
      </c>
      <c r="L45" s="185" t="s">
        <v>2</v>
      </c>
      <c r="M45" s="185" t="s">
        <v>3</v>
      </c>
      <c r="N45" s="185" t="s">
        <v>3</v>
      </c>
      <c r="O45" s="185" t="s">
        <v>1093</v>
      </c>
      <c r="P45" s="185" t="s">
        <v>1</v>
      </c>
      <c r="Q45" s="185" t="s">
        <v>2</v>
      </c>
      <c r="R45" s="185" t="s">
        <v>3</v>
      </c>
      <c r="S45" s="185" t="s">
        <v>2</v>
      </c>
      <c r="T45" s="185" t="s">
        <v>1</v>
      </c>
      <c r="U45" s="185" t="s">
        <v>2</v>
      </c>
      <c r="V45" s="185" t="s">
        <v>3</v>
      </c>
      <c r="W45" s="185" t="s">
        <v>3</v>
      </c>
      <c r="X45" s="185" t="s">
        <v>1092</v>
      </c>
      <c r="Y45" s="185" t="s">
        <v>2</v>
      </c>
      <c r="Z45" s="185" t="s">
        <v>1</v>
      </c>
      <c r="AA45" s="185" t="s">
        <v>2</v>
      </c>
      <c r="AB45" s="185" t="s">
        <v>2</v>
      </c>
      <c r="AC45" s="185" t="s">
        <v>2</v>
      </c>
      <c r="AD45" s="185" t="s">
        <v>1</v>
      </c>
      <c r="AE45" s="185" t="s">
        <v>1</v>
      </c>
      <c r="AF45" s="185" t="s">
        <v>2</v>
      </c>
      <c r="AG45" s="185" t="s">
        <v>3</v>
      </c>
      <c r="AH45" s="185" t="s">
        <v>1</v>
      </c>
      <c r="AI45" s="185" t="s">
        <v>2</v>
      </c>
      <c r="AJ45" s="185" t="s">
        <v>2</v>
      </c>
      <c r="AK45" s="185" t="s">
        <v>2</v>
      </c>
      <c r="AL45" s="185" t="s">
        <v>2</v>
      </c>
      <c r="AM45" s="185" t="s">
        <v>2</v>
      </c>
      <c r="AN45" s="185" t="s">
        <v>2</v>
      </c>
      <c r="AO45" s="185" t="s">
        <v>1</v>
      </c>
      <c r="AP45" s="185" t="s">
        <v>2</v>
      </c>
      <c r="AQ45" s="185" t="s">
        <v>2</v>
      </c>
      <c r="AR45" s="185" t="s">
        <v>3</v>
      </c>
      <c r="AS45" s="185" t="s">
        <v>3</v>
      </c>
      <c r="AT45" s="185" t="s">
        <v>3</v>
      </c>
      <c r="AU45" s="185" t="s">
        <v>1</v>
      </c>
      <c r="AV45" s="185" t="s">
        <v>2</v>
      </c>
      <c r="AW45" s="185" t="s">
        <v>2</v>
      </c>
      <c r="AX45" s="185" t="s">
        <v>2</v>
      </c>
      <c r="AY45" s="185" t="s">
        <v>1</v>
      </c>
      <c r="AZ45" s="185" t="s">
        <v>1</v>
      </c>
      <c r="BA45" s="185" t="s">
        <v>1</v>
      </c>
      <c r="BB45" s="185" t="s">
        <v>2</v>
      </c>
      <c r="BC45" s="185" t="s">
        <v>2</v>
      </c>
      <c r="BD45" s="185" t="s">
        <v>2</v>
      </c>
      <c r="BE45" s="185" t="s">
        <v>2</v>
      </c>
      <c r="BF45" s="185" t="s">
        <v>2</v>
      </c>
      <c r="BG45" s="185" t="s">
        <v>2</v>
      </c>
      <c r="BH45" s="185" t="s">
        <v>2</v>
      </c>
      <c r="BI45" s="185" t="s">
        <v>3</v>
      </c>
      <c r="BJ45" s="185" t="s">
        <v>3</v>
      </c>
      <c r="BK45" s="185" t="s">
        <v>3</v>
      </c>
      <c r="BL45" s="185" t="s">
        <v>1</v>
      </c>
      <c r="BM45" s="185" t="s">
        <v>3</v>
      </c>
      <c r="BN45" s="185" t="s">
        <v>2</v>
      </c>
      <c r="BO45" s="185" t="s">
        <v>2</v>
      </c>
      <c r="BP45" s="185" t="s">
        <v>1093</v>
      </c>
      <c r="BQ45" s="185" t="s">
        <v>2</v>
      </c>
      <c r="BR45" s="185" t="s">
        <v>2</v>
      </c>
      <c r="BS45" s="185" t="s">
        <v>2</v>
      </c>
      <c r="BT45" s="185" t="s">
        <v>2</v>
      </c>
      <c r="BU45" s="185" t="s">
        <v>2</v>
      </c>
      <c r="BV45" s="185" t="s">
        <v>1</v>
      </c>
      <c r="BW45" s="185" t="s">
        <v>2</v>
      </c>
      <c r="BX45" s="185" t="s">
        <v>3</v>
      </c>
      <c r="BY45" s="185" t="s">
        <v>3</v>
      </c>
      <c r="BZ45" s="185" t="s">
        <v>2</v>
      </c>
      <c r="CA45" s="185" t="s">
        <v>2</v>
      </c>
      <c r="CB45" s="185" t="s">
        <v>2</v>
      </c>
      <c r="CC45" s="185" t="s">
        <v>2</v>
      </c>
      <c r="CD45" s="185" t="s">
        <v>1</v>
      </c>
      <c r="CE45" s="185" t="s">
        <v>2</v>
      </c>
      <c r="CF45" s="185" t="s">
        <v>1</v>
      </c>
      <c r="CG45" s="185" t="s">
        <v>2</v>
      </c>
      <c r="CH45" s="185" t="s">
        <v>3</v>
      </c>
      <c r="CI45" s="185" t="s">
        <v>1</v>
      </c>
      <c r="CJ45" s="185" t="s">
        <v>1</v>
      </c>
      <c r="CK45" s="185" t="s">
        <v>1</v>
      </c>
      <c r="CL45" s="185" t="s">
        <v>1</v>
      </c>
      <c r="CM45" s="185" t="s">
        <v>2</v>
      </c>
      <c r="CN45" s="185" t="s">
        <v>1</v>
      </c>
      <c r="CO45" s="185" t="s">
        <v>3</v>
      </c>
      <c r="CP45" s="185" t="s">
        <v>1092</v>
      </c>
      <c r="CQ45" s="185" t="s">
        <v>1092</v>
      </c>
      <c r="CR45" s="185" t="s">
        <v>3</v>
      </c>
      <c r="CS45" s="185" t="s">
        <v>2</v>
      </c>
      <c r="CT45" s="185" t="s">
        <v>3</v>
      </c>
      <c r="CU45" s="185" t="s">
        <v>2</v>
      </c>
      <c r="CV45" s="185" t="s">
        <v>2</v>
      </c>
      <c r="CW45" s="185" t="s">
        <v>2</v>
      </c>
      <c r="CX45" s="186"/>
      <c r="CY45" s="185">
        <v>20161372068</v>
      </c>
    </row>
    <row r="46" spans="1:103" ht="12.75" x14ac:dyDescent="0.2">
      <c r="A46" s="184">
        <v>42873.625393784721</v>
      </c>
      <c r="B46" s="185" t="s">
        <v>2284</v>
      </c>
      <c r="C46" s="185" t="s">
        <v>2271</v>
      </c>
      <c r="D46" s="185">
        <v>7</v>
      </c>
      <c r="E46" s="185" t="s">
        <v>3</v>
      </c>
      <c r="F46" s="185" t="s">
        <v>1092</v>
      </c>
      <c r="G46" s="185" t="s">
        <v>1092</v>
      </c>
      <c r="H46" s="185" t="s">
        <v>3</v>
      </c>
      <c r="I46" s="185" t="s">
        <v>2</v>
      </c>
      <c r="J46" s="185" t="s">
        <v>3</v>
      </c>
      <c r="K46" s="185" t="s">
        <v>3</v>
      </c>
      <c r="L46" s="185" t="s">
        <v>2</v>
      </c>
      <c r="M46" s="185" t="s">
        <v>3</v>
      </c>
      <c r="N46" s="185" t="s">
        <v>2</v>
      </c>
      <c r="O46" s="185" t="s">
        <v>3</v>
      </c>
      <c r="P46" s="185" t="s">
        <v>5</v>
      </c>
      <c r="Q46" s="185" t="s">
        <v>3</v>
      </c>
      <c r="R46" s="185" t="s">
        <v>2</v>
      </c>
      <c r="S46" s="185" t="s">
        <v>3</v>
      </c>
      <c r="T46" s="185" t="s">
        <v>2</v>
      </c>
      <c r="U46" s="185" t="s">
        <v>2</v>
      </c>
      <c r="V46" s="185" t="s">
        <v>3</v>
      </c>
      <c r="W46" s="185" t="s">
        <v>2</v>
      </c>
      <c r="X46" s="185" t="s">
        <v>1092</v>
      </c>
      <c r="Y46" s="185" t="s">
        <v>3</v>
      </c>
      <c r="Z46" s="185" t="s">
        <v>3</v>
      </c>
      <c r="AA46" s="185" t="s">
        <v>3</v>
      </c>
      <c r="AB46" s="185" t="s">
        <v>2</v>
      </c>
      <c r="AC46" s="185" t="s">
        <v>2</v>
      </c>
      <c r="AD46" s="185" t="s">
        <v>2</v>
      </c>
      <c r="AE46" s="185" t="s">
        <v>2</v>
      </c>
      <c r="AF46" s="185" t="s">
        <v>3</v>
      </c>
      <c r="AG46" s="185" t="s">
        <v>1</v>
      </c>
      <c r="AH46" s="185" t="s">
        <v>3</v>
      </c>
      <c r="AI46" s="185" t="s">
        <v>3</v>
      </c>
      <c r="AJ46" s="185" t="s">
        <v>3</v>
      </c>
      <c r="AK46" s="185" t="s">
        <v>3</v>
      </c>
      <c r="AL46" s="185" t="s">
        <v>2</v>
      </c>
      <c r="AM46" s="185" t="s">
        <v>3</v>
      </c>
      <c r="AN46" s="185" t="s">
        <v>3</v>
      </c>
      <c r="AO46" s="185" t="s">
        <v>3</v>
      </c>
      <c r="AP46" s="185" t="s">
        <v>3</v>
      </c>
      <c r="AQ46" s="185" t="s">
        <v>1092</v>
      </c>
      <c r="AR46" s="185" t="s">
        <v>3</v>
      </c>
      <c r="AS46" s="185" t="s">
        <v>1092</v>
      </c>
      <c r="AT46" s="185" t="s">
        <v>1092</v>
      </c>
      <c r="AU46" s="185" t="s">
        <v>3</v>
      </c>
      <c r="AV46" s="185" t="s">
        <v>2</v>
      </c>
      <c r="AW46" s="185" t="s">
        <v>3</v>
      </c>
      <c r="AX46" s="185" t="s">
        <v>3</v>
      </c>
      <c r="AY46" s="185" t="s">
        <v>3</v>
      </c>
      <c r="AZ46" s="185" t="s">
        <v>2</v>
      </c>
      <c r="BA46" s="185" t="s">
        <v>3</v>
      </c>
      <c r="BB46" s="185" t="s">
        <v>3</v>
      </c>
      <c r="BC46" s="185" t="s">
        <v>2</v>
      </c>
      <c r="BD46" s="185" t="s">
        <v>2</v>
      </c>
      <c r="BE46" s="185" t="s">
        <v>2</v>
      </c>
      <c r="BF46" s="185" t="s">
        <v>1</v>
      </c>
      <c r="BG46" s="185" t="s">
        <v>3</v>
      </c>
      <c r="BH46" s="185" t="s">
        <v>3</v>
      </c>
      <c r="BI46" s="185" t="s">
        <v>2</v>
      </c>
      <c r="BJ46" s="185" t="s">
        <v>3</v>
      </c>
      <c r="BK46" s="185" t="s">
        <v>3</v>
      </c>
      <c r="BL46" s="185" t="s">
        <v>3</v>
      </c>
      <c r="BM46" s="185" t="s">
        <v>1</v>
      </c>
      <c r="BN46" s="185" t="s">
        <v>2</v>
      </c>
      <c r="BO46" s="185" t="s">
        <v>2</v>
      </c>
      <c r="BP46" s="185" t="s">
        <v>2</v>
      </c>
      <c r="BQ46" s="185" t="s">
        <v>3</v>
      </c>
      <c r="BR46" s="185" t="s">
        <v>5</v>
      </c>
      <c r="BS46" s="185" t="s">
        <v>2</v>
      </c>
      <c r="BT46" s="185" t="s">
        <v>2</v>
      </c>
      <c r="BU46" s="185" t="s">
        <v>3</v>
      </c>
      <c r="BV46" s="185" t="s">
        <v>2</v>
      </c>
      <c r="BW46" s="185" t="s">
        <v>2</v>
      </c>
      <c r="BX46" s="185" t="s">
        <v>2</v>
      </c>
      <c r="BY46" s="185" t="s">
        <v>2</v>
      </c>
      <c r="BZ46" s="185" t="s">
        <v>2</v>
      </c>
      <c r="CA46" s="185" t="s">
        <v>3</v>
      </c>
      <c r="CB46" s="185" t="s">
        <v>1</v>
      </c>
      <c r="CC46" s="185" t="s">
        <v>3</v>
      </c>
      <c r="CD46" s="185" t="s">
        <v>3</v>
      </c>
      <c r="CE46" s="185" t="s">
        <v>3</v>
      </c>
      <c r="CF46" s="185" t="s">
        <v>1093</v>
      </c>
      <c r="CG46" s="185" t="s">
        <v>1</v>
      </c>
      <c r="CH46" s="185" t="s">
        <v>1092</v>
      </c>
      <c r="CI46" s="185" t="s">
        <v>3</v>
      </c>
      <c r="CJ46" s="185" t="s">
        <v>2</v>
      </c>
      <c r="CK46" s="185" t="s">
        <v>2</v>
      </c>
      <c r="CL46" s="185" t="s">
        <v>3</v>
      </c>
      <c r="CM46" s="185" t="s">
        <v>2</v>
      </c>
      <c r="CN46" s="185" t="s">
        <v>2</v>
      </c>
      <c r="CO46" s="185" t="s">
        <v>3</v>
      </c>
      <c r="CP46" s="185" t="s">
        <v>3</v>
      </c>
      <c r="CQ46" s="185" t="s">
        <v>3</v>
      </c>
      <c r="CR46" s="185" t="s">
        <v>3</v>
      </c>
      <c r="CS46" s="185" t="s">
        <v>2</v>
      </c>
      <c r="CT46" s="185" t="s">
        <v>3</v>
      </c>
      <c r="CU46" s="185" t="s">
        <v>3</v>
      </c>
      <c r="CV46" s="185" t="s">
        <v>1</v>
      </c>
      <c r="CW46" s="185" t="s">
        <v>2</v>
      </c>
      <c r="CX46" s="186"/>
      <c r="CY46" s="185">
        <v>20132373070</v>
      </c>
    </row>
    <row r="47" spans="1:103" ht="12.75" x14ac:dyDescent="0.2">
      <c r="A47" s="184">
        <v>42873.645163958332</v>
      </c>
      <c r="B47" s="185" t="s">
        <v>2285</v>
      </c>
      <c r="C47" s="185" t="s">
        <v>2235</v>
      </c>
      <c r="D47" s="185">
        <v>8</v>
      </c>
      <c r="E47" s="185" t="s">
        <v>3</v>
      </c>
      <c r="F47" s="185" t="s">
        <v>1092</v>
      </c>
      <c r="G47" s="185" t="s">
        <v>1092</v>
      </c>
      <c r="H47" s="185" t="s">
        <v>3</v>
      </c>
      <c r="I47" s="185" t="s">
        <v>2</v>
      </c>
      <c r="J47" s="185" t="s">
        <v>3</v>
      </c>
      <c r="K47" s="185" t="s">
        <v>2</v>
      </c>
      <c r="L47" s="185" t="s">
        <v>2</v>
      </c>
      <c r="M47" s="185" t="s">
        <v>3</v>
      </c>
      <c r="N47" s="185" t="s">
        <v>3</v>
      </c>
      <c r="O47" s="185" t="s">
        <v>3</v>
      </c>
      <c r="P47" s="185" t="s">
        <v>1</v>
      </c>
      <c r="Q47" s="185" t="s">
        <v>2</v>
      </c>
      <c r="R47" s="185" t="s">
        <v>2</v>
      </c>
      <c r="S47" s="185" t="s">
        <v>2</v>
      </c>
      <c r="T47" s="185" t="s">
        <v>2</v>
      </c>
      <c r="U47" s="185" t="s">
        <v>2</v>
      </c>
      <c r="V47" s="185" t="s">
        <v>3</v>
      </c>
      <c r="W47" s="185" t="s">
        <v>3</v>
      </c>
      <c r="X47" s="185" t="s">
        <v>3</v>
      </c>
      <c r="Y47" s="185" t="s">
        <v>3</v>
      </c>
      <c r="Z47" s="185" t="s">
        <v>3</v>
      </c>
      <c r="AA47" s="185" t="s">
        <v>3</v>
      </c>
      <c r="AB47" s="185" t="s">
        <v>3</v>
      </c>
      <c r="AC47" s="185" t="s">
        <v>3</v>
      </c>
      <c r="AD47" s="185" t="s">
        <v>5</v>
      </c>
      <c r="AE47" s="185" t="s">
        <v>3</v>
      </c>
      <c r="AF47" s="185" t="s">
        <v>3</v>
      </c>
      <c r="AG47" s="185" t="s">
        <v>5</v>
      </c>
      <c r="AH47" s="185" t="s">
        <v>3</v>
      </c>
      <c r="AI47" s="185" t="s">
        <v>5</v>
      </c>
      <c r="AJ47" s="185" t="s">
        <v>2</v>
      </c>
      <c r="AK47" s="185" t="s">
        <v>3</v>
      </c>
      <c r="AL47" s="185" t="s">
        <v>3</v>
      </c>
      <c r="AM47" s="185" t="s">
        <v>3</v>
      </c>
      <c r="AN47" s="185" t="s">
        <v>2</v>
      </c>
      <c r="AO47" s="185" t="s">
        <v>3</v>
      </c>
      <c r="AP47" s="185" t="s">
        <v>3</v>
      </c>
      <c r="AQ47" s="185" t="s">
        <v>3</v>
      </c>
      <c r="AR47" s="185" t="s">
        <v>3</v>
      </c>
      <c r="AS47" s="185" t="s">
        <v>3</v>
      </c>
      <c r="AT47" s="185" t="s">
        <v>1092</v>
      </c>
      <c r="AU47" s="185" t="s">
        <v>1092</v>
      </c>
      <c r="AV47" s="185" t="s">
        <v>3</v>
      </c>
      <c r="AW47" s="185" t="s">
        <v>3</v>
      </c>
      <c r="AX47" s="185" t="s">
        <v>3</v>
      </c>
      <c r="AY47" s="185" t="s">
        <v>3</v>
      </c>
      <c r="AZ47" s="185" t="s">
        <v>3</v>
      </c>
      <c r="BA47" s="185" t="s">
        <v>2</v>
      </c>
      <c r="BB47" s="185" t="s">
        <v>2</v>
      </c>
      <c r="BC47" s="185" t="s">
        <v>2</v>
      </c>
      <c r="BD47" s="185" t="s">
        <v>1</v>
      </c>
      <c r="BE47" s="185" t="s">
        <v>3</v>
      </c>
      <c r="BF47" s="185" t="s">
        <v>1093</v>
      </c>
      <c r="BG47" s="185" t="s">
        <v>1</v>
      </c>
      <c r="BH47" s="185" t="s">
        <v>2</v>
      </c>
      <c r="BI47" s="185" t="s">
        <v>1</v>
      </c>
      <c r="BJ47" s="185" t="s">
        <v>2</v>
      </c>
      <c r="BK47" s="185" t="s">
        <v>3</v>
      </c>
      <c r="BL47" s="185" t="s">
        <v>3</v>
      </c>
      <c r="BM47" s="185" t="s">
        <v>2</v>
      </c>
      <c r="BN47" s="185" t="s">
        <v>3</v>
      </c>
      <c r="BO47" s="185" t="s">
        <v>3</v>
      </c>
      <c r="BP47" s="185" t="s">
        <v>1092</v>
      </c>
      <c r="BQ47" s="185" t="s">
        <v>3</v>
      </c>
      <c r="BR47" s="185" t="s">
        <v>3</v>
      </c>
      <c r="BS47" s="185" t="s">
        <v>2</v>
      </c>
      <c r="BT47" s="185" t="s">
        <v>3</v>
      </c>
      <c r="BU47" s="185" t="s">
        <v>3</v>
      </c>
      <c r="BV47" s="185" t="s">
        <v>3</v>
      </c>
      <c r="BW47" s="185" t="s">
        <v>5</v>
      </c>
      <c r="BX47" s="185" t="s">
        <v>3</v>
      </c>
      <c r="BY47" s="185" t="s">
        <v>5</v>
      </c>
      <c r="BZ47" s="185" t="s">
        <v>1</v>
      </c>
      <c r="CA47" s="185" t="s">
        <v>1</v>
      </c>
      <c r="CB47" s="185" t="s">
        <v>1</v>
      </c>
      <c r="CC47" s="185" t="s">
        <v>1093</v>
      </c>
      <c r="CD47" s="185" t="s">
        <v>1</v>
      </c>
      <c r="CE47" s="185" t="s">
        <v>1092</v>
      </c>
      <c r="CF47" s="185" t="s">
        <v>2</v>
      </c>
      <c r="CG47" s="185" t="s">
        <v>2</v>
      </c>
      <c r="CH47" s="185" t="s">
        <v>3</v>
      </c>
      <c r="CI47" s="185" t="s">
        <v>3</v>
      </c>
      <c r="CJ47" s="185" t="s">
        <v>3</v>
      </c>
      <c r="CK47" s="185" t="s">
        <v>3</v>
      </c>
      <c r="CL47" s="185" t="s">
        <v>3</v>
      </c>
      <c r="CM47" s="185" t="s">
        <v>3</v>
      </c>
      <c r="CN47" s="185" t="s">
        <v>2</v>
      </c>
      <c r="CO47" s="185" t="s">
        <v>3</v>
      </c>
      <c r="CP47" s="185" t="s">
        <v>3</v>
      </c>
      <c r="CQ47" s="185" t="s">
        <v>3</v>
      </c>
      <c r="CR47" s="185" t="s">
        <v>3</v>
      </c>
      <c r="CS47" s="185" t="s">
        <v>3</v>
      </c>
      <c r="CT47" s="185" t="s">
        <v>3</v>
      </c>
      <c r="CU47" s="185" t="s">
        <v>2</v>
      </c>
      <c r="CV47" s="185" t="s">
        <v>2</v>
      </c>
      <c r="CW47" s="185" t="s">
        <v>2</v>
      </c>
      <c r="CX47" s="185" t="s">
        <v>2286</v>
      </c>
      <c r="CY47" s="185">
        <v>20132072046</v>
      </c>
    </row>
    <row r="48" spans="1:103" ht="12.75" x14ac:dyDescent="0.2">
      <c r="A48" s="184">
        <v>42873.65514732639</v>
      </c>
      <c r="B48" s="185" t="s">
        <v>2287</v>
      </c>
      <c r="C48" s="185" t="s">
        <v>2271</v>
      </c>
      <c r="D48" s="185">
        <v>2</v>
      </c>
      <c r="E48" s="185" t="s">
        <v>3</v>
      </c>
      <c r="F48" s="185" t="s">
        <v>1092</v>
      </c>
      <c r="G48" s="185" t="s">
        <v>1092</v>
      </c>
      <c r="H48" s="185" t="s">
        <v>3</v>
      </c>
      <c r="I48" s="185" t="s">
        <v>3</v>
      </c>
      <c r="J48" s="185" t="s">
        <v>1</v>
      </c>
      <c r="K48" s="185" t="s">
        <v>2</v>
      </c>
      <c r="L48" s="185" t="s">
        <v>3</v>
      </c>
      <c r="M48" s="185" t="s">
        <v>1093</v>
      </c>
      <c r="N48" s="185" t="s">
        <v>2</v>
      </c>
      <c r="O48" s="185" t="s">
        <v>2</v>
      </c>
      <c r="P48" s="185" t="s">
        <v>1093</v>
      </c>
      <c r="Q48" s="185" t="s">
        <v>1093</v>
      </c>
      <c r="R48" s="185" t="s">
        <v>1</v>
      </c>
      <c r="S48" s="185" t="s">
        <v>1</v>
      </c>
      <c r="T48" s="185" t="s">
        <v>1</v>
      </c>
      <c r="U48" s="185" t="s">
        <v>2</v>
      </c>
      <c r="V48" s="185" t="s">
        <v>1</v>
      </c>
      <c r="W48" s="185" t="s">
        <v>2</v>
      </c>
      <c r="X48" s="185" t="s">
        <v>2</v>
      </c>
      <c r="Y48" s="185" t="s">
        <v>3</v>
      </c>
      <c r="Z48" s="185" t="s">
        <v>2</v>
      </c>
      <c r="AA48" s="185" t="s">
        <v>2</v>
      </c>
      <c r="AB48" s="185" t="s">
        <v>1092</v>
      </c>
      <c r="AC48" s="185" t="s">
        <v>1</v>
      </c>
      <c r="AD48" s="185" t="s">
        <v>3</v>
      </c>
      <c r="AE48" s="185" t="s">
        <v>2</v>
      </c>
      <c r="AF48" s="185" t="s">
        <v>1</v>
      </c>
      <c r="AG48" s="185" t="s">
        <v>1</v>
      </c>
      <c r="AH48" s="185" t="s">
        <v>3</v>
      </c>
      <c r="AI48" s="185" t="s">
        <v>1</v>
      </c>
      <c r="AJ48" s="185" t="s">
        <v>1</v>
      </c>
      <c r="AK48" s="185" t="s">
        <v>1</v>
      </c>
      <c r="AL48" s="185" t="s">
        <v>1</v>
      </c>
      <c r="AM48" s="185" t="s">
        <v>3</v>
      </c>
      <c r="AN48" s="185" t="s">
        <v>1092</v>
      </c>
      <c r="AO48" s="185" t="s">
        <v>1092</v>
      </c>
      <c r="AP48" s="185" t="s">
        <v>1092</v>
      </c>
      <c r="AQ48" s="185" t="s">
        <v>1092</v>
      </c>
      <c r="AR48" s="185" t="s">
        <v>1092</v>
      </c>
      <c r="AS48" s="185" t="s">
        <v>1092</v>
      </c>
      <c r="AT48" s="185" t="s">
        <v>1092</v>
      </c>
      <c r="AU48" s="185" t="s">
        <v>1092</v>
      </c>
      <c r="AV48" s="185" t="s">
        <v>1092</v>
      </c>
      <c r="AW48" s="185" t="s">
        <v>1092</v>
      </c>
      <c r="AX48" s="185" t="s">
        <v>1092</v>
      </c>
      <c r="AY48" s="185" t="s">
        <v>1092</v>
      </c>
      <c r="AZ48" s="185" t="s">
        <v>1092</v>
      </c>
      <c r="BA48" s="185" t="s">
        <v>1092</v>
      </c>
      <c r="BB48" s="185" t="s">
        <v>1092</v>
      </c>
      <c r="BC48" s="185" t="s">
        <v>1092</v>
      </c>
      <c r="BD48" s="185" t="s">
        <v>1092</v>
      </c>
      <c r="BE48" s="185" t="s">
        <v>1092</v>
      </c>
      <c r="BF48" s="185" t="s">
        <v>1092</v>
      </c>
      <c r="BG48" s="185" t="s">
        <v>1092</v>
      </c>
      <c r="BH48" s="185" t="s">
        <v>1092</v>
      </c>
      <c r="BI48" s="185" t="s">
        <v>1092</v>
      </c>
      <c r="BJ48" s="185" t="s">
        <v>1092</v>
      </c>
      <c r="BK48" s="185" t="s">
        <v>5</v>
      </c>
      <c r="BL48" s="185" t="s">
        <v>1092</v>
      </c>
      <c r="BM48" s="185" t="s">
        <v>1092</v>
      </c>
      <c r="BN48" s="185" t="s">
        <v>5</v>
      </c>
      <c r="BO48" s="185" t="s">
        <v>5</v>
      </c>
      <c r="BP48" s="185" t="s">
        <v>3</v>
      </c>
      <c r="BQ48" s="185" t="s">
        <v>2</v>
      </c>
      <c r="BR48" s="185" t="s">
        <v>1092</v>
      </c>
      <c r="BS48" s="185" t="s">
        <v>1092</v>
      </c>
      <c r="BT48" s="185" t="s">
        <v>1092</v>
      </c>
      <c r="BU48" s="185" t="s">
        <v>1092</v>
      </c>
      <c r="BV48" s="185" t="s">
        <v>3</v>
      </c>
      <c r="BW48" s="185" t="s">
        <v>3</v>
      </c>
      <c r="BX48" s="185" t="s">
        <v>3</v>
      </c>
      <c r="BY48" s="185" t="s">
        <v>3</v>
      </c>
      <c r="BZ48" s="185" t="s">
        <v>2</v>
      </c>
      <c r="CA48" s="185" t="s">
        <v>1092</v>
      </c>
      <c r="CB48" s="185" t="s">
        <v>1092</v>
      </c>
      <c r="CC48" s="185" t="s">
        <v>1092</v>
      </c>
      <c r="CD48" s="185" t="s">
        <v>1092</v>
      </c>
      <c r="CE48" s="185" t="s">
        <v>1092</v>
      </c>
      <c r="CF48" s="185" t="s">
        <v>1092</v>
      </c>
      <c r="CG48" s="185" t="s">
        <v>1092</v>
      </c>
      <c r="CH48" s="185" t="s">
        <v>3</v>
      </c>
      <c r="CI48" s="185" t="s">
        <v>1</v>
      </c>
      <c r="CJ48" s="185" t="s">
        <v>3</v>
      </c>
      <c r="CK48" s="185" t="s">
        <v>3</v>
      </c>
      <c r="CL48" s="185" t="s">
        <v>1092</v>
      </c>
      <c r="CM48" s="185" t="s">
        <v>1092</v>
      </c>
      <c r="CN48" s="185" t="s">
        <v>2</v>
      </c>
      <c r="CO48" s="185" t="s">
        <v>1092</v>
      </c>
      <c r="CP48" s="185" t="s">
        <v>1092</v>
      </c>
      <c r="CQ48" s="185" t="s">
        <v>1092</v>
      </c>
      <c r="CR48" s="185" t="s">
        <v>5</v>
      </c>
      <c r="CS48" s="185" t="s">
        <v>1092</v>
      </c>
      <c r="CT48" s="185" t="s">
        <v>1092</v>
      </c>
      <c r="CU48" s="185" t="s">
        <v>1092</v>
      </c>
      <c r="CV48" s="185" t="s">
        <v>1092</v>
      </c>
      <c r="CW48" s="185" t="s">
        <v>3</v>
      </c>
      <c r="CX48" s="186"/>
      <c r="CY48" s="185">
        <v>20161372341</v>
      </c>
    </row>
    <row r="49" spans="1:103" ht="12.75" x14ac:dyDescent="0.2">
      <c r="A49" s="184">
        <v>42873.67977693287</v>
      </c>
      <c r="B49" s="185" t="s">
        <v>2288</v>
      </c>
      <c r="C49" s="185" t="s">
        <v>2271</v>
      </c>
      <c r="D49" s="185">
        <v>6</v>
      </c>
      <c r="E49" s="185" t="s">
        <v>3</v>
      </c>
      <c r="F49" s="185" t="s">
        <v>1092</v>
      </c>
      <c r="G49" s="185" t="s">
        <v>1092</v>
      </c>
      <c r="H49" s="185" t="s">
        <v>1092</v>
      </c>
      <c r="I49" s="185" t="s">
        <v>2</v>
      </c>
      <c r="J49" s="185" t="s">
        <v>3</v>
      </c>
      <c r="K49" s="185" t="s">
        <v>1092</v>
      </c>
      <c r="L49" s="185" t="s">
        <v>1092</v>
      </c>
      <c r="M49" s="185" t="s">
        <v>1</v>
      </c>
      <c r="N49" s="185" t="s">
        <v>2</v>
      </c>
      <c r="O49" s="185" t="s">
        <v>1</v>
      </c>
      <c r="P49" s="185" t="s">
        <v>1</v>
      </c>
      <c r="Q49" s="185" t="s">
        <v>1</v>
      </c>
      <c r="R49" s="185" t="s">
        <v>1</v>
      </c>
      <c r="S49" s="185" t="s">
        <v>2</v>
      </c>
      <c r="T49" s="185" t="s">
        <v>1</v>
      </c>
      <c r="U49" s="185" t="s">
        <v>1</v>
      </c>
      <c r="V49" s="185" t="s">
        <v>1092</v>
      </c>
      <c r="W49" s="185" t="s">
        <v>3</v>
      </c>
      <c r="X49" s="185" t="s">
        <v>1092</v>
      </c>
      <c r="Y49" s="185" t="s">
        <v>1092</v>
      </c>
      <c r="Z49" s="185" t="s">
        <v>3</v>
      </c>
      <c r="AA49" s="185" t="s">
        <v>3</v>
      </c>
      <c r="AB49" s="185" t="s">
        <v>1</v>
      </c>
      <c r="AC49" s="185" t="s">
        <v>2</v>
      </c>
      <c r="AD49" s="185" t="s">
        <v>3</v>
      </c>
      <c r="AE49" s="185" t="s">
        <v>1</v>
      </c>
      <c r="AF49" s="185" t="s">
        <v>1092</v>
      </c>
      <c r="AG49" s="185" t="s">
        <v>1093</v>
      </c>
      <c r="AH49" s="185" t="s">
        <v>2</v>
      </c>
      <c r="AI49" s="185" t="s">
        <v>1</v>
      </c>
      <c r="AJ49" s="185" t="s">
        <v>2</v>
      </c>
      <c r="AK49" s="185" t="s">
        <v>3</v>
      </c>
      <c r="AL49" s="185" t="s">
        <v>1092</v>
      </c>
      <c r="AM49" s="185" t="s">
        <v>1</v>
      </c>
      <c r="AN49" s="185" t="s">
        <v>2</v>
      </c>
      <c r="AO49" s="185" t="s">
        <v>1</v>
      </c>
      <c r="AP49" s="185" t="s">
        <v>1092</v>
      </c>
      <c r="AQ49" s="185" t="s">
        <v>1092</v>
      </c>
      <c r="AR49" s="185" t="s">
        <v>1092</v>
      </c>
      <c r="AS49" s="185" t="s">
        <v>1092</v>
      </c>
      <c r="AT49" s="185" t="s">
        <v>1092</v>
      </c>
      <c r="AU49" s="185" t="s">
        <v>2</v>
      </c>
      <c r="AV49" s="185" t="s">
        <v>2</v>
      </c>
      <c r="AW49" s="185" t="s">
        <v>1092</v>
      </c>
      <c r="AX49" s="185" t="s">
        <v>3</v>
      </c>
      <c r="AY49" s="185" t="s">
        <v>1092</v>
      </c>
      <c r="AZ49" s="185" t="s">
        <v>3</v>
      </c>
      <c r="BA49" s="185" t="s">
        <v>1093</v>
      </c>
      <c r="BB49" s="185" t="s">
        <v>3</v>
      </c>
      <c r="BC49" s="185" t="s">
        <v>1</v>
      </c>
      <c r="BD49" s="185" t="s">
        <v>1093</v>
      </c>
      <c r="BE49" s="185" t="s">
        <v>2</v>
      </c>
      <c r="BF49" s="185" t="s">
        <v>1092</v>
      </c>
      <c r="BG49" s="185" t="s">
        <v>1092</v>
      </c>
      <c r="BH49" s="185" t="s">
        <v>1092</v>
      </c>
      <c r="BI49" s="185" t="s">
        <v>1</v>
      </c>
      <c r="BJ49" s="185" t="s">
        <v>1</v>
      </c>
      <c r="BK49" s="185" t="s">
        <v>1</v>
      </c>
      <c r="BL49" s="185" t="s">
        <v>2</v>
      </c>
      <c r="BM49" s="185" t="s">
        <v>1093</v>
      </c>
      <c r="BN49" s="185" t="s">
        <v>1092</v>
      </c>
      <c r="BO49" s="185" t="s">
        <v>1093</v>
      </c>
      <c r="BP49" s="185" t="s">
        <v>2</v>
      </c>
      <c r="BQ49" s="185" t="s">
        <v>1</v>
      </c>
      <c r="BR49" s="185" t="s">
        <v>1092</v>
      </c>
      <c r="BS49" s="185" t="s">
        <v>1</v>
      </c>
      <c r="BT49" s="185" t="s">
        <v>1</v>
      </c>
      <c r="BU49" s="185" t="s">
        <v>2</v>
      </c>
      <c r="BV49" s="185" t="s">
        <v>2</v>
      </c>
      <c r="BW49" s="185" t="s">
        <v>3</v>
      </c>
      <c r="BX49" s="185" t="s">
        <v>1</v>
      </c>
      <c r="BY49" s="185" t="s">
        <v>2</v>
      </c>
      <c r="BZ49" s="185" t="s">
        <v>1093</v>
      </c>
      <c r="CA49" s="185" t="s">
        <v>1092</v>
      </c>
      <c r="CB49" s="185" t="s">
        <v>1092</v>
      </c>
      <c r="CC49" s="185" t="s">
        <v>1092</v>
      </c>
      <c r="CD49" s="185" t="s">
        <v>1092</v>
      </c>
      <c r="CE49" s="185" t="s">
        <v>1092</v>
      </c>
      <c r="CF49" s="185" t="s">
        <v>2</v>
      </c>
      <c r="CG49" s="185" t="s">
        <v>1093</v>
      </c>
      <c r="CH49" s="185" t="s">
        <v>1</v>
      </c>
      <c r="CI49" s="185" t="s">
        <v>2</v>
      </c>
      <c r="CJ49" s="185" t="s">
        <v>2</v>
      </c>
      <c r="CK49" s="185" t="s">
        <v>3</v>
      </c>
      <c r="CL49" s="185" t="s">
        <v>1</v>
      </c>
      <c r="CM49" s="185" t="s">
        <v>1093</v>
      </c>
      <c r="CN49" s="185" t="s">
        <v>1093</v>
      </c>
      <c r="CO49" s="185" t="s">
        <v>1</v>
      </c>
      <c r="CP49" s="185" t="s">
        <v>2</v>
      </c>
      <c r="CQ49" s="185" t="s">
        <v>3</v>
      </c>
      <c r="CR49" s="185" t="s">
        <v>3</v>
      </c>
      <c r="CS49" s="185" t="s">
        <v>1</v>
      </c>
      <c r="CT49" s="185" t="s">
        <v>1</v>
      </c>
      <c r="CU49" s="185" t="s">
        <v>1093</v>
      </c>
      <c r="CV49" s="185" t="s">
        <v>1093</v>
      </c>
      <c r="CW49" s="185" t="s">
        <v>2</v>
      </c>
      <c r="CX49" s="186"/>
      <c r="CY49" s="185">
        <v>20161372098</v>
      </c>
    </row>
    <row r="50" spans="1:103" ht="12.75" x14ac:dyDescent="0.2">
      <c r="A50" s="184">
        <v>42873.738373854168</v>
      </c>
      <c r="B50" s="185" t="s">
        <v>2289</v>
      </c>
      <c r="C50" s="185" t="s">
        <v>2235</v>
      </c>
      <c r="D50" s="185">
        <v>8</v>
      </c>
      <c r="E50" s="185" t="s">
        <v>1092</v>
      </c>
      <c r="F50" s="185" t="s">
        <v>1092</v>
      </c>
      <c r="G50" s="185" t="s">
        <v>1092</v>
      </c>
      <c r="H50" s="185" t="s">
        <v>1093</v>
      </c>
      <c r="I50" s="185" t="s">
        <v>1093</v>
      </c>
      <c r="J50" s="185" t="s">
        <v>1093</v>
      </c>
      <c r="K50" s="185" t="s">
        <v>1093</v>
      </c>
      <c r="L50" s="185" t="s">
        <v>1</v>
      </c>
      <c r="M50" s="185" t="s">
        <v>1093</v>
      </c>
      <c r="N50" s="185" t="s">
        <v>2</v>
      </c>
      <c r="O50" s="185" t="s">
        <v>1093</v>
      </c>
      <c r="P50" s="185" t="s">
        <v>1093</v>
      </c>
      <c r="Q50" s="185" t="s">
        <v>1093</v>
      </c>
      <c r="R50" s="185" t="s">
        <v>1093</v>
      </c>
      <c r="S50" s="185" t="s">
        <v>1</v>
      </c>
      <c r="T50" s="185" t="s">
        <v>1093</v>
      </c>
      <c r="U50" s="185" t="s">
        <v>1093</v>
      </c>
      <c r="V50" s="185" t="s">
        <v>1093</v>
      </c>
      <c r="W50" s="185" t="s">
        <v>1</v>
      </c>
      <c r="X50" s="185" t="s">
        <v>3</v>
      </c>
      <c r="Y50" s="185" t="s">
        <v>3</v>
      </c>
      <c r="Z50" s="185" t="s">
        <v>3</v>
      </c>
      <c r="AA50" s="185" t="s">
        <v>2</v>
      </c>
      <c r="AB50" s="185" t="s">
        <v>2</v>
      </c>
      <c r="AC50" s="185" t="s">
        <v>1093</v>
      </c>
      <c r="AD50" s="185" t="s">
        <v>2</v>
      </c>
      <c r="AE50" s="185" t="s">
        <v>1092</v>
      </c>
      <c r="AF50" s="185" t="s">
        <v>3</v>
      </c>
      <c r="AG50" s="185" t="s">
        <v>2</v>
      </c>
      <c r="AH50" s="185" t="s">
        <v>1092</v>
      </c>
      <c r="AI50" s="185" t="s">
        <v>3</v>
      </c>
      <c r="AJ50" s="185" t="s">
        <v>3</v>
      </c>
      <c r="AK50" s="185" t="s">
        <v>1</v>
      </c>
      <c r="AL50" s="185" t="s">
        <v>1093</v>
      </c>
      <c r="AM50" s="185" t="s">
        <v>1093</v>
      </c>
      <c r="AN50" s="185" t="s">
        <v>1</v>
      </c>
      <c r="AO50" s="185" t="s">
        <v>1093</v>
      </c>
      <c r="AP50" s="185" t="s">
        <v>3</v>
      </c>
      <c r="AQ50" s="185" t="s">
        <v>3</v>
      </c>
      <c r="AR50" s="185" t="s">
        <v>1092</v>
      </c>
      <c r="AS50" s="185" t="s">
        <v>1092</v>
      </c>
      <c r="AT50" s="185" t="s">
        <v>1092</v>
      </c>
      <c r="AU50" s="185" t="s">
        <v>1093</v>
      </c>
      <c r="AV50" s="185" t="s">
        <v>1093</v>
      </c>
      <c r="AW50" s="185" t="s">
        <v>1093</v>
      </c>
      <c r="AX50" s="185" t="s">
        <v>2</v>
      </c>
      <c r="AY50" s="185" t="s">
        <v>1093</v>
      </c>
      <c r="AZ50" s="185" t="s">
        <v>1093</v>
      </c>
      <c r="BA50" s="185" t="s">
        <v>1093</v>
      </c>
      <c r="BB50" s="185" t="s">
        <v>2</v>
      </c>
      <c r="BC50" s="185" t="s">
        <v>2</v>
      </c>
      <c r="BD50" s="185" t="s">
        <v>1093</v>
      </c>
      <c r="BE50" s="185" t="s">
        <v>3</v>
      </c>
      <c r="BF50" s="185" t="s">
        <v>1093</v>
      </c>
      <c r="BG50" s="185" t="s">
        <v>1093</v>
      </c>
      <c r="BH50" s="185" t="s">
        <v>1093</v>
      </c>
      <c r="BI50" s="185" t="s">
        <v>1</v>
      </c>
      <c r="BJ50" s="185" t="s">
        <v>1</v>
      </c>
      <c r="BK50" s="185" t="s">
        <v>1</v>
      </c>
      <c r="BL50" s="185" t="s">
        <v>2</v>
      </c>
      <c r="BM50" s="185" t="s">
        <v>2</v>
      </c>
      <c r="BN50" s="185" t="s">
        <v>2</v>
      </c>
      <c r="BO50" s="185" t="s">
        <v>2</v>
      </c>
      <c r="BP50" s="185" t="s">
        <v>2</v>
      </c>
      <c r="BQ50" s="185" t="s">
        <v>1092</v>
      </c>
      <c r="BR50" s="185" t="s">
        <v>1092</v>
      </c>
      <c r="BS50" s="185" t="s">
        <v>1092</v>
      </c>
      <c r="BT50" s="185" t="s">
        <v>1093</v>
      </c>
      <c r="BU50" s="185" t="s">
        <v>1093</v>
      </c>
      <c r="BV50" s="185" t="s">
        <v>1093</v>
      </c>
      <c r="BW50" s="185" t="s">
        <v>1093</v>
      </c>
      <c r="BX50" s="185" t="s">
        <v>1</v>
      </c>
      <c r="BY50" s="185" t="s">
        <v>2</v>
      </c>
      <c r="BZ50" s="185" t="s">
        <v>1092</v>
      </c>
      <c r="CA50" s="185" t="s">
        <v>1</v>
      </c>
      <c r="CB50" s="185" t="s">
        <v>1</v>
      </c>
      <c r="CC50" s="185" t="s">
        <v>1</v>
      </c>
      <c r="CD50" s="185" t="s">
        <v>2</v>
      </c>
      <c r="CE50" s="185" t="s">
        <v>1092</v>
      </c>
      <c r="CF50" s="185" t="s">
        <v>1</v>
      </c>
      <c r="CG50" s="185" t="s">
        <v>1</v>
      </c>
      <c r="CH50" s="185" t="s">
        <v>1</v>
      </c>
      <c r="CI50" s="185" t="s">
        <v>1</v>
      </c>
      <c r="CJ50" s="185" t="s">
        <v>1093</v>
      </c>
      <c r="CK50" s="185" t="s">
        <v>1</v>
      </c>
      <c r="CL50" s="185" t="s">
        <v>1093</v>
      </c>
      <c r="CM50" s="185" t="s">
        <v>1093</v>
      </c>
      <c r="CN50" s="185" t="s">
        <v>1093</v>
      </c>
      <c r="CO50" s="185" t="s">
        <v>1</v>
      </c>
      <c r="CP50" s="185" t="s">
        <v>1</v>
      </c>
      <c r="CQ50" s="185" t="s">
        <v>1</v>
      </c>
      <c r="CR50" s="185" t="s">
        <v>1</v>
      </c>
      <c r="CS50" s="185" t="s">
        <v>1093</v>
      </c>
      <c r="CT50" s="185" t="s">
        <v>1093</v>
      </c>
      <c r="CU50" s="185" t="s">
        <v>2</v>
      </c>
      <c r="CV50" s="185" t="s">
        <v>2</v>
      </c>
      <c r="CW50" s="185" t="s">
        <v>2</v>
      </c>
      <c r="CX50" s="185" t="s">
        <v>2290</v>
      </c>
      <c r="CY50" s="185">
        <v>20132072073</v>
      </c>
    </row>
    <row r="51" spans="1:103" ht="12.75" x14ac:dyDescent="0.2">
      <c r="A51" s="184">
        <v>42873.809478252311</v>
      </c>
      <c r="B51" s="185" t="s">
        <v>2291</v>
      </c>
      <c r="C51" s="185" t="s">
        <v>2237</v>
      </c>
      <c r="D51" s="185">
        <v>2</v>
      </c>
      <c r="E51" s="185" t="s">
        <v>1092</v>
      </c>
      <c r="F51" s="185" t="s">
        <v>1092</v>
      </c>
      <c r="G51" s="185" t="s">
        <v>1092</v>
      </c>
      <c r="H51" s="185" t="s">
        <v>1093</v>
      </c>
      <c r="I51" s="185" t="s">
        <v>1093</v>
      </c>
      <c r="J51" s="185" t="s">
        <v>1093</v>
      </c>
      <c r="K51" s="185" t="s">
        <v>1092</v>
      </c>
      <c r="L51" s="185" t="s">
        <v>5</v>
      </c>
      <c r="M51" s="185" t="s">
        <v>1093</v>
      </c>
      <c r="N51" s="185" t="s">
        <v>5</v>
      </c>
      <c r="O51" s="185" t="s">
        <v>5</v>
      </c>
      <c r="P51" s="185" t="s">
        <v>1093</v>
      </c>
      <c r="Q51" s="185" t="s">
        <v>1093</v>
      </c>
      <c r="R51" s="185" t="s">
        <v>1093</v>
      </c>
      <c r="S51" s="185" t="s">
        <v>1092</v>
      </c>
      <c r="T51" s="185" t="s">
        <v>1092</v>
      </c>
      <c r="U51" s="185" t="s">
        <v>5</v>
      </c>
      <c r="V51" s="185" t="s">
        <v>2</v>
      </c>
      <c r="W51" s="185" t="s">
        <v>1093</v>
      </c>
      <c r="X51" s="185" t="s">
        <v>1092</v>
      </c>
      <c r="Y51" s="185" t="s">
        <v>1092</v>
      </c>
      <c r="Z51" s="185" t="s">
        <v>1092</v>
      </c>
      <c r="AA51" s="185" t="s">
        <v>2</v>
      </c>
      <c r="AB51" s="185" t="s">
        <v>1</v>
      </c>
      <c r="AC51" s="185" t="s">
        <v>2</v>
      </c>
      <c r="AD51" s="185" t="s">
        <v>5</v>
      </c>
      <c r="AE51" s="185" t="s">
        <v>1092</v>
      </c>
      <c r="AF51" s="185" t="s">
        <v>1092</v>
      </c>
      <c r="AG51" s="185" t="s">
        <v>1092</v>
      </c>
      <c r="AH51" s="185" t="s">
        <v>1092</v>
      </c>
      <c r="AI51" s="185" t="s">
        <v>2</v>
      </c>
      <c r="AJ51" s="185" t="s">
        <v>1093</v>
      </c>
      <c r="AK51" s="185" t="s">
        <v>1</v>
      </c>
      <c r="AL51" s="185" t="s">
        <v>2</v>
      </c>
      <c r="AM51" s="185" t="s">
        <v>1093</v>
      </c>
      <c r="AN51" s="185" t="s">
        <v>3</v>
      </c>
      <c r="AO51" s="185" t="s">
        <v>1093</v>
      </c>
      <c r="AP51" s="185" t="s">
        <v>1092</v>
      </c>
      <c r="AQ51" s="185" t="s">
        <v>1092</v>
      </c>
      <c r="AR51" s="185" t="s">
        <v>1092</v>
      </c>
      <c r="AS51" s="185" t="s">
        <v>2</v>
      </c>
      <c r="AT51" s="185" t="s">
        <v>1092</v>
      </c>
      <c r="AU51" s="185" t="s">
        <v>1092</v>
      </c>
      <c r="AV51" s="185" t="s">
        <v>1092</v>
      </c>
      <c r="AW51" s="185" t="s">
        <v>5</v>
      </c>
      <c r="AX51" s="185" t="s">
        <v>3</v>
      </c>
      <c r="AY51" s="185" t="s">
        <v>3</v>
      </c>
      <c r="AZ51" s="185" t="s">
        <v>1093</v>
      </c>
      <c r="BA51" s="185" t="s">
        <v>1093</v>
      </c>
      <c r="BB51" s="185" t="s">
        <v>1093</v>
      </c>
      <c r="BC51" s="185" t="s">
        <v>1093</v>
      </c>
      <c r="BD51" s="185" t="s">
        <v>1093</v>
      </c>
      <c r="BE51" s="185" t="s">
        <v>5</v>
      </c>
      <c r="BF51" s="185" t="s">
        <v>3</v>
      </c>
      <c r="BG51" s="185" t="s">
        <v>3</v>
      </c>
      <c r="BH51" s="185" t="s">
        <v>3</v>
      </c>
      <c r="BI51" s="185" t="s">
        <v>1093</v>
      </c>
      <c r="BJ51" s="185" t="s">
        <v>1093</v>
      </c>
      <c r="BK51" s="185" t="s">
        <v>1093</v>
      </c>
      <c r="BL51" s="185" t="s">
        <v>2</v>
      </c>
      <c r="BM51" s="185" t="s">
        <v>1093</v>
      </c>
      <c r="BN51" s="185" t="s">
        <v>2</v>
      </c>
      <c r="BO51" s="185" t="s">
        <v>1093</v>
      </c>
      <c r="BP51" s="185" t="s">
        <v>1093</v>
      </c>
      <c r="BQ51" s="185" t="s">
        <v>1093</v>
      </c>
      <c r="BR51" s="185" t="s">
        <v>2</v>
      </c>
      <c r="BS51" s="185" t="s">
        <v>2</v>
      </c>
      <c r="BT51" s="185" t="s">
        <v>1093</v>
      </c>
      <c r="BU51" s="185" t="s">
        <v>1093</v>
      </c>
      <c r="BV51" s="185" t="s">
        <v>1093</v>
      </c>
      <c r="BW51" s="185" t="s">
        <v>1</v>
      </c>
      <c r="BX51" s="185" t="s">
        <v>1093</v>
      </c>
      <c r="BY51" s="185" t="s">
        <v>1093</v>
      </c>
      <c r="BZ51" s="185" t="s">
        <v>1093</v>
      </c>
      <c r="CA51" s="185" t="s">
        <v>1093</v>
      </c>
      <c r="CB51" s="185" t="s">
        <v>1093</v>
      </c>
      <c r="CC51" s="185" t="s">
        <v>1093</v>
      </c>
      <c r="CD51" s="185" t="s">
        <v>1093</v>
      </c>
      <c r="CE51" s="185" t="s">
        <v>1092</v>
      </c>
      <c r="CF51" s="185" t="s">
        <v>1093</v>
      </c>
      <c r="CG51" s="185" t="s">
        <v>1093</v>
      </c>
      <c r="CH51" s="185" t="s">
        <v>1093</v>
      </c>
      <c r="CI51" s="185" t="s">
        <v>1093</v>
      </c>
      <c r="CJ51" s="185" t="s">
        <v>1093</v>
      </c>
      <c r="CK51" s="185" t="s">
        <v>1093</v>
      </c>
      <c r="CL51" s="185" t="s">
        <v>1093</v>
      </c>
      <c r="CM51" s="185" t="s">
        <v>5</v>
      </c>
      <c r="CN51" s="185" t="s">
        <v>5</v>
      </c>
      <c r="CO51" s="185" t="s">
        <v>5</v>
      </c>
      <c r="CP51" s="185" t="s">
        <v>5</v>
      </c>
      <c r="CQ51" s="185" t="s">
        <v>5</v>
      </c>
      <c r="CR51" s="185" t="s">
        <v>5</v>
      </c>
      <c r="CS51" s="185" t="s">
        <v>1093</v>
      </c>
      <c r="CT51" s="185" t="s">
        <v>5</v>
      </c>
      <c r="CU51" s="185" t="s">
        <v>1093</v>
      </c>
      <c r="CV51" s="185" t="s">
        <v>1093</v>
      </c>
      <c r="CW51" s="185" t="s">
        <v>1093</v>
      </c>
      <c r="CX51" s="185" t="s">
        <v>2292</v>
      </c>
      <c r="CY51" s="185">
        <v>20161572030</v>
      </c>
    </row>
    <row r="52" spans="1:103" ht="12.75" x14ac:dyDescent="0.2">
      <c r="A52" s="184">
        <v>42873.872926712967</v>
      </c>
      <c r="B52" s="185" t="s">
        <v>2293</v>
      </c>
      <c r="C52" s="185" t="s">
        <v>2271</v>
      </c>
      <c r="D52" s="185">
        <v>6</v>
      </c>
      <c r="E52" s="185" t="s">
        <v>1092</v>
      </c>
      <c r="F52" s="185" t="s">
        <v>1092</v>
      </c>
      <c r="G52" s="185" t="s">
        <v>1092</v>
      </c>
      <c r="H52" s="185" t="s">
        <v>3</v>
      </c>
      <c r="I52" s="185" t="s">
        <v>3</v>
      </c>
      <c r="J52" s="185" t="s">
        <v>1</v>
      </c>
      <c r="K52" s="185" t="s">
        <v>3</v>
      </c>
      <c r="L52" s="185" t="s">
        <v>3</v>
      </c>
      <c r="M52" s="185" t="s">
        <v>3</v>
      </c>
      <c r="N52" s="185" t="s">
        <v>3</v>
      </c>
      <c r="O52" s="185" t="s">
        <v>2</v>
      </c>
      <c r="P52" s="185" t="s">
        <v>1</v>
      </c>
      <c r="Q52" s="185" t="s">
        <v>1</v>
      </c>
      <c r="R52" s="185" t="s">
        <v>3</v>
      </c>
      <c r="S52" s="185" t="s">
        <v>2</v>
      </c>
      <c r="T52" s="185" t="s">
        <v>2</v>
      </c>
      <c r="U52" s="185" t="s">
        <v>2</v>
      </c>
      <c r="V52" s="185" t="s">
        <v>2</v>
      </c>
      <c r="W52" s="185" t="s">
        <v>2</v>
      </c>
      <c r="X52" s="185" t="s">
        <v>3</v>
      </c>
      <c r="Y52" s="185" t="s">
        <v>3</v>
      </c>
      <c r="Z52" s="185" t="s">
        <v>3</v>
      </c>
      <c r="AA52" s="185" t="s">
        <v>3</v>
      </c>
      <c r="AB52" s="185" t="s">
        <v>1</v>
      </c>
      <c r="AC52" s="185" t="s">
        <v>2</v>
      </c>
      <c r="AD52" s="185" t="s">
        <v>2</v>
      </c>
      <c r="AE52" s="185" t="s">
        <v>2</v>
      </c>
      <c r="AF52" s="185" t="s">
        <v>1</v>
      </c>
      <c r="AG52" s="185" t="s">
        <v>1</v>
      </c>
      <c r="AH52" s="185" t="s">
        <v>3</v>
      </c>
      <c r="AI52" s="185" t="s">
        <v>2</v>
      </c>
      <c r="AJ52" s="185" t="s">
        <v>3</v>
      </c>
      <c r="AK52" s="185" t="s">
        <v>2</v>
      </c>
      <c r="AL52" s="185" t="s">
        <v>2</v>
      </c>
      <c r="AM52" s="185" t="s">
        <v>2</v>
      </c>
      <c r="AN52" s="185" t="s">
        <v>2</v>
      </c>
      <c r="AO52" s="185" t="s">
        <v>2</v>
      </c>
      <c r="AP52" s="185" t="s">
        <v>2</v>
      </c>
      <c r="AQ52" s="185" t="s">
        <v>2</v>
      </c>
      <c r="AR52" s="185" t="s">
        <v>1092</v>
      </c>
      <c r="AS52" s="185" t="s">
        <v>1092</v>
      </c>
      <c r="AT52" s="185" t="s">
        <v>1092</v>
      </c>
      <c r="AU52" s="185" t="s">
        <v>1092</v>
      </c>
      <c r="AV52" s="185" t="s">
        <v>2</v>
      </c>
      <c r="AW52" s="185" t="s">
        <v>3</v>
      </c>
      <c r="AX52" s="185" t="s">
        <v>2</v>
      </c>
      <c r="AY52" s="185" t="s">
        <v>2</v>
      </c>
      <c r="AZ52" s="185" t="s">
        <v>3</v>
      </c>
      <c r="BA52" s="185" t="s">
        <v>2</v>
      </c>
      <c r="BB52" s="185" t="s">
        <v>2</v>
      </c>
      <c r="BC52" s="185" t="s">
        <v>1093</v>
      </c>
      <c r="BD52" s="185" t="s">
        <v>1</v>
      </c>
      <c r="BE52" s="185" t="s">
        <v>1</v>
      </c>
      <c r="BF52" s="185" t="s">
        <v>2</v>
      </c>
      <c r="BG52" s="185" t="s">
        <v>2</v>
      </c>
      <c r="BH52" s="185" t="s">
        <v>2</v>
      </c>
      <c r="BI52" s="185" t="s">
        <v>2</v>
      </c>
      <c r="BJ52" s="185" t="s">
        <v>2</v>
      </c>
      <c r="BK52" s="185" t="s">
        <v>2</v>
      </c>
      <c r="BL52" s="185" t="s">
        <v>3</v>
      </c>
      <c r="BM52" s="185" t="s">
        <v>2</v>
      </c>
      <c r="BN52" s="185" t="s">
        <v>2</v>
      </c>
      <c r="BO52" s="185" t="s">
        <v>2</v>
      </c>
      <c r="BP52" s="185" t="s">
        <v>1</v>
      </c>
      <c r="BQ52" s="185" t="s">
        <v>2</v>
      </c>
      <c r="BR52" s="185" t="s">
        <v>2</v>
      </c>
      <c r="BS52" s="185" t="s">
        <v>3</v>
      </c>
      <c r="BT52" s="185" t="s">
        <v>2</v>
      </c>
      <c r="BU52" s="185" t="s">
        <v>2</v>
      </c>
      <c r="BV52" s="185" t="s">
        <v>2</v>
      </c>
      <c r="BW52" s="185" t="s">
        <v>1</v>
      </c>
      <c r="BX52" s="185" t="s">
        <v>2</v>
      </c>
      <c r="BY52" s="185" t="s">
        <v>2</v>
      </c>
      <c r="BZ52" s="185" t="s">
        <v>1093</v>
      </c>
      <c r="CA52" s="185" t="s">
        <v>3</v>
      </c>
      <c r="CB52" s="185" t="s">
        <v>2</v>
      </c>
      <c r="CC52" s="185" t="s">
        <v>3</v>
      </c>
      <c r="CD52" s="185" t="s">
        <v>3</v>
      </c>
      <c r="CE52" s="185" t="s">
        <v>1092</v>
      </c>
      <c r="CF52" s="185" t="s">
        <v>1</v>
      </c>
      <c r="CG52" s="185" t="s">
        <v>1093</v>
      </c>
      <c r="CH52" s="185" t="s">
        <v>2</v>
      </c>
      <c r="CI52" s="185" t="s">
        <v>1093</v>
      </c>
      <c r="CJ52" s="185" t="s">
        <v>2</v>
      </c>
      <c r="CK52" s="185" t="s">
        <v>1</v>
      </c>
      <c r="CL52" s="185" t="s">
        <v>1</v>
      </c>
      <c r="CM52" s="185" t="s">
        <v>1093</v>
      </c>
      <c r="CN52" s="185" t="s">
        <v>1093</v>
      </c>
      <c r="CO52" s="185" t="s">
        <v>1</v>
      </c>
      <c r="CP52" s="185" t="s">
        <v>1</v>
      </c>
      <c r="CQ52" s="185" t="s">
        <v>1</v>
      </c>
      <c r="CR52" s="185" t="s">
        <v>1</v>
      </c>
      <c r="CS52" s="185" t="s">
        <v>2</v>
      </c>
      <c r="CT52" s="185" t="s">
        <v>2</v>
      </c>
      <c r="CU52" s="185" t="s">
        <v>3</v>
      </c>
      <c r="CV52" s="185" t="s">
        <v>2</v>
      </c>
      <c r="CW52" s="185" t="s">
        <v>3</v>
      </c>
      <c r="CX52" s="185" t="s">
        <v>2294</v>
      </c>
      <c r="CY52" s="185">
        <v>20141372084</v>
      </c>
    </row>
    <row r="53" spans="1:103" ht="12.75" x14ac:dyDescent="0.2">
      <c r="A53" s="184">
        <v>42873.901145532407</v>
      </c>
      <c r="B53" s="185" t="s">
        <v>2295</v>
      </c>
      <c r="C53" s="185" t="s">
        <v>2271</v>
      </c>
      <c r="D53" s="185">
        <v>7</v>
      </c>
      <c r="E53" s="185" t="s">
        <v>3</v>
      </c>
      <c r="F53" s="185" t="s">
        <v>1</v>
      </c>
      <c r="G53" s="185" t="s">
        <v>1</v>
      </c>
      <c r="H53" s="185" t="s">
        <v>3</v>
      </c>
      <c r="I53" s="185" t="s">
        <v>2</v>
      </c>
      <c r="J53" s="185" t="s">
        <v>2</v>
      </c>
      <c r="K53" s="185" t="s">
        <v>3</v>
      </c>
      <c r="L53" s="185" t="s">
        <v>1093</v>
      </c>
      <c r="M53" s="185" t="s">
        <v>1</v>
      </c>
      <c r="N53" s="185" t="s">
        <v>1093</v>
      </c>
      <c r="O53" s="185" t="s">
        <v>3</v>
      </c>
      <c r="P53" s="185" t="s">
        <v>1093</v>
      </c>
      <c r="Q53" s="185" t="s">
        <v>1093</v>
      </c>
      <c r="R53" s="185" t="s">
        <v>1093</v>
      </c>
      <c r="S53" s="185" t="s">
        <v>1093</v>
      </c>
      <c r="T53" s="185" t="s">
        <v>1093</v>
      </c>
      <c r="U53" s="185" t="s">
        <v>1093</v>
      </c>
      <c r="V53" s="185" t="s">
        <v>3</v>
      </c>
      <c r="W53" s="185" t="s">
        <v>1093</v>
      </c>
      <c r="X53" s="185" t="s">
        <v>1093</v>
      </c>
      <c r="Y53" s="185" t="s">
        <v>1093</v>
      </c>
      <c r="Z53" s="185" t="s">
        <v>1093</v>
      </c>
      <c r="AA53" s="185" t="s">
        <v>2</v>
      </c>
      <c r="AB53" s="185" t="s">
        <v>2</v>
      </c>
      <c r="AC53" s="185" t="s">
        <v>1</v>
      </c>
      <c r="AD53" s="185" t="s">
        <v>1</v>
      </c>
      <c r="AE53" s="185" t="s">
        <v>2</v>
      </c>
      <c r="AF53" s="185" t="s">
        <v>1093</v>
      </c>
      <c r="AG53" s="185" t="s">
        <v>1093</v>
      </c>
      <c r="AH53" s="185" t="s">
        <v>2</v>
      </c>
      <c r="AI53" s="185" t="s">
        <v>1</v>
      </c>
      <c r="AJ53" s="185" t="s">
        <v>1093</v>
      </c>
      <c r="AK53" s="185" t="s">
        <v>1093</v>
      </c>
      <c r="AL53" s="185" t="s">
        <v>1093</v>
      </c>
      <c r="AM53" s="185" t="s">
        <v>1093</v>
      </c>
      <c r="AN53" s="185" t="s">
        <v>1093</v>
      </c>
      <c r="AO53" s="185" t="s">
        <v>1093</v>
      </c>
      <c r="AP53" s="185" t="s">
        <v>2</v>
      </c>
      <c r="AQ53" s="185" t="s">
        <v>3</v>
      </c>
      <c r="AR53" s="185" t="s">
        <v>3</v>
      </c>
      <c r="AS53" s="185" t="s">
        <v>1092</v>
      </c>
      <c r="AT53" s="185" t="s">
        <v>3</v>
      </c>
      <c r="AU53" s="185" t="s">
        <v>3</v>
      </c>
      <c r="AV53" s="185" t="s">
        <v>1093</v>
      </c>
      <c r="AW53" s="185" t="s">
        <v>1093</v>
      </c>
      <c r="AX53" s="185" t="s">
        <v>2</v>
      </c>
      <c r="AY53" s="185" t="s">
        <v>1093</v>
      </c>
      <c r="AZ53" s="185" t="s">
        <v>2</v>
      </c>
      <c r="BA53" s="185" t="s">
        <v>2</v>
      </c>
      <c r="BB53" s="185" t="s">
        <v>3</v>
      </c>
      <c r="BC53" s="185" t="s">
        <v>1093</v>
      </c>
      <c r="BD53" s="185" t="s">
        <v>1093</v>
      </c>
      <c r="BE53" s="185" t="s">
        <v>1093</v>
      </c>
      <c r="BF53" s="185" t="s">
        <v>1093</v>
      </c>
      <c r="BG53" s="185" t="s">
        <v>1093</v>
      </c>
      <c r="BH53" s="185" t="s">
        <v>1093</v>
      </c>
      <c r="BI53" s="185" t="s">
        <v>1093</v>
      </c>
      <c r="BJ53" s="185" t="s">
        <v>1093</v>
      </c>
      <c r="BK53" s="185" t="s">
        <v>1093</v>
      </c>
      <c r="BL53" s="185" t="s">
        <v>1093</v>
      </c>
      <c r="BM53" s="185" t="s">
        <v>1093</v>
      </c>
      <c r="BN53" s="185" t="s">
        <v>1093</v>
      </c>
      <c r="BO53" s="185" t="s">
        <v>1093</v>
      </c>
      <c r="BP53" s="185" t="s">
        <v>1093</v>
      </c>
      <c r="BQ53" s="185" t="s">
        <v>1093</v>
      </c>
      <c r="BR53" s="185" t="s">
        <v>1093</v>
      </c>
      <c r="BS53" s="185" t="s">
        <v>1093</v>
      </c>
      <c r="BT53" s="185" t="s">
        <v>1093</v>
      </c>
      <c r="BU53" s="185" t="s">
        <v>1093</v>
      </c>
      <c r="BV53" s="185" t="s">
        <v>1093</v>
      </c>
      <c r="BW53" s="185" t="s">
        <v>1093</v>
      </c>
      <c r="BX53" s="185" t="s">
        <v>1093</v>
      </c>
      <c r="BY53" s="185" t="s">
        <v>1093</v>
      </c>
      <c r="BZ53" s="185" t="s">
        <v>1093</v>
      </c>
      <c r="CA53" s="185" t="s">
        <v>1093</v>
      </c>
      <c r="CB53" s="185" t="s">
        <v>1093</v>
      </c>
      <c r="CC53" s="185" t="s">
        <v>1093</v>
      </c>
      <c r="CD53" s="185" t="s">
        <v>1093</v>
      </c>
      <c r="CE53" s="185" t="s">
        <v>1</v>
      </c>
      <c r="CF53" s="185" t="s">
        <v>1093</v>
      </c>
      <c r="CG53" s="185" t="s">
        <v>1093</v>
      </c>
      <c r="CH53" s="185" t="s">
        <v>1093</v>
      </c>
      <c r="CI53" s="185" t="s">
        <v>1093</v>
      </c>
      <c r="CJ53" s="185" t="s">
        <v>1093</v>
      </c>
      <c r="CK53" s="185" t="s">
        <v>1093</v>
      </c>
      <c r="CL53" s="185" t="s">
        <v>2</v>
      </c>
      <c r="CM53" s="185" t="s">
        <v>2</v>
      </c>
      <c r="CN53" s="185" t="s">
        <v>1</v>
      </c>
      <c r="CO53" s="185" t="s">
        <v>1093</v>
      </c>
      <c r="CP53" s="185" t="s">
        <v>1093</v>
      </c>
      <c r="CQ53" s="185" t="s">
        <v>1093</v>
      </c>
      <c r="CR53" s="185" t="s">
        <v>1093</v>
      </c>
      <c r="CS53" s="185" t="s">
        <v>1093</v>
      </c>
      <c r="CT53" s="185" t="s">
        <v>1093</v>
      </c>
      <c r="CU53" s="185" t="s">
        <v>2</v>
      </c>
      <c r="CV53" s="185" t="s">
        <v>1</v>
      </c>
      <c r="CW53" s="185" t="s">
        <v>1093</v>
      </c>
      <c r="CX53" s="185" t="s">
        <v>2296</v>
      </c>
      <c r="CY53" s="185">
        <v>20112372078</v>
      </c>
    </row>
    <row r="54" spans="1:103" ht="12.75" x14ac:dyDescent="0.2">
      <c r="A54" s="184">
        <v>42873.920911435183</v>
      </c>
      <c r="B54" s="185" t="s">
        <v>2297</v>
      </c>
      <c r="C54" s="185" t="s">
        <v>2271</v>
      </c>
      <c r="D54" s="185">
        <v>7</v>
      </c>
      <c r="E54" s="185" t="s">
        <v>5</v>
      </c>
      <c r="F54" s="185" t="s">
        <v>1092</v>
      </c>
      <c r="G54" s="185" t="s">
        <v>1092</v>
      </c>
      <c r="H54" s="185" t="s">
        <v>1093</v>
      </c>
      <c r="I54" s="185" t="s">
        <v>1093</v>
      </c>
      <c r="J54" s="185" t="s">
        <v>1093</v>
      </c>
      <c r="K54" s="185" t="s">
        <v>1093</v>
      </c>
      <c r="L54" s="185" t="s">
        <v>5</v>
      </c>
      <c r="M54" s="185" t="s">
        <v>5</v>
      </c>
      <c r="N54" s="185" t="s">
        <v>5</v>
      </c>
      <c r="O54" s="185" t="s">
        <v>1093</v>
      </c>
      <c r="P54" s="185" t="s">
        <v>1093</v>
      </c>
      <c r="Q54" s="185" t="s">
        <v>1093</v>
      </c>
      <c r="R54" s="185" t="s">
        <v>1093</v>
      </c>
      <c r="S54" s="185" t="s">
        <v>1093</v>
      </c>
      <c r="T54" s="185" t="s">
        <v>1093</v>
      </c>
      <c r="U54" s="185" t="s">
        <v>1093</v>
      </c>
      <c r="V54" s="185" t="s">
        <v>2</v>
      </c>
      <c r="W54" s="185" t="s">
        <v>1093</v>
      </c>
      <c r="X54" s="185" t="s">
        <v>2</v>
      </c>
      <c r="Y54" s="185" t="s">
        <v>2</v>
      </c>
      <c r="Z54" s="185" t="s">
        <v>2</v>
      </c>
      <c r="AA54" s="185" t="s">
        <v>2</v>
      </c>
      <c r="AB54" s="185" t="s">
        <v>1093</v>
      </c>
      <c r="AC54" s="185" t="s">
        <v>1093</v>
      </c>
      <c r="AD54" s="185" t="s">
        <v>1093</v>
      </c>
      <c r="AE54" s="185" t="s">
        <v>1093</v>
      </c>
      <c r="AF54" s="185" t="s">
        <v>2</v>
      </c>
      <c r="AG54" s="185" t="s">
        <v>1093</v>
      </c>
      <c r="AH54" s="185" t="s">
        <v>1093</v>
      </c>
      <c r="AI54" s="185" t="s">
        <v>1093</v>
      </c>
      <c r="AJ54" s="185" t="s">
        <v>1093</v>
      </c>
      <c r="AK54" s="185" t="s">
        <v>2</v>
      </c>
      <c r="AL54" s="185" t="s">
        <v>1093</v>
      </c>
      <c r="AM54" s="185" t="s">
        <v>1093</v>
      </c>
      <c r="AN54" s="185" t="s">
        <v>1093</v>
      </c>
      <c r="AO54" s="185" t="s">
        <v>1093</v>
      </c>
      <c r="AP54" s="185" t="s">
        <v>3</v>
      </c>
      <c r="AQ54" s="185" t="s">
        <v>3</v>
      </c>
      <c r="AR54" s="185" t="s">
        <v>1092</v>
      </c>
      <c r="AS54" s="185" t="s">
        <v>1092</v>
      </c>
      <c r="AT54" s="185" t="s">
        <v>1092</v>
      </c>
      <c r="AU54" s="185" t="s">
        <v>1092</v>
      </c>
      <c r="AV54" s="185" t="s">
        <v>1093</v>
      </c>
      <c r="AW54" s="185" t="s">
        <v>1093</v>
      </c>
      <c r="AX54" s="185" t="s">
        <v>1093</v>
      </c>
      <c r="AY54" s="185" t="s">
        <v>1093</v>
      </c>
      <c r="AZ54" s="185" t="s">
        <v>1093</v>
      </c>
      <c r="BA54" s="185" t="s">
        <v>1093</v>
      </c>
      <c r="BB54" s="185" t="s">
        <v>2</v>
      </c>
      <c r="BC54" s="185" t="s">
        <v>1093</v>
      </c>
      <c r="BD54" s="185" t="s">
        <v>1093</v>
      </c>
      <c r="BE54" s="185" t="s">
        <v>1093</v>
      </c>
      <c r="BF54" s="185" t="s">
        <v>1093</v>
      </c>
      <c r="BG54" s="185" t="s">
        <v>1093</v>
      </c>
      <c r="BH54" s="185" t="s">
        <v>1093</v>
      </c>
      <c r="BI54" s="185" t="s">
        <v>1093</v>
      </c>
      <c r="BJ54" s="185" t="s">
        <v>1093</v>
      </c>
      <c r="BK54" s="185" t="s">
        <v>1093</v>
      </c>
      <c r="BL54" s="185" t="s">
        <v>2</v>
      </c>
      <c r="BM54" s="185" t="s">
        <v>1</v>
      </c>
      <c r="BN54" s="185" t="s">
        <v>1093</v>
      </c>
      <c r="BO54" s="185" t="s">
        <v>1093</v>
      </c>
      <c r="BP54" s="185" t="s">
        <v>1093</v>
      </c>
      <c r="BQ54" s="185" t="s">
        <v>1093</v>
      </c>
      <c r="BR54" s="185" t="s">
        <v>1093</v>
      </c>
      <c r="BS54" s="185" t="s">
        <v>1093</v>
      </c>
      <c r="BT54" s="185" t="s">
        <v>1093</v>
      </c>
      <c r="BU54" s="185" t="s">
        <v>1093</v>
      </c>
      <c r="BV54" s="185" t="s">
        <v>1093</v>
      </c>
      <c r="BW54" s="185" t="s">
        <v>1093</v>
      </c>
      <c r="BX54" s="185" t="s">
        <v>1093</v>
      </c>
      <c r="BY54" s="185" t="s">
        <v>1093</v>
      </c>
      <c r="BZ54" s="185" t="s">
        <v>1093</v>
      </c>
      <c r="CA54" s="185" t="s">
        <v>1093</v>
      </c>
      <c r="CB54" s="185" t="s">
        <v>1093</v>
      </c>
      <c r="CC54" s="185" t="s">
        <v>1093</v>
      </c>
      <c r="CD54" s="185" t="s">
        <v>1093</v>
      </c>
      <c r="CE54" s="185" t="s">
        <v>2</v>
      </c>
      <c r="CF54" s="185" t="s">
        <v>1093</v>
      </c>
      <c r="CG54" s="185" t="s">
        <v>1093</v>
      </c>
      <c r="CH54" s="185" t="s">
        <v>1093</v>
      </c>
      <c r="CI54" s="185" t="s">
        <v>1093</v>
      </c>
      <c r="CJ54" s="185" t="s">
        <v>1093</v>
      </c>
      <c r="CK54" s="185" t="s">
        <v>1093</v>
      </c>
      <c r="CL54" s="185" t="s">
        <v>1093</v>
      </c>
      <c r="CM54" s="185" t="s">
        <v>1093</v>
      </c>
      <c r="CN54" s="185" t="s">
        <v>1093</v>
      </c>
      <c r="CO54" s="185" t="s">
        <v>1093</v>
      </c>
      <c r="CP54" s="185" t="s">
        <v>1093</v>
      </c>
      <c r="CQ54" s="185" t="s">
        <v>1093</v>
      </c>
      <c r="CR54" s="185" t="s">
        <v>1093</v>
      </c>
      <c r="CS54" s="185" t="s">
        <v>1093</v>
      </c>
      <c r="CT54" s="185" t="s">
        <v>2</v>
      </c>
      <c r="CU54" s="185" t="s">
        <v>1093</v>
      </c>
      <c r="CV54" s="185" t="s">
        <v>1093</v>
      </c>
      <c r="CW54" s="185" t="s">
        <v>1093</v>
      </c>
      <c r="CX54" s="185" t="s">
        <v>2298</v>
      </c>
      <c r="CY54" s="185">
        <v>20122372056</v>
      </c>
    </row>
    <row r="55" spans="1:103" ht="12.75" x14ac:dyDescent="0.2">
      <c r="A55" s="184">
        <v>42873.938781759258</v>
      </c>
      <c r="B55" s="185" t="s">
        <v>2299</v>
      </c>
      <c r="C55" s="185" t="s">
        <v>2235</v>
      </c>
      <c r="D55" s="185">
        <v>1</v>
      </c>
      <c r="E55" s="185" t="s">
        <v>3</v>
      </c>
      <c r="F55" s="185" t="s">
        <v>1092</v>
      </c>
      <c r="G55" s="185" t="s">
        <v>1092</v>
      </c>
      <c r="H55" s="185" t="s">
        <v>1092</v>
      </c>
      <c r="I55" s="185" t="s">
        <v>1093</v>
      </c>
      <c r="J55" s="185" t="s">
        <v>1093</v>
      </c>
      <c r="K55" s="185" t="s">
        <v>2</v>
      </c>
      <c r="L55" s="185" t="s">
        <v>2</v>
      </c>
      <c r="M55" s="185" t="s">
        <v>2</v>
      </c>
      <c r="N55" s="185" t="s">
        <v>3</v>
      </c>
      <c r="O55" s="185" t="s">
        <v>3</v>
      </c>
      <c r="P55" s="185" t="s">
        <v>1</v>
      </c>
      <c r="Q55" s="185" t="s">
        <v>2</v>
      </c>
      <c r="R55" s="185" t="s">
        <v>3</v>
      </c>
      <c r="S55" s="185" t="s">
        <v>2</v>
      </c>
      <c r="T55" s="185" t="s">
        <v>1</v>
      </c>
      <c r="U55" s="185" t="s">
        <v>2</v>
      </c>
      <c r="V55" s="185" t="s">
        <v>3</v>
      </c>
      <c r="W55" s="185" t="s">
        <v>5</v>
      </c>
      <c r="X55" s="185" t="s">
        <v>3</v>
      </c>
      <c r="Y55" s="185" t="s">
        <v>3</v>
      </c>
      <c r="Z55" s="185" t="s">
        <v>3</v>
      </c>
      <c r="AA55" s="185" t="s">
        <v>3</v>
      </c>
      <c r="AB55" s="185" t="s">
        <v>5</v>
      </c>
      <c r="AC55" s="185" t="s">
        <v>2</v>
      </c>
      <c r="AD55" s="185" t="s">
        <v>3</v>
      </c>
      <c r="AE55" s="185" t="s">
        <v>5</v>
      </c>
      <c r="AF55" s="185" t="s">
        <v>2</v>
      </c>
      <c r="AG55" s="185" t="s">
        <v>1</v>
      </c>
      <c r="AH55" s="185" t="s">
        <v>5</v>
      </c>
      <c r="AI55" s="185" t="s">
        <v>5</v>
      </c>
      <c r="AJ55" s="185" t="s">
        <v>2</v>
      </c>
      <c r="AK55" s="185" t="s">
        <v>3</v>
      </c>
      <c r="AL55" s="185" t="s">
        <v>1</v>
      </c>
      <c r="AM55" s="185" t="s">
        <v>3</v>
      </c>
      <c r="AN55" s="185" t="s">
        <v>3</v>
      </c>
      <c r="AO55" s="185" t="s">
        <v>3</v>
      </c>
      <c r="AP55" s="185" t="s">
        <v>1092</v>
      </c>
      <c r="AQ55" s="185" t="s">
        <v>1092</v>
      </c>
      <c r="AR55" s="185" t="s">
        <v>2</v>
      </c>
      <c r="AS55" s="185" t="s">
        <v>1092</v>
      </c>
      <c r="AT55" s="185" t="s">
        <v>1092</v>
      </c>
      <c r="AU55" s="185" t="s">
        <v>1</v>
      </c>
      <c r="AV55" s="185" t="s">
        <v>3</v>
      </c>
      <c r="AW55" s="185" t="s">
        <v>5</v>
      </c>
      <c r="AX55" s="185" t="s">
        <v>3</v>
      </c>
      <c r="AY55" s="185" t="s">
        <v>3</v>
      </c>
      <c r="AZ55" s="185" t="s">
        <v>1092</v>
      </c>
      <c r="BA55" s="185" t="s">
        <v>1093</v>
      </c>
      <c r="BB55" s="185" t="s">
        <v>1</v>
      </c>
      <c r="BC55" s="185" t="s">
        <v>1</v>
      </c>
      <c r="BD55" s="185" t="s">
        <v>1093</v>
      </c>
      <c r="BE55" s="185" t="s">
        <v>1092</v>
      </c>
      <c r="BF55" s="185" t="s">
        <v>5</v>
      </c>
      <c r="BG55" s="185" t="s">
        <v>2</v>
      </c>
      <c r="BH55" s="185" t="s">
        <v>2</v>
      </c>
      <c r="BI55" s="185" t="s">
        <v>2</v>
      </c>
      <c r="BJ55" s="185" t="s">
        <v>3</v>
      </c>
      <c r="BK55" s="185" t="s">
        <v>3</v>
      </c>
      <c r="BL55" s="185" t="s">
        <v>1092</v>
      </c>
      <c r="BM55" s="185" t="s">
        <v>3</v>
      </c>
      <c r="BN55" s="185" t="s">
        <v>3</v>
      </c>
      <c r="BO55" s="185" t="s">
        <v>2</v>
      </c>
      <c r="BP55" s="185" t="s">
        <v>2</v>
      </c>
      <c r="BQ55" s="185" t="s">
        <v>2</v>
      </c>
      <c r="BR55" s="185" t="s">
        <v>3</v>
      </c>
      <c r="BS55" s="185" t="s">
        <v>3</v>
      </c>
      <c r="BT55" s="185" t="s">
        <v>2</v>
      </c>
      <c r="BU55" s="185" t="s">
        <v>3</v>
      </c>
      <c r="BV55" s="185" t="s">
        <v>3</v>
      </c>
      <c r="BW55" s="185" t="s">
        <v>2</v>
      </c>
      <c r="BX55" s="185" t="s">
        <v>2</v>
      </c>
      <c r="BY55" s="185" t="s">
        <v>2</v>
      </c>
      <c r="BZ55" s="185" t="s">
        <v>1093</v>
      </c>
      <c r="CA55" s="185" t="s">
        <v>2</v>
      </c>
      <c r="CB55" s="185" t="s">
        <v>2</v>
      </c>
      <c r="CC55" s="185" t="s">
        <v>2</v>
      </c>
      <c r="CD55" s="185" t="s">
        <v>2</v>
      </c>
      <c r="CE55" s="185" t="s">
        <v>3</v>
      </c>
      <c r="CF55" s="185" t="s">
        <v>3</v>
      </c>
      <c r="CG55" s="185" t="s">
        <v>3</v>
      </c>
      <c r="CH55" s="185" t="s">
        <v>3</v>
      </c>
      <c r="CI55" s="185" t="s">
        <v>2</v>
      </c>
      <c r="CJ55" s="185" t="s">
        <v>2</v>
      </c>
      <c r="CK55" s="185" t="s">
        <v>2</v>
      </c>
      <c r="CL55" s="185" t="s">
        <v>2</v>
      </c>
      <c r="CM55" s="185" t="s">
        <v>5</v>
      </c>
      <c r="CN55" s="185" t="s">
        <v>1093</v>
      </c>
      <c r="CO55" s="185" t="s">
        <v>3</v>
      </c>
      <c r="CP55" s="185" t="s">
        <v>3</v>
      </c>
      <c r="CQ55" s="185" t="s">
        <v>3</v>
      </c>
      <c r="CR55" s="185" t="s">
        <v>2</v>
      </c>
      <c r="CS55" s="185" t="s">
        <v>2</v>
      </c>
      <c r="CT55" s="185" t="s">
        <v>2</v>
      </c>
      <c r="CU55" s="185" t="s">
        <v>3</v>
      </c>
      <c r="CV55" s="185" t="s">
        <v>3</v>
      </c>
      <c r="CW55" s="185" t="s">
        <v>3</v>
      </c>
      <c r="CX55" s="186"/>
      <c r="CY55" s="185">
        <v>20171572059</v>
      </c>
    </row>
    <row r="56" spans="1:103" ht="12.75" x14ac:dyDescent="0.2">
      <c r="A56" s="184">
        <v>42874.303915625002</v>
      </c>
      <c r="B56" s="185" t="s">
        <v>2300</v>
      </c>
      <c r="C56" s="185" t="s">
        <v>2235</v>
      </c>
      <c r="D56" s="185">
        <v>10</v>
      </c>
      <c r="E56" s="185" t="s">
        <v>2</v>
      </c>
      <c r="F56" s="185" t="s">
        <v>1092</v>
      </c>
      <c r="G56" s="185" t="s">
        <v>1092</v>
      </c>
      <c r="H56" s="185" t="s">
        <v>1092</v>
      </c>
      <c r="I56" s="185" t="s">
        <v>1093</v>
      </c>
      <c r="J56" s="185" t="s">
        <v>2</v>
      </c>
      <c r="K56" s="185" t="s">
        <v>3</v>
      </c>
      <c r="L56" s="185" t="s">
        <v>3</v>
      </c>
      <c r="M56" s="185" t="s">
        <v>3</v>
      </c>
      <c r="N56" s="185" t="s">
        <v>3</v>
      </c>
      <c r="O56" s="185" t="s">
        <v>1093</v>
      </c>
      <c r="P56" s="185" t="s">
        <v>1093</v>
      </c>
      <c r="Q56" s="185" t="s">
        <v>2</v>
      </c>
      <c r="R56" s="185" t="s">
        <v>2</v>
      </c>
      <c r="S56" s="185" t="s">
        <v>3</v>
      </c>
      <c r="T56" s="185" t="s">
        <v>2</v>
      </c>
      <c r="U56" s="185" t="s">
        <v>3</v>
      </c>
      <c r="V56" s="185" t="s">
        <v>3</v>
      </c>
      <c r="W56" s="185" t="s">
        <v>3</v>
      </c>
      <c r="X56" s="185" t="s">
        <v>3</v>
      </c>
      <c r="Y56" s="185" t="s">
        <v>2</v>
      </c>
      <c r="Z56" s="185" t="s">
        <v>3</v>
      </c>
      <c r="AA56" s="185" t="s">
        <v>3</v>
      </c>
      <c r="AB56" s="185" t="s">
        <v>3</v>
      </c>
      <c r="AC56" s="185" t="s">
        <v>1092</v>
      </c>
      <c r="AD56" s="185" t="s">
        <v>1092</v>
      </c>
      <c r="AE56" s="185" t="s">
        <v>3</v>
      </c>
      <c r="AF56" s="185" t="s">
        <v>1092</v>
      </c>
      <c r="AG56" s="185" t="s">
        <v>3</v>
      </c>
      <c r="AH56" s="185" t="s">
        <v>1092</v>
      </c>
      <c r="AI56" s="185" t="s">
        <v>1092</v>
      </c>
      <c r="AJ56" s="185" t="s">
        <v>2</v>
      </c>
      <c r="AK56" s="185" t="s">
        <v>1092</v>
      </c>
      <c r="AL56" s="185" t="s">
        <v>3</v>
      </c>
      <c r="AM56" s="185" t="s">
        <v>3</v>
      </c>
      <c r="AN56" s="185" t="s">
        <v>3</v>
      </c>
      <c r="AO56" s="185" t="s">
        <v>3</v>
      </c>
      <c r="AP56" s="185" t="s">
        <v>1092</v>
      </c>
      <c r="AQ56" s="185" t="s">
        <v>1092</v>
      </c>
      <c r="AR56" s="185" t="s">
        <v>3</v>
      </c>
      <c r="AS56" s="185" t="s">
        <v>1092</v>
      </c>
      <c r="AT56" s="185" t="s">
        <v>1092</v>
      </c>
      <c r="AU56" s="185" t="s">
        <v>1093</v>
      </c>
      <c r="AV56" s="185" t="s">
        <v>3</v>
      </c>
      <c r="AW56" s="185" t="s">
        <v>3</v>
      </c>
      <c r="AX56" s="185" t="s">
        <v>3</v>
      </c>
      <c r="AY56" s="185" t="s">
        <v>3</v>
      </c>
      <c r="AZ56" s="185" t="s">
        <v>1092</v>
      </c>
      <c r="BA56" s="185" t="s">
        <v>1093</v>
      </c>
      <c r="BB56" s="185" t="s">
        <v>1092</v>
      </c>
      <c r="BC56" s="185" t="s">
        <v>1092</v>
      </c>
      <c r="BD56" s="185" t="s">
        <v>1093</v>
      </c>
      <c r="BE56" s="185" t="s">
        <v>1092</v>
      </c>
      <c r="BF56" s="185" t="s">
        <v>2</v>
      </c>
      <c r="BG56" s="185" t="s">
        <v>2</v>
      </c>
      <c r="BH56" s="185" t="s">
        <v>3</v>
      </c>
      <c r="BI56" s="185" t="s">
        <v>3</v>
      </c>
      <c r="BJ56" s="185" t="s">
        <v>3</v>
      </c>
      <c r="BK56" s="185" t="s">
        <v>3</v>
      </c>
      <c r="BL56" s="185" t="s">
        <v>1092</v>
      </c>
      <c r="BM56" s="185" t="s">
        <v>2</v>
      </c>
      <c r="BN56" s="185" t="s">
        <v>2</v>
      </c>
      <c r="BO56" s="185" t="s">
        <v>2</v>
      </c>
      <c r="BP56" s="185" t="s">
        <v>3</v>
      </c>
      <c r="BQ56" s="185" t="s">
        <v>3</v>
      </c>
      <c r="BR56" s="185" t="s">
        <v>3</v>
      </c>
      <c r="BS56" s="185" t="s">
        <v>2</v>
      </c>
      <c r="BT56" s="185" t="s">
        <v>3</v>
      </c>
      <c r="BU56" s="185" t="s">
        <v>3</v>
      </c>
      <c r="BV56" s="185" t="s">
        <v>1092</v>
      </c>
      <c r="BW56" s="185" t="s">
        <v>3</v>
      </c>
      <c r="BX56" s="185" t="s">
        <v>3</v>
      </c>
      <c r="BY56" s="185" t="s">
        <v>3</v>
      </c>
      <c r="BZ56" s="185" t="s">
        <v>1093</v>
      </c>
      <c r="CA56" s="185" t="s">
        <v>3</v>
      </c>
      <c r="CB56" s="185" t="s">
        <v>1</v>
      </c>
      <c r="CC56" s="185" t="s">
        <v>2</v>
      </c>
      <c r="CD56" s="185" t="s">
        <v>2</v>
      </c>
      <c r="CE56" s="185" t="s">
        <v>1092</v>
      </c>
      <c r="CF56" s="185" t="s">
        <v>2</v>
      </c>
      <c r="CG56" s="185" t="s">
        <v>2</v>
      </c>
      <c r="CH56" s="185" t="s">
        <v>3</v>
      </c>
      <c r="CI56" s="185" t="s">
        <v>3</v>
      </c>
      <c r="CJ56" s="185" t="s">
        <v>3</v>
      </c>
      <c r="CK56" s="185" t="s">
        <v>3</v>
      </c>
      <c r="CL56" s="185" t="s">
        <v>3</v>
      </c>
      <c r="CM56" s="185" t="s">
        <v>3</v>
      </c>
      <c r="CN56" s="185" t="s">
        <v>3</v>
      </c>
      <c r="CO56" s="185" t="s">
        <v>3</v>
      </c>
      <c r="CP56" s="185" t="s">
        <v>3</v>
      </c>
      <c r="CQ56" s="185" t="s">
        <v>3</v>
      </c>
      <c r="CR56" s="185" t="s">
        <v>3</v>
      </c>
      <c r="CS56" s="185" t="s">
        <v>3</v>
      </c>
      <c r="CT56" s="185" t="s">
        <v>3</v>
      </c>
      <c r="CU56" s="185" t="s">
        <v>3</v>
      </c>
      <c r="CV56" s="185" t="s">
        <v>3</v>
      </c>
      <c r="CW56" s="185" t="s">
        <v>3</v>
      </c>
      <c r="CX56" s="186"/>
      <c r="CY56" s="185">
        <v>20062072024</v>
      </c>
    </row>
    <row r="57" spans="1:103" ht="12.75" x14ac:dyDescent="0.2">
      <c r="A57" s="184">
        <v>42874.704192870369</v>
      </c>
      <c r="B57" s="185" t="s">
        <v>2301</v>
      </c>
      <c r="C57" s="185" t="s">
        <v>2271</v>
      </c>
      <c r="D57" s="185">
        <v>8</v>
      </c>
      <c r="E57" s="185" t="s">
        <v>2</v>
      </c>
      <c r="F57" s="185" t="s">
        <v>1093</v>
      </c>
      <c r="G57" s="185" t="s">
        <v>1</v>
      </c>
      <c r="H57" s="185" t="s">
        <v>3</v>
      </c>
      <c r="I57" s="185" t="s">
        <v>2</v>
      </c>
      <c r="J57" s="185" t="s">
        <v>1093</v>
      </c>
      <c r="K57" s="185" t="s">
        <v>1092</v>
      </c>
      <c r="L57" s="185" t="s">
        <v>3</v>
      </c>
      <c r="M57" s="185" t="s">
        <v>1093</v>
      </c>
      <c r="N57" s="185" t="s">
        <v>1093</v>
      </c>
      <c r="O57" s="185" t="s">
        <v>1093</v>
      </c>
      <c r="P57" s="185" t="s">
        <v>1093</v>
      </c>
      <c r="Q57" s="185" t="s">
        <v>1093</v>
      </c>
      <c r="R57" s="185" t="s">
        <v>3</v>
      </c>
      <c r="S57" s="185" t="s">
        <v>1093</v>
      </c>
      <c r="T57" s="185" t="s">
        <v>1093</v>
      </c>
      <c r="U57" s="185" t="s">
        <v>1093</v>
      </c>
      <c r="V57" s="185" t="s">
        <v>1093</v>
      </c>
      <c r="W57" s="185" t="s">
        <v>1</v>
      </c>
      <c r="X57" s="185" t="s">
        <v>1093</v>
      </c>
      <c r="Y57" s="185" t="s">
        <v>1093</v>
      </c>
      <c r="Z57" s="185" t="s">
        <v>2</v>
      </c>
      <c r="AA57" s="185" t="s">
        <v>2</v>
      </c>
      <c r="AB57" s="185" t="s">
        <v>1093</v>
      </c>
      <c r="AC57" s="185" t="s">
        <v>1093</v>
      </c>
      <c r="AD57" s="185" t="s">
        <v>1093</v>
      </c>
      <c r="AE57" s="185" t="s">
        <v>1093</v>
      </c>
      <c r="AF57" s="185" t="s">
        <v>2</v>
      </c>
      <c r="AG57" s="185" t="s">
        <v>1092</v>
      </c>
      <c r="AH57" s="185" t="s">
        <v>2</v>
      </c>
      <c r="AI57" s="185" t="s">
        <v>1093</v>
      </c>
      <c r="AJ57" s="185" t="s">
        <v>1093</v>
      </c>
      <c r="AK57" s="185" t="s">
        <v>1093</v>
      </c>
      <c r="AL57" s="185" t="s">
        <v>2</v>
      </c>
      <c r="AM57" s="185" t="s">
        <v>1093</v>
      </c>
      <c r="AN57" s="185" t="s">
        <v>1093</v>
      </c>
      <c r="AO57" s="185" t="s">
        <v>1093</v>
      </c>
      <c r="AP57" s="185" t="s">
        <v>1092</v>
      </c>
      <c r="AQ57" s="185" t="s">
        <v>1092</v>
      </c>
      <c r="AR57" s="185" t="s">
        <v>1092</v>
      </c>
      <c r="AS57" s="185" t="s">
        <v>2</v>
      </c>
      <c r="AT57" s="185" t="s">
        <v>1092</v>
      </c>
      <c r="AU57" s="185" t="s">
        <v>1092</v>
      </c>
      <c r="AV57" s="185" t="s">
        <v>1093</v>
      </c>
      <c r="AW57" s="185" t="s">
        <v>2</v>
      </c>
      <c r="AX57" s="185" t="s">
        <v>1093</v>
      </c>
      <c r="AY57" s="185" t="s">
        <v>1093</v>
      </c>
      <c r="AZ57" s="185" t="s">
        <v>1092</v>
      </c>
      <c r="BA57" s="185" t="s">
        <v>1092</v>
      </c>
      <c r="BB57" s="185" t="s">
        <v>1093</v>
      </c>
      <c r="BC57" s="185" t="s">
        <v>1093</v>
      </c>
      <c r="BD57" s="185" t="s">
        <v>1093</v>
      </c>
      <c r="BE57" s="185" t="s">
        <v>1093</v>
      </c>
      <c r="BF57" s="185" t="s">
        <v>2</v>
      </c>
      <c r="BG57" s="185" t="s">
        <v>3</v>
      </c>
      <c r="BH57" s="185" t="s">
        <v>3</v>
      </c>
      <c r="BI57" s="185" t="s">
        <v>1093</v>
      </c>
      <c r="BJ57" s="185" t="s">
        <v>1093</v>
      </c>
      <c r="BK57" s="185" t="s">
        <v>2</v>
      </c>
      <c r="BL57" s="185" t="s">
        <v>2</v>
      </c>
      <c r="BM57" s="185" t="s">
        <v>2</v>
      </c>
      <c r="BN57" s="185" t="s">
        <v>1093</v>
      </c>
      <c r="BO57" s="185" t="s">
        <v>1093</v>
      </c>
      <c r="BP57" s="185" t="s">
        <v>1093</v>
      </c>
      <c r="BQ57" s="185" t="s">
        <v>1092</v>
      </c>
      <c r="BR57" s="185" t="s">
        <v>1092</v>
      </c>
      <c r="BS57" s="185" t="s">
        <v>1093</v>
      </c>
      <c r="BT57" s="185" t="s">
        <v>2</v>
      </c>
      <c r="BU57" s="185" t="s">
        <v>2</v>
      </c>
      <c r="BV57" s="185" t="s">
        <v>2</v>
      </c>
      <c r="BW57" s="185" t="s">
        <v>1093</v>
      </c>
      <c r="BX57" s="185" t="s">
        <v>1093</v>
      </c>
      <c r="BY57" s="185" t="s">
        <v>1093</v>
      </c>
      <c r="BZ57" s="185" t="s">
        <v>1092</v>
      </c>
      <c r="CA57" s="185" t="s">
        <v>2</v>
      </c>
      <c r="CB57" s="185" t="s">
        <v>1093</v>
      </c>
      <c r="CC57" s="185" t="s">
        <v>2</v>
      </c>
      <c r="CD57" s="185" t="s">
        <v>2</v>
      </c>
      <c r="CE57" s="185" t="s">
        <v>3</v>
      </c>
      <c r="CF57" s="185" t="s">
        <v>1093</v>
      </c>
      <c r="CG57" s="185" t="s">
        <v>1093</v>
      </c>
      <c r="CH57" s="185" t="s">
        <v>2</v>
      </c>
      <c r="CI57" s="185" t="s">
        <v>1093</v>
      </c>
      <c r="CJ57" s="185" t="s">
        <v>1093</v>
      </c>
      <c r="CK57" s="185" t="s">
        <v>1093</v>
      </c>
      <c r="CL57" s="185" t="s">
        <v>1093</v>
      </c>
      <c r="CM57" s="185" t="s">
        <v>1093</v>
      </c>
      <c r="CN57" s="185" t="s">
        <v>1093</v>
      </c>
      <c r="CO57" s="185" t="s">
        <v>1093</v>
      </c>
      <c r="CP57" s="185" t="s">
        <v>3</v>
      </c>
      <c r="CQ57" s="185" t="s">
        <v>3</v>
      </c>
      <c r="CR57" s="185" t="s">
        <v>2</v>
      </c>
      <c r="CS57" s="185" t="s">
        <v>1093</v>
      </c>
      <c r="CT57" s="185" t="s">
        <v>1093</v>
      </c>
      <c r="CU57" s="185" t="s">
        <v>2</v>
      </c>
      <c r="CV57" s="185" t="s">
        <v>2</v>
      </c>
      <c r="CW57" s="185" t="s">
        <v>2</v>
      </c>
      <c r="CX57" s="185" t="s">
        <v>2302</v>
      </c>
      <c r="CY57" s="185">
        <v>20141372105</v>
      </c>
    </row>
    <row r="58" spans="1:103" ht="12.75" x14ac:dyDescent="0.2">
      <c r="A58" s="184">
        <v>42875.605240393517</v>
      </c>
      <c r="B58" s="185" t="s">
        <v>2303</v>
      </c>
      <c r="C58" s="185" t="s">
        <v>2237</v>
      </c>
      <c r="D58" s="185">
        <v>2</v>
      </c>
      <c r="E58" s="185" t="s">
        <v>2</v>
      </c>
      <c r="F58" s="185" t="s">
        <v>1092</v>
      </c>
      <c r="G58" s="185" t="s">
        <v>3</v>
      </c>
      <c r="H58" s="185" t="s">
        <v>1092</v>
      </c>
      <c r="I58" s="185" t="s">
        <v>1093</v>
      </c>
      <c r="J58" s="185" t="s">
        <v>1093</v>
      </c>
      <c r="K58" s="185" t="s">
        <v>1092</v>
      </c>
      <c r="L58" s="185" t="s">
        <v>3</v>
      </c>
      <c r="M58" s="185" t="s">
        <v>1</v>
      </c>
      <c r="N58" s="185" t="s">
        <v>2</v>
      </c>
      <c r="O58" s="185" t="s">
        <v>1093</v>
      </c>
      <c r="P58" s="185" t="s">
        <v>1093</v>
      </c>
      <c r="Q58" s="185" t="s">
        <v>3</v>
      </c>
      <c r="R58" s="185" t="s">
        <v>2</v>
      </c>
      <c r="S58" s="185" t="s">
        <v>1</v>
      </c>
      <c r="T58" s="185" t="s">
        <v>1093</v>
      </c>
      <c r="U58" s="185" t="s">
        <v>1</v>
      </c>
      <c r="V58" s="185" t="s">
        <v>3</v>
      </c>
      <c r="W58" s="185" t="s">
        <v>3</v>
      </c>
      <c r="X58" s="185" t="s">
        <v>2</v>
      </c>
      <c r="Y58" s="185" t="s">
        <v>3</v>
      </c>
      <c r="Z58" s="185" t="s">
        <v>1</v>
      </c>
      <c r="AA58" s="185" t="s">
        <v>1093</v>
      </c>
      <c r="AB58" s="185" t="s">
        <v>3</v>
      </c>
      <c r="AC58" s="185" t="s">
        <v>2</v>
      </c>
      <c r="AD58" s="185" t="s">
        <v>2</v>
      </c>
      <c r="AE58" s="185" t="s">
        <v>5</v>
      </c>
      <c r="AF58" s="185" t="s">
        <v>1092</v>
      </c>
      <c r="AG58" s="185" t="s">
        <v>1</v>
      </c>
      <c r="AH58" s="185" t="s">
        <v>1092</v>
      </c>
      <c r="AI58" s="185" t="s">
        <v>2</v>
      </c>
      <c r="AJ58" s="185" t="s">
        <v>1</v>
      </c>
      <c r="AK58" s="185" t="s">
        <v>3</v>
      </c>
      <c r="AL58" s="185" t="s">
        <v>1</v>
      </c>
      <c r="AM58" s="185" t="s">
        <v>1</v>
      </c>
      <c r="AN58" s="185" t="s">
        <v>3</v>
      </c>
      <c r="AO58" s="185" t="s">
        <v>2</v>
      </c>
      <c r="AP58" s="185" t="s">
        <v>1092</v>
      </c>
      <c r="AQ58" s="185" t="s">
        <v>1092</v>
      </c>
      <c r="AR58" s="185" t="s">
        <v>3</v>
      </c>
      <c r="AS58" s="185" t="s">
        <v>1092</v>
      </c>
      <c r="AT58" s="185" t="s">
        <v>1092</v>
      </c>
      <c r="AU58" s="185" t="s">
        <v>1</v>
      </c>
      <c r="AV58" s="185" t="s">
        <v>3</v>
      </c>
      <c r="AW58" s="185" t="s">
        <v>3</v>
      </c>
      <c r="AX58" s="185" t="s">
        <v>2</v>
      </c>
      <c r="AY58" s="185" t="s">
        <v>2</v>
      </c>
      <c r="AZ58" s="185" t="s">
        <v>3</v>
      </c>
      <c r="BA58" s="185" t="s">
        <v>1093</v>
      </c>
      <c r="BB58" s="185" t="s">
        <v>2</v>
      </c>
      <c r="BC58" s="185" t="s">
        <v>1093</v>
      </c>
      <c r="BD58" s="185" t="s">
        <v>1093</v>
      </c>
      <c r="BE58" s="185" t="s">
        <v>1092</v>
      </c>
      <c r="BF58" s="185" t="s">
        <v>1093</v>
      </c>
      <c r="BG58" s="185" t="s">
        <v>2</v>
      </c>
      <c r="BH58" s="185" t="s">
        <v>2</v>
      </c>
      <c r="BI58" s="185" t="s">
        <v>2</v>
      </c>
      <c r="BJ58" s="185" t="s">
        <v>3</v>
      </c>
      <c r="BK58" s="185" t="s">
        <v>1092</v>
      </c>
      <c r="BL58" s="185" t="s">
        <v>3</v>
      </c>
      <c r="BM58" s="185" t="s">
        <v>2</v>
      </c>
      <c r="BN58" s="185" t="s">
        <v>2</v>
      </c>
      <c r="BO58" s="185" t="s">
        <v>3</v>
      </c>
      <c r="BP58" s="185" t="s">
        <v>3</v>
      </c>
      <c r="BQ58" s="185" t="s">
        <v>3</v>
      </c>
      <c r="BR58" s="185" t="s">
        <v>2</v>
      </c>
      <c r="BS58" s="185" t="s">
        <v>2</v>
      </c>
      <c r="BT58" s="185" t="s">
        <v>1</v>
      </c>
      <c r="BU58" s="185" t="s">
        <v>1</v>
      </c>
      <c r="BV58" s="185" t="s">
        <v>3</v>
      </c>
      <c r="BW58" s="185" t="s">
        <v>3</v>
      </c>
      <c r="BX58" s="185" t="s">
        <v>1</v>
      </c>
      <c r="BY58" s="185" t="s">
        <v>2</v>
      </c>
      <c r="BZ58" s="185" t="s">
        <v>1092</v>
      </c>
      <c r="CA58" s="185" t="s">
        <v>1093</v>
      </c>
      <c r="CB58" s="185" t="s">
        <v>1093</v>
      </c>
      <c r="CC58" s="185" t="s">
        <v>1093</v>
      </c>
      <c r="CD58" s="185" t="s">
        <v>1093</v>
      </c>
      <c r="CE58" s="185" t="s">
        <v>1092</v>
      </c>
      <c r="CF58" s="185" t="s">
        <v>2</v>
      </c>
      <c r="CG58" s="185" t="s">
        <v>2</v>
      </c>
      <c r="CH58" s="185" t="s">
        <v>2</v>
      </c>
      <c r="CI58" s="185" t="s">
        <v>3</v>
      </c>
      <c r="CJ58" s="185" t="s">
        <v>2</v>
      </c>
      <c r="CK58" s="185" t="s">
        <v>1093</v>
      </c>
      <c r="CL58" s="185" t="s">
        <v>1092</v>
      </c>
      <c r="CM58" s="185" t="s">
        <v>1092</v>
      </c>
      <c r="CN58" s="185" t="s">
        <v>1092</v>
      </c>
      <c r="CO58" s="185" t="s">
        <v>3</v>
      </c>
      <c r="CP58" s="185" t="s">
        <v>1</v>
      </c>
      <c r="CQ58" s="185" t="s">
        <v>1</v>
      </c>
      <c r="CR58" s="185" t="s">
        <v>2</v>
      </c>
      <c r="CS58" s="185" t="s">
        <v>1</v>
      </c>
      <c r="CT58" s="185" t="s">
        <v>1093</v>
      </c>
      <c r="CU58" s="185" t="s">
        <v>1</v>
      </c>
      <c r="CV58" s="185" t="s">
        <v>1</v>
      </c>
      <c r="CW58" s="185" t="s">
        <v>1</v>
      </c>
      <c r="CX58" s="185" t="s">
        <v>2304</v>
      </c>
      <c r="CY58" s="185">
        <v>20162572040</v>
      </c>
    </row>
    <row r="59" spans="1:103" ht="12.75" x14ac:dyDescent="0.2">
      <c r="A59" s="184">
        <v>42877.443026608795</v>
      </c>
      <c r="B59" s="185" t="s">
        <v>2305</v>
      </c>
      <c r="C59" s="185" t="s">
        <v>2235</v>
      </c>
      <c r="D59" s="185">
        <v>2</v>
      </c>
      <c r="E59" s="185" t="s">
        <v>1</v>
      </c>
      <c r="F59" s="185" t="s">
        <v>3</v>
      </c>
      <c r="G59" s="185" t="s">
        <v>1</v>
      </c>
      <c r="H59" s="185" t="s">
        <v>1092</v>
      </c>
      <c r="I59" s="185" t="s">
        <v>1093</v>
      </c>
      <c r="J59" s="185" t="s">
        <v>1093</v>
      </c>
      <c r="K59" s="185" t="s">
        <v>2</v>
      </c>
      <c r="L59" s="185" t="s">
        <v>1092</v>
      </c>
      <c r="M59" s="185" t="s">
        <v>1</v>
      </c>
      <c r="N59" s="185" t="s">
        <v>1092</v>
      </c>
      <c r="O59" s="185" t="s">
        <v>1093</v>
      </c>
      <c r="P59" s="185" t="s">
        <v>1093</v>
      </c>
      <c r="Q59" s="185" t="s">
        <v>1092</v>
      </c>
      <c r="R59" s="185" t="s">
        <v>2</v>
      </c>
      <c r="S59" s="185" t="s">
        <v>1092</v>
      </c>
      <c r="T59" s="185" t="s">
        <v>2</v>
      </c>
      <c r="U59" s="185" t="s">
        <v>1093</v>
      </c>
      <c r="V59" s="185" t="s">
        <v>1092</v>
      </c>
      <c r="W59" s="185" t="s">
        <v>2</v>
      </c>
      <c r="X59" s="185" t="s">
        <v>1092</v>
      </c>
      <c r="Y59" s="185" t="s">
        <v>3</v>
      </c>
      <c r="Z59" s="185" t="s">
        <v>2</v>
      </c>
      <c r="AA59" s="185" t="s">
        <v>1092</v>
      </c>
      <c r="AB59" s="185" t="s">
        <v>2</v>
      </c>
      <c r="AC59" s="185" t="s">
        <v>1</v>
      </c>
      <c r="AD59" s="185" t="s">
        <v>5</v>
      </c>
      <c r="AE59" s="185" t="s">
        <v>5</v>
      </c>
      <c r="AF59" s="185" t="s">
        <v>1092</v>
      </c>
      <c r="AG59" s="185" t="s">
        <v>5</v>
      </c>
      <c r="AH59" s="185" t="s">
        <v>1092</v>
      </c>
      <c r="AI59" s="185" t="s">
        <v>2</v>
      </c>
      <c r="AJ59" s="185" t="s">
        <v>1093</v>
      </c>
      <c r="AK59" s="185" t="s">
        <v>1</v>
      </c>
      <c r="AL59" s="185" t="s">
        <v>1093</v>
      </c>
      <c r="AM59" s="185" t="s">
        <v>1092</v>
      </c>
      <c r="AN59" s="185" t="s">
        <v>1092</v>
      </c>
      <c r="AO59" s="185" t="s">
        <v>1092</v>
      </c>
      <c r="AP59" s="185" t="s">
        <v>1093</v>
      </c>
      <c r="AQ59" s="185" t="s">
        <v>1093</v>
      </c>
      <c r="AR59" s="185" t="s">
        <v>1</v>
      </c>
      <c r="AS59" s="185" t="s">
        <v>1092</v>
      </c>
      <c r="AT59" s="185" t="s">
        <v>1092</v>
      </c>
      <c r="AU59" s="185" t="s">
        <v>3</v>
      </c>
      <c r="AV59" s="185" t="s">
        <v>5</v>
      </c>
      <c r="AW59" s="185" t="s">
        <v>5</v>
      </c>
      <c r="AX59" s="185" t="s">
        <v>1092</v>
      </c>
      <c r="AY59" s="185" t="s">
        <v>1092</v>
      </c>
      <c r="AZ59" s="185" t="s">
        <v>2</v>
      </c>
      <c r="BA59" s="185" t="s">
        <v>1</v>
      </c>
      <c r="BB59" s="185" t="s">
        <v>1</v>
      </c>
      <c r="BC59" s="185" t="s">
        <v>1093</v>
      </c>
      <c r="BD59" s="185" t="s">
        <v>1093</v>
      </c>
      <c r="BE59" s="185" t="s">
        <v>1</v>
      </c>
      <c r="BF59" s="185" t="s">
        <v>3</v>
      </c>
      <c r="BG59" s="185" t="s">
        <v>1092</v>
      </c>
      <c r="BH59" s="185" t="s">
        <v>1092</v>
      </c>
      <c r="BI59" s="185" t="s">
        <v>1</v>
      </c>
      <c r="BJ59" s="185" t="s">
        <v>1092</v>
      </c>
      <c r="BK59" s="185" t="s">
        <v>1092</v>
      </c>
      <c r="BL59" s="185" t="s">
        <v>2</v>
      </c>
      <c r="BM59" s="185" t="s">
        <v>2</v>
      </c>
      <c r="BN59" s="185" t="s">
        <v>2</v>
      </c>
      <c r="BO59" s="185" t="s">
        <v>3</v>
      </c>
      <c r="BP59" s="185" t="s">
        <v>1092</v>
      </c>
      <c r="BQ59" s="185" t="s">
        <v>1092</v>
      </c>
      <c r="BR59" s="185" t="s">
        <v>1092</v>
      </c>
      <c r="BS59" s="185" t="s">
        <v>1092</v>
      </c>
      <c r="BT59" s="185" t="s">
        <v>2</v>
      </c>
      <c r="BU59" s="185" t="s">
        <v>3</v>
      </c>
      <c r="BV59" s="185" t="s">
        <v>3</v>
      </c>
      <c r="BW59" s="185" t="s">
        <v>3</v>
      </c>
      <c r="BX59" s="185" t="s">
        <v>1093</v>
      </c>
      <c r="BY59" s="185" t="s">
        <v>3</v>
      </c>
      <c r="BZ59" s="185" t="s">
        <v>1093</v>
      </c>
      <c r="CA59" s="185" t="s">
        <v>1093</v>
      </c>
      <c r="CB59" s="185" t="s">
        <v>1093</v>
      </c>
      <c r="CC59" s="185" t="s">
        <v>2</v>
      </c>
      <c r="CD59" s="185" t="s">
        <v>2</v>
      </c>
      <c r="CE59" s="185" t="s">
        <v>1092</v>
      </c>
      <c r="CF59" s="185" t="s">
        <v>1</v>
      </c>
      <c r="CG59" s="185" t="s">
        <v>1093</v>
      </c>
      <c r="CH59" s="185" t="s">
        <v>2</v>
      </c>
      <c r="CI59" s="185" t="s">
        <v>1092</v>
      </c>
      <c r="CJ59" s="185" t="s">
        <v>1</v>
      </c>
      <c r="CK59" s="185" t="s">
        <v>1093</v>
      </c>
      <c r="CL59" s="185" t="s">
        <v>3</v>
      </c>
      <c r="CM59" s="185" t="s">
        <v>2</v>
      </c>
      <c r="CN59" s="185" t="s">
        <v>2</v>
      </c>
      <c r="CO59" s="185" t="s">
        <v>2</v>
      </c>
      <c r="CP59" s="185" t="s">
        <v>2</v>
      </c>
      <c r="CQ59" s="185" t="s">
        <v>2</v>
      </c>
      <c r="CR59" s="185" t="s">
        <v>2</v>
      </c>
      <c r="CS59" s="185" t="s">
        <v>2</v>
      </c>
      <c r="CT59" s="185" t="s">
        <v>2</v>
      </c>
      <c r="CU59" s="185" t="s">
        <v>1093</v>
      </c>
      <c r="CV59" s="185" t="s">
        <v>3</v>
      </c>
      <c r="CW59" s="185" t="s">
        <v>1093</v>
      </c>
      <c r="CX59" s="185" t="s">
        <v>2306</v>
      </c>
      <c r="CY59" s="185">
        <v>20162572043</v>
      </c>
    </row>
    <row r="60" spans="1:103" ht="12.75" x14ac:dyDescent="0.2">
      <c r="A60" s="184">
        <v>42877.463101875001</v>
      </c>
      <c r="B60" s="185" t="s">
        <v>2307</v>
      </c>
      <c r="C60" s="185" t="s">
        <v>2237</v>
      </c>
      <c r="D60" s="185">
        <v>3</v>
      </c>
      <c r="E60" s="185" t="s">
        <v>3</v>
      </c>
      <c r="F60" s="185" t="s">
        <v>2</v>
      </c>
      <c r="G60" s="185" t="s">
        <v>2</v>
      </c>
      <c r="H60" s="185" t="s">
        <v>3</v>
      </c>
      <c r="I60" s="185" t="s">
        <v>3</v>
      </c>
      <c r="J60" s="185" t="s">
        <v>3</v>
      </c>
      <c r="K60" s="185" t="s">
        <v>3</v>
      </c>
      <c r="L60" s="185" t="s">
        <v>3</v>
      </c>
      <c r="M60" s="185" t="s">
        <v>3</v>
      </c>
      <c r="N60" s="185" t="s">
        <v>3</v>
      </c>
      <c r="O60" s="185" t="s">
        <v>3</v>
      </c>
      <c r="P60" s="185" t="s">
        <v>2</v>
      </c>
      <c r="Q60" s="185" t="s">
        <v>3</v>
      </c>
      <c r="R60" s="185" t="s">
        <v>3</v>
      </c>
      <c r="S60" s="185" t="s">
        <v>3</v>
      </c>
      <c r="T60" s="185" t="s">
        <v>3</v>
      </c>
      <c r="U60" s="185" t="s">
        <v>2</v>
      </c>
      <c r="V60" s="185" t="s">
        <v>3</v>
      </c>
      <c r="W60" s="185" t="s">
        <v>3</v>
      </c>
      <c r="X60" s="185" t="s">
        <v>3</v>
      </c>
      <c r="Y60" s="185" t="s">
        <v>3</v>
      </c>
      <c r="Z60" s="185" t="s">
        <v>3</v>
      </c>
      <c r="AA60" s="185" t="s">
        <v>3</v>
      </c>
      <c r="AB60" s="185" t="s">
        <v>2</v>
      </c>
      <c r="AC60" s="185" t="s">
        <v>3</v>
      </c>
      <c r="AD60" s="185" t="s">
        <v>3</v>
      </c>
      <c r="AE60" s="185" t="s">
        <v>3</v>
      </c>
      <c r="AF60" s="185" t="s">
        <v>3</v>
      </c>
      <c r="AG60" s="185" t="s">
        <v>3</v>
      </c>
      <c r="AH60" s="185" t="s">
        <v>3</v>
      </c>
      <c r="AI60" s="185" t="s">
        <v>3</v>
      </c>
      <c r="AJ60" s="185" t="s">
        <v>3</v>
      </c>
      <c r="AK60" s="185" t="s">
        <v>3</v>
      </c>
      <c r="AL60" s="185" t="s">
        <v>1</v>
      </c>
      <c r="AM60" s="185" t="s">
        <v>2</v>
      </c>
      <c r="AN60" s="185" t="s">
        <v>3</v>
      </c>
      <c r="AO60" s="185" t="s">
        <v>2</v>
      </c>
      <c r="AP60" s="185" t="s">
        <v>2</v>
      </c>
      <c r="AQ60" s="185" t="s">
        <v>1093</v>
      </c>
      <c r="AR60" s="185" t="s">
        <v>1092</v>
      </c>
      <c r="AS60" s="185" t="s">
        <v>3</v>
      </c>
      <c r="AT60" s="185" t="s">
        <v>2</v>
      </c>
      <c r="AU60" s="185" t="s">
        <v>1092</v>
      </c>
      <c r="AV60" s="185" t="s">
        <v>3</v>
      </c>
      <c r="AW60" s="185" t="s">
        <v>3</v>
      </c>
      <c r="AX60" s="185" t="s">
        <v>3</v>
      </c>
      <c r="AY60" s="185" t="s">
        <v>3</v>
      </c>
      <c r="AZ60" s="185" t="s">
        <v>3</v>
      </c>
      <c r="BA60" s="185" t="s">
        <v>2</v>
      </c>
      <c r="BB60" s="185" t="s">
        <v>5</v>
      </c>
      <c r="BC60" s="185" t="s">
        <v>3</v>
      </c>
      <c r="BD60" s="185" t="s">
        <v>3</v>
      </c>
      <c r="BE60" s="185" t="s">
        <v>3</v>
      </c>
      <c r="BF60" s="185" t="s">
        <v>2</v>
      </c>
      <c r="BG60" s="185" t="s">
        <v>3</v>
      </c>
      <c r="BH60" s="185" t="s">
        <v>2</v>
      </c>
      <c r="BI60" s="185" t="s">
        <v>1092</v>
      </c>
      <c r="BJ60" s="185" t="s">
        <v>1092</v>
      </c>
      <c r="BK60" s="185" t="s">
        <v>3</v>
      </c>
      <c r="BL60" s="185" t="s">
        <v>3</v>
      </c>
      <c r="BM60" s="185" t="s">
        <v>2</v>
      </c>
      <c r="BN60" s="185" t="s">
        <v>3</v>
      </c>
      <c r="BO60" s="185" t="s">
        <v>3</v>
      </c>
      <c r="BP60" s="185" t="s">
        <v>3</v>
      </c>
      <c r="BQ60" s="185" t="s">
        <v>3</v>
      </c>
      <c r="BR60" s="185" t="s">
        <v>3</v>
      </c>
      <c r="BS60" s="185" t="s">
        <v>3</v>
      </c>
      <c r="BT60" s="185" t="s">
        <v>3</v>
      </c>
      <c r="BU60" s="185" t="s">
        <v>3</v>
      </c>
      <c r="BV60" s="185" t="s">
        <v>3</v>
      </c>
      <c r="BW60" s="185" t="s">
        <v>3</v>
      </c>
      <c r="BX60" s="185" t="s">
        <v>3</v>
      </c>
      <c r="BY60" s="185" t="s">
        <v>3</v>
      </c>
      <c r="BZ60" s="185" t="s">
        <v>2</v>
      </c>
      <c r="CA60" s="185" t="s">
        <v>3</v>
      </c>
      <c r="CB60" s="185" t="s">
        <v>2</v>
      </c>
      <c r="CC60" s="185" t="s">
        <v>2</v>
      </c>
      <c r="CD60" s="185" t="s">
        <v>2</v>
      </c>
      <c r="CE60" s="185" t="s">
        <v>2</v>
      </c>
      <c r="CF60" s="185" t="s">
        <v>2</v>
      </c>
      <c r="CG60" s="185" t="s">
        <v>2</v>
      </c>
      <c r="CH60" s="185" t="s">
        <v>2</v>
      </c>
      <c r="CI60" s="185" t="s">
        <v>2</v>
      </c>
      <c r="CJ60" s="185" t="s">
        <v>3</v>
      </c>
      <c r="CK60" s="185" t="s">
        <v>3</v>
      </c>
      <c r="CL60" s="185" t="s">
        <v>3</v>
      </c>
      <c r="CM60" s="185" t="s">
        <v>3</v>
      </c>
      <c r="CN60" s="185" t="s">
        <v>2</v>
      </c>
      <c r="CO60" s="185" t="s">
        <v>2</v>
      </c>
      <c r="CP60" s="185" t="s">
        <v>2</v>
      </c>
      <c r="CQ60" s="185" t="s">
        <v>2</v>
      </c>
      <c r="CR60" s="185" t="s">
        <v>2</v>
      </c>
      <c r="CS60" s="185" t="s">
        <v>2</v>
      </c>
      <c r="CT60" s="185" t="s">
        <v>2</v>
      </c>
      <c r="CU60" s="185" t="s">
        <v>2</v>
      </c>
      <c r="CV60" s="185" t="s">
        <v>2</v>
      </c>
      <c r="CW60" s="185" t="s">
        <v>2</v>
      </c>
      <c r="CX60" s="186"/>
      <c r="CY60" s="185">
        <v>20161572458</v>
      </c>
    </row>
    <row r="61" spans="1:103" ht="12.75" x14ac:dyDescent="0.2">
      <c r="A61" s="184">
        <v>42877.515281631946</v>
      </c>
      <c r="B61" s="185" t="s">
        <v>2308</v>
      </c>
      <c r="C61" s="185" t="s">
        <v>2235</v>
      </c>
      <c r="D61" s="185">
        <v>10</v>
      </c>
      <c r="E61" s="185" t="s">
        <v>2</v>
      </c>
      <c r="F61" s="185" t="s">
        <v>1092</v>
      </c>
      <c r="G61" s="185" t="s">
        <v>1092</v>
      </c>
      <c r="H61" s="185" t="s">
        <v>1092</v>
      </c>
      <c r="I61" s="185" t="s">
        <v>1093</v>
      </c>
      <c r="J61" s="185" t="s">
        <v>1093</v>
      </c>
      <c r="K61" s="185" t="s">
        <v>2</v>
      </c>
      <c r="L61" s="185" t="s">
        <v>2</v>
      </c>
      <c r="M61" s="185" t="s">
        <v>1092</v>
      </c>
      <c r="N61" s="185" t="s">
        <v>2</v>
      </c>
      <c r="O61" s="185" t="s">
        <v>1092</v>
      </c>
      <c r="P61" s="185" t="s">
        <v>2</v>
      </c>
      <c r="Q61" s="185" t="s">
        <v>2</v>
      </c>
      <c r="R61" s="185" t="s">
        <v>2</v>
      </c>
      <c r="S61" s="185" t="s">
        <v>2</v>
      </c>
      <c r="T61" s="185" t="s">
        <v>1092</v>
      </c>
      <c r="U61" s="185" t="s">
        <v>2</v>
      </c>
      <c r="V61" s="185" t="s">
        <v>2</v>
      </c>
      <c r="W61" s="185" t="s">
        <v>2</v>
      </c>
      <c r="X61" s="185" t="s">
        <v>1092</v>
      </c>
      <c r="Y61" s="185" t="s">
        <v>2</v>
      </c>
      <c r="Z61" s="185" t="s">
        <v>1092</v>
      </c>
      <c r="AA61" s="185" t="s">
        <v>2</v>
      </c>
      <c r="AB61" s="185" t="s">
        <v>1092</v>
      </c>
      <c r="AC61" s="185" t="s">
        <v>2</v>
      </c>
      <c r="AD61" s="185" t="s">
        <v>2</v>
      </c>
      <c r="AE61" s="185" t="s">
        <v>1092</v>
      </c>
      <c r="AF61" s="185" t="s">
        <v>2</v>
      </c>
      <c r="AG61" s="185" t="s">
        <v>1092</v>
      </c>
      <c r="AH61" s="185" t="s">
        <v>2</v>
      </c>
      <c r="AI61" s="185" t="s">
        <v>2</v>
      </c>
      <c r="AJ61" s="185" t="s">
        <v>1092</v>
      </c>
      <c r="AK61" s="185" t="s">
        <v>1092</v>
      </c>
      <c r="AL61" s="185" t="s">
        <v>2</v>
      </c>
      <c r="AM61" s="185" t="s">
        <v>3</v>
      </c>
      <c r="AN61" s="185" t="s">
        <v>3</v>
      </c>
      <c r="AO61" s="185" t="s">
        <v>3</v>
      </c>
      <c r="AP61" s="185" t="s">
        <v>3</v>
      </c>
      <c r="AQ61" s="185" t="s">
        <v>2</v>
      </c>
      <c r="AR61" s="185" t="s">
        <v>3</v>
      </c>
      <c r="AS61" s="185" t="s">
        <v>2</v>
      </c>
      <c r="AT61" s="185" t="s">
        <v>3</v>
      </c>
      <c r="AU61" s="185" t="s">
        <v>2</v>
      </c>
      <c r="AV61" s="185" t="s">
        <v>3</v>
      </c>
      <c r="AW61" s="185" t="s">
        <v>3</v>
      </c>
      <c r="AX61" s="185" t="s">
        <v>2</v>
      </c>
      <c r="AY61" s="185" t="s">
        <v>3</v>
      </c>
      <c r="AZ61" s="185" t="s">
        <v>3</v>
      </c>
      <c r="BA61" s="185" t="s">
        <v>2</v>
      </c>
      <c r="BB61" s="185" t="s">
        <v>2</v>
      </c>
      <c r="BC61" s="185" t="s">
        <v>2</v>
      </c>
      <c r="BD61" s="185" t="s">
        <v>3</v>
      </c>
      <c r="BE61" s="185" t="s">
        <v>2</v>
      </c>
      <c r="BF61" s="185" t="s">
        <v>3</v>
      </c>
      <c r="BG61" s="185" t="s">
        <v>2</v>
      </c>
      <c r="BH61" s="185" t="s">
        <v>3</v>
      </c>
      <c r="BI61" s="185" t="s">
        <v>2</v>
      </c>
      <c r="BJ61" s="185" t="s">
        <v>3</v>
      </c>
      <c r="BK61" s="185" t="s">
        <v>3</v>
      </c>
      <c r="BL61" s="185" t="s">
        <v>3</v>
      </c>
      <c r="BM61" s="185" t="s">
        <v>3</v>
      </c>
      <c r="BN61" s="185" t="s">
        <v>2</v>
      </c>
      <c r="BO61" s="185" t="s">
        <v>2</v>
      </c>
      <c r="BP61" s="185" t="s">
        <v>1092</v>
      </c>
      <c r="BQ61" s="185" t="s">
        <v>2</v>
      </c>
      <c r="BR61" s="185" t="s">
        <v>3</v>
      </c>
      <c r="BS61" s="185" t="s">
        <v>3</v>
      </c>
      <c r="BT61" s="185" t="s">
        <v>2</v>
      </c>
      <c r="BU61" s="185" t="s">
        <v>3</v>
      </c>
      <c r="BV61" s="185" t="s">
        <v>2</v>
      </c>
      <c r="BW61" s="185" t="s">
        <v>3</v>
      </c>
      <c r="BX61" s="185" t="s">
        <v>2</v>
      </c>
      <c r="BY61" s="185" t="s">
        <v>2</v>
      </c>
      <c r="BZ61" s="185" t="s">
        <v>2</v>
      </c>
      <c r="CA61" s="185" t="s">
        <v>2</v>
      </c>
      <c r="CB61" s="185" t="s">
        <v>3</v>
      </c>
      <c r="CC61" s="185" t="s">
        <v>3</v>
      </c>
      <c r="CD61" s="185" t="s">
        <v>3</v>
      </c>
      <c r="CE61" s="185" t="s">
        <v>3</v>
      </c>
      <c r="CF61" s="185" t="s">
        <v>3</v>
      </c>
      <c r="CG61" s="185" t="s">
        <v>2</v>
      </c>
      <c r="CH61" s="185" t="s">
        <v>3</v>
      </c>
      <c r="CI61" s="185" t="s">
        <v>3</v>
      </c>
      <c r="CJ61" s="185" t="s">
        <v>3</v>
      </c>
      <c r="CK61" s="185" t="s">
        <v>3</v>
      </c>
      <c r="CL61" s="185" t="s">
        <v>3</v>
      </c>
      <c r="CM61" s="185" t="s">
        <v>2</v>
      </c>
      <c r="CN61" s="185" t="s">
        <v>3</v>
      </c>
      <c r="CO61" s="185" t="s">
        <v>2</v>
      </c>
      <c r="CP61" s="185" t="s">
        <v>3</v>
      </c>
      <c r="CQ61" s="185" t="s">
        <v>2</v>
      </c>
      <c r="CR61" s="185" t="s">
        <v>2</v>
      </c>
      <c r="CS61" s="185" t="s">
        <v>3</v>
      </c>
      <c r="CT61" s="185" t="s">
        <v>3</v>
      </c>
      <c r="CU61" s="185" t="s">
        <v>3</v>
      </c>
      <c r="CV61" s="185" t="s">
        <v>2</v>
      </c>
      <c r="CW61" s="185" t="s">
        <v>2</v>
      </c>
      <c r="CX61" s="186"/>
      <c r="CY61" s="185">
        <v>20091072042</v>
      </c>
    </row>
    <row r="62" spans="1:103" ht="12.75" x14ac:dyDescent="0.2">
      <c r="A62" s="184">
        <v>42877.515518993052</v>
      </c>
      <c r="B62" s="185" t="s">
        <v>2309</v>
      </c>
      <c r="C62" s="185" t="s">
        <v>2235</v>
      </c>
      <c r="D62" s="185">
        <v>9</v>
      </c>
      <c r="E62" s="185" t="s">
        <v>2</v>
      </c>
      <c r="F62" s="185" t="s">
        <v>1092</v>
      </c>
      <c r="G62" s="185" t="s">
        <v>3</v>
      </c>
      <c r="H62" s="185" t="s">
        <v>3</v>
      </c>
      <c r="I62" s="185" t="s">
        <v>1</v>
      </c>
      <c r="J62" s="185" t="s">
        <v>1</v>
      </c>
      <c r="K62" s="185" t="s">
        <v>2</v>
      </c>
      <c r="L62" s="185" t="s">
        <v>1092</v>
      </c>
      <c r="M62" s="185" t="s">
        <v>1092</v>
      </c>
      <c r="N62" s="185" t="s">
        <v>1092</v>
      </c>
      <c r="O62" s="185" t="s">
        <v>3</v>
      </c>
      <c r="P62" s="185" t="s">
        <v>3</v>
      </c>
      <c r="Q62" s="185" t="s">
        <v>1092</v>
      </c>
      <c r="R62" s="185" t="s">
        <v>1</v>
      </c>
      <c r="S62" s="185" t="s">
        <v>2</v>
      </c>
      <c r="T62" s="185" t="s">
        <v>3</v>
      </c>
      <c r="U62" s="185" t="s">
        <v>1</v>
      </c>
      <c r="V62" s="185" t="s">
        <v>2</v>
      </c>
      <c r="W62" s="185" t="s">
        <v>3</v>
      </c>
      <c r="X62" s="185" t="s">
        <v>3</v>
      </c>
      <c r="Y62" s="185" t="s">
        <v>3</v>
      </c>
      <c r="Z62" s="185" t="s">
        <v>3</v>
      </c>
      <c r="AA62" s="185" t="s">
        <v>2</v>
      </c>
      <c r="AB62" s="185" t="s">
        <v>2</v>
      </c>
      <c r="AC62" s="185" t="s">
        <v>2</v>
      </c>
      <c r="AD62" s="185" t="s">
        <v>1</v>
      </c>
      <c r="AE62" s="185" t="s">
        <v>2</v>
      </c>
      <c r="AF62" s="185" t="s">
        <v>3</v>
      </c>
      <c r="AG62" s="185" t="s">
        <v>2</v>
      </c>
      <c r="AH62" s="185" t="s">
        <v>3</v>
      </c>
      <c r="AI62" s="185" t="s">
        <v>3</v>
      </c>
      <c r="AJ62" s="185" t="s">
        <v>2</v>
      </c>
      <c r="AK62" s="185" t="s">
        <v>3</v>
      </c>
      <c r="AL62" s="185" t="s">
        <v>3</v>
      </c>
      <c r="AM62" s="185" t="s">
        <v>3</v>
      </c>
      <c r="AN62" s="185" t="s">
        <v>3</v>
      </c>
      <c r="AO62" s="185" t="s">
        <v>3</v>
      </c>
      <c r="AP62" s="185" t="s">
        <v>3</v>
      </c>
      <c r="AQ62" s="185" t="s">
        <v>3</v>
      </c>
      <c r="AR62" s="185" t="s">
        <v>3</v>
      </c>
      <c r="AS62" s="185" t="s">
        <v>3</v>
      </c>
      <c r="AT62" s="185" t="s">
        <v>3</v>
      </c>
      <c r="AU62" s="185" t="s">
        <v>3</v>
      </c>
      <c r="AV62" s="185" t="s">
        <v>3</v>
      </c>
      <c r="AW62" s="185" t="s">
        <v>3</v>
      </c>
      <c r="AX62" s="185" t="s">
        <v>3</v>
      </c>
      <c r="AY62" s="185" t="s">
        <v>3</v>
      </c>
      <c r="AZ62" s="185" t="s">
        <v>3</v>
      </c>
      <c r="BA62" s="185" t="s">
        <v>3</v>
      </c>
      <c r="BB62" s="185" t="s">
        <v>3</v>
      </c>
      <c r="BC62" s="185" t="s">
        <v>3</v>
      </c>
      <c r="BD62" s="185" t="s">
        <v>3</v>
      </c>
      <c r="BE62" s="185" t="s">
        <v>2</v>
      </c>
      <c r="BF62" s="185" t="s">
        <v>3</v>
      </c>
      <c r="BG62" s="185" t="s">
        <v>3</v>
      </c>
      <c r="BH62" s="185" t="s">
        <v>3</v>
      </c>
      <c r="BI62" s="185" t="s">
        <v>3</v>
      </c>
      <c r="BJ62" s="185" t="s">
        <v>3</v>
      </c>
      <c r="BK62" s="185" t="s">
        <v>3</v>
      </c>
      <c r="BL62" s="185" t="s">
        <v>2</v>
      </c>
      <c r="BM62" s="185" t="s">
        <v>2</v>
      </c>
      <c r="BN62" s="185" t="s">
        <v>2</v>
      </c>
      <c r="BO62" s="185" t="s">
        <v>2</v>
      </c>
      <c r="BP62" s="185" t="s">
        <v>2</v>
      </c>
      <c r="BQ62" s="185" t="s">
        <v>2</v>
      </c>
      <c r="BR62" s="185" t="s">
        <v>3</v>
      </c>
      <c r="BS62" s="185" t="s">
        <v>3</v>
      </c>
      <c r="BT62" s="185" t="s">
        <v>3</v>
      </c>
      <c r="BU62" s="185" t="s">
        <v>3</v>
      </c>
      <c r="BV62" s="185" t="s">
        <v>3</v>
      </c>
      <c r="BW62" s="185" t="s">
        <v>3</v>
      </c>
      <c r="BX62" s="185" t="s">
        <v>3</v>
      </c>
      <c r="BY62" s="185" t="s">
        <v>3</v>
      </c>
      <c r="BZ62" s="185" t="s">
        <v>3</v>
      </c>
      <c r="CA62" s="185" t="s">
        <v>3</v>
      </c>
      <c r="CB62" s="185" t="s">
        <v>3</v>
      </c>
      <c r="CC62" s="185" t="s">
        <v>3</v>
      </c>
      <c r="CD62" s="185" t="s">
        <v>3</v>
      </c>
      <c r="CE62" s="185" t="s">
        <v>3</v>
      </c>
      <c r="CF62" s="185" t="s">
        <v>3</v>
      </c>
      <c r="CG62" s="185" t="s">
        <v>3</v>
      </c>
      <c r="CH62" s="185" t="s">
        <v>2</v>
      </c>
      <c r="CI62" s="185" t="s">
        <v>3</v>
      </c>
      <c r="CJ62" s="185" t="s">
        <v>3</v>
      </c>
      <c r="CK62" s="185" t="s">
        <v>3</v>
      </c>
      <c r="CL62" s="185" t="s">
        <v>3</v>
      </c>
      <c r="CM62" s="185" t="s">
        <v>3</v>
      </c>
      <c r="CN62" s="185" t="s">
        <v>3</v>
      </c>
      <c r="CO62" s="185" t="s">
        <v>3</v>
      </c>
      <c r="CP62" s="185" t="s">
        <v>3</v>
      </c>
      <c r="CQ62" s="185" t="s">
        <v>3</v>
      </c>
      <c r="CR62" s="185" t="s">
        <v>3</v>
      </c>
      <c r="CS62" s="185" t="s">
        <v>3</v>
      </c>
      <c r="CT62" s="185" t="s">
        <v>2</v>
      </c>
      <c r="CU62" s="185" t="s">
        <v>2</v>
      </c>
      <c r="CV62" s="185" t="s">
        <v>1</v>
      </c>
      <c r="CW62" s="185" t="s">
        <v>2</v>
      </c>
      <c r="CX62" s="186"/>
      <c r="CY62" s="185">
        <v>20132072089</v>
      </c>
    </row>
    <row r="63" spans="1:103" ht="12.75" x14ac:dyDescent="0.2">
      <c r="A63" s="184">
        <v>42877.516672557875</v>
      </c>
      <c r="B63" s="185" t="s">
        <v>2310</v>
      </c>
      <c r="C63" s="185" t="s">
        <v>2235</v>
      </c>
      <c r="D63" s="185">
        <v>10</v>
      </c>
      <c r="E63" s="185" t="s">
        <v>3</v>
      </c>
      <c r="F63" s="185" t="s">
        <v>3</v>
      </c>
      <c r="G63" s="185" t="s">
        <v>3</v>
      </c>
      <c r="H63" s="185" t="s">
        <v>2</v>
      </c>
      <c r="I63" s="185" t="s">
        <v>1</v>
      </c>
      <c r="J63" s="185" t="s">
        <v>3</v>
      </c>
      <c r="K63" s="185" t="s">
        <v>3</v>
      </c>
      <c r="L63" s="185" t="s">
        <v>3</v>
      </c>
      <c r="M63" s="185" t="s">
        <v>3</v>
      </c>
      <c r="N63" s="185" t="s">
        <v>3</v>
      </c>
      <c r="O63" s="185" t="s">
        <v>2</v>
      </c>
      <c r="P63" s="185" t="s">
        <v>1</v>
      </c>
      <c r="Q63" s="185" t="s">
        <v>2</v>
      </c>
      <c r="R63" s="185" t="s">
        <v>2</v>
      </c>
      <c r="S63" s="185" t="s">
        <v>3</v>
      </c>
      <c r="T63" s="185" t="s">
        <v>3</v>
      </c>
      <c r="U63" s="185" t="s">
        <v>3</v>
      </c>
      <c r="V63" s="185" t="s">
        <v>2</v>
      </c>
      <c r="W63" s="185" t="s">
        <v>3</v>
      </c>
      <c r="X63" s="185" t="s">
        <v>3</v>
      </c>
      <c r="Y63" s="185" t="s">
        <v>3</v>
      </c>
      <c r="Z63" s="185" t="s">
        <v>3</v>
      </c>
      <c r="AA63" s="185" t="s">
        <v>3</v>
      </c>
      <c r="AB63" s="185" t="s">
        <v>3</v>
      </c>
      <c r="AC63" s="185" t="s">
        <v>3</v>
      </c>
      <c r="AD63" s="185" t="s">
        <v>3</v>
      </c>
      <c r="AE63" s="185" t="s">
        <v>3</v>
      </c>
      <c r="AF63" s="185" t="s">
        <v>3</v>
      </c>
      <c r="AG63" s="185" t="s">
        <v>3</v>
      </c>
      <c r="AH63" s="185" t="s">
        <v>3</v>
      </c>
      <c r="AI63" s="185" t="s">
        <v>3</v>
      </c>
      <c r="AJ63" s="185" t="s">
        <v>3</v>
      </c>
      <c r="AK63" s="185" t="s">
        <v>3</v>
      </c>
      <c r="AL63" s="185" t="s">
        <v>3</v>
      </c>
      <c r="AM63" s="185" t="s">
        <v>3</v>
      </c>
      <c r="AN63" s="185" t="s">
        <v>3</v>
      </c>
      <c r="AO63" s="185" t="s">
        <v>3</v>
      </c>
      <c r="AP63" s="185" t="s">
        <v>3</v>
      </c>
      <c r="AQ63" s="185" t="s">
        <v>3</v>
      </c>
      <c r="AR63" s="185" t="s">
        <v>3</v>
      </c>
      <c r="AS63" s="185" t="s">
        <v>3</v>
      </c>
      <c r="AT63" s="185" t="s">
        <v>3</v>
      </c>
      <c r="AU63" s="185" t="s">
        <v>2</v>
      </c>
      <c r="AV63" s="185" t="s">
        <v>2</v>
      </c>
      <c r="AW63" s="185" t="s">
        <v>2</v>
      </c>
      <c r="AX63" s="185" t="s">
        <v>3</v>
      </c>
      <c r="AY63" s="185" t="s">
        <v>3</v>
      </c>
      <c r="AZ63" s="185" t="s">
        <v>3</v>
      </c>
      <c r="BA63" s="185" t="s">
        <v>2</v>
      </c>
      <c r="BB63" s="185" t="s">
        <v>2</v>
      </c>
      <c r="BC63" s="185" t="s">
        <v>2</v>
      </c>
      <c r="BD63" s="185" t="s">
        <v>2</v>
      </c>
      <c r="BE63" s="185" t="s">
        <v>2</v>
      </c>
      <c r="BF63" s="185" t="s">
        <v>2</v>
      </c>
      <c r="BG63" s="185" t="s">
        <v>2</v>
      </c>
      <c r="BH63" s="185" t="s">
        <v>2</v>
      </c>
      <c r="BI63" s="185" t="s">
        <v>1</v>
      </c>
      <c r="BJ63" s="185" t="s">
        <v>1</v>
      </c>
      <c r="BK63" s="185" t="s">
        <v>2</v>
      </c>
      <c r="BL63" s="185" t="s">
        <v>2</v>
      </c>
      <c r="BM63" s="185" t="s">
        <v>1</v>
      </c>
      <c r="BN63" s="185" t="s">
        <v>2</v>
      </c>
      <c r="BO63" s="185" t="s">
        <v>1</v>
      </c>
      <c r="BP63" s="185" t="s">
        <v>2</v>
      </c>
      <c r="BQ63" s="185" t="s">
        <v>1</v>
      </c>
      <c r="BR63" s="185" t="s">
        <v>2</v>
      </c>
      <c r="BS63" s="185" t="s">
        <v>2</v>
      </c>
      <c r="BT63" s="185" t="s">
        <v>2</v>
      </c>
      <c r="BU63" s="185" t="s">
        <v>2</v>
      </c>
      <c r="BV63" s="185" t="s">
        <v>2</v>
      </c>
      <c r="BW63" s="185" t="s">
        <v>2</v>
      </c>
      <c r="BX63" s="185" t="s">
        <v>3</v>
      </c>
      <c r="BY63" s="185" t="s">
        <v>2</v>
      </c>
      <c r="BZ63" s="185" t="s">
        <v>2</v>
      </c>
      <c r="CA63" s="185" t="s">
        <v>2</v>
      </c>
      <c r="CB63" s="185" t="s">
        <v>2</v>
      </c>
      <c r="CC63" s="185" t="s">
        <v>2</v>
      </c>
      <c r="CD63" s="185" t="s">
        <v>2</v>
      </c>
      <c r="CE63" s="185" t="s">
        <v>3</v>
      </c>
      <c r="CF63" s="185" t="s">
        <v>1</v>
      </c>
      <c r="CG63" s="185" t="s">
        <v>2</v>
      </c>
      <c r="CH63" s="185" t="s">
        <v>2</v>
      </c>
      <c r="CI63" s="185" t="s">
        <v>2</v>
      </c>
      <c r="CJ63" s="185" t="s">
        <v>2</v>
      </c>
      <c r="CK63" s="185" t="s">
        <v>2</v>
      </c>
      <c r="CL63" s="185" t="s">
        <v>1</v>
      </c>
      <c r="CM63" s="185" t="s">
        <v>1</v>
      </c>
      <c r="CN63" s="185" t="s">
        <v>1093</v>
      </c>
      <c r="CO63" s="185" t="s">
        <v>2</v>
      </c>
      <c r="CP63" s="185" t="s">
        <v>3</v>
      </c>
      <c r="CQ63" s="185" t="s">
        <v>3</v>
      </c>
      <c r="CR63" s="185" t="s">
        <v>3</v>
      </c>
      <c r="CS63" s="185" t="s">
        <v>3</v>
      </c>
      <c r="CT63" s="185" t="s">
        <v>2</v>
      </c>
      <c r="CU63" s="185" t="s">
        <v>2</v>
      </c>
      <c r="CV63" s="185" t="s">
        <v>1093</v>
      </c>
      <c r="CW63" s="185" t="s">
        <v>1</v>
      </c>
      <c r="CX63" s="186"/>
      <c r="CY63" s="185">
        <v>20092072031</v>
      </c>
    </row>
    <row r="64" spans="1:103" ht="12.75" x14ac:dyDescent="0.2">
      <c r="A64" s="184">
        <v>42877.517780439812</v>
      </c>
      <c r="B64" s="185" t="s">
        <v>2311</v>
      </c>
      <c r="C64" s="185" t="s">
        <v>2235</v>
      </c>
      <c r="D64" s="185">
        <v>10</v>
      </c>
      <c r="E64" s="185" t="s">
        <v>2</v>
      </c>
      <c r="F64" s="185" t="s">
        <v>1092</v>
      </c>
      <c r="G64" s="185" t="s">
        <v>1092</v>
      </c>
      <c r="H64" s="185" t="s">
        <v>1092</v>
      </c>
      <c r="I64" s="185" t="s">
        <v>2</v>
      </c>
      <c r="J64" s="185" t="s">
        <v>1</v>
      </c>
      <c r="K64" s="185" t="s">
        <v>2</v>
      </c>
      <c r="L64" s="185" t="s">
        <v>3</v>
      </c>
      <c r="M64" s="185" t="s">
        <v>2</v>
      </c>
      <c r="N64" s="185" t="s">
        <v>3</v>
      </c>
      <c r="O64" s="185" t="s">
        <v>1</v>
      </c>
      <c r="P64" s="185" t="s">
        <v>2</v>
      </c>
      <c r="Q64" s="185" t="s">
        <v>1</v>
      </c>
      <c r="R64" s="185" t="s">
        <v>2</v>
      </c>
      <c r="S64" s="185" t="s">
        <v>3</v>
      </c>
      <c r="T64" s="185" t="s">
        <v>2</v>
      </c>
      <c r="U64" s="185" t="s">
        <v>3</v>
      </c>
      <c r="V64" s="185" t="s">
        <v>3</v>
      </c>
      <c r="W64" s="185" t="s">
        <v>3</v>
      </c>
      <c r="X64" s="185" t="s">
        <v>2</v>
      </c>
      <c r="Y64" s="185" t="s">
        <v>2</v>
      </c>
      <c r="Z64" s="185" t="s">
        <v>3</v>
      </c>
      <c r="AA64" s="185" t="s">
        <v>3</v>
      </c>
      <c r="AB64" s="185" t="s">
        <v>1093</v>
      </c>
      <c r="AC64" s="185" t="s">
        <v>2</v>
      </c>
      <c r="AD64" s="185" t="s">
        <v>2</v>
      </c>
      <c r="AE64" s="185" t="s">
        <v>3</v>
      </c>
      <c r="AF64" s="185" t="s">
        <v>2</v>
      </c>
      <c r="AG64" s="185" t="s">
        <v>1</v>
      </c>
      <c r="AH64" s="185" t="s">
        <v>2</v>
      </c>
      <c r="AI64" s="185" t="s">
        <v>2</v>
      </c>
      <c r="AJ64" s="185" t="s">
        <v>2</v>
      </c>
      <c r="AK64" s="185" t="s">
        <v>3</v>
      </c>
      <c r="AL64" s="185" t="s">
        <v>3</v>
      </c>
      <c r="AM64" s="185" t="s">
        <v>2</v>
      </c>
      <c r="AN64" s="185" t="s">
        <v>2</v>
      </c>
      <c r="AO64" s="185" t="s">
        <v>3</v>
      </c>
      <c r="AP64" s="185" t="s">
        <v>3</v>
      </c>
      <c r="AQ64" s="185" t="s">
        <v>3</v>
      </c>
      <c r="AR64" s="185" t="s">
        <v>3</v>
      </c>
      <c r="AS64" s="185" t="s">
        <v>1092</v>
      </c>
      <c r="AT64" s="185" t="s">
        <v>1092</v>
      </c>
      <c r="AU64" s="185" t="s">
        <v>1092</v>
      </c>
      <c r="AV64" s="185" t="s">
        <v>2</v>
      </c>
      <c r="AW64" s="185" t="s">
        <v>2</v>
      </c>
      <c r="AX64" s="185" t="s">
        <v>3</v>
      </c>
      <c r="AY64" s="185" t="s">
        <v>3</v>
      </c>
      <c r="AZ64" s="185" t="s">
        <v>3</v>
      </c>
      <c r="BA64" s="185" t="s">
        <v>3</v>
      </c>
      <c r="BB64" s="185" t="s">
        <v>3</v>
      </c>
      <c r="BC64" s="185" t="s">
        <v>3</v>
      </c>
      <c r="BD64" s="185" t="s">
        <v>3</v>
      </c>
      <c r="BE64" s="185" t="s">
        <v>3</v>
      </c>
      <c r="BF64" s="185" t="s">
        <v>3</v>
      </c>
      <c r="BG64" s="185" t="s">
        <v>3</v>
      </c>
      <c r="BH64" s="185" t="s">
        <v>3</v>
      </c>
      <c r="BI64" s="185" t="s">
        <v>2</v>
      </c>
      <c r="BJ64" s="185" t="s">
        <v>2</v>
      </c>
      <c r="BK64" s="185" t="s">
        <v>3</v>
      </c>
      <c r="BL64" s="185" t="s">
        <v>3</v>
      </c>
      <c r="BM64" s="185" t="s">
        <v>1</v>
      </c>
      <c r="BN64" s="185" t="s">
        <v>2</v>
      </c>
      <c r="BO64" s="185" t="s">
        <v>2</v>
      </c>
      <c r="BP64" s="185" t="s">
        <v>2</v>
      </c>
      <c r="BQ64" s="185" t="s">
        <v>3</v>
      </c>
      <c r="BR64" s="185" t="s">
        <v>3</v>
      </c>
      <c r="BS64" s="185" t="s">
        <v>3</v>
      </c>
      <c r="BT64" s="185" t="s">
        <v>3</v>
      </c>
      <c r="BU64" s="185" t="s">
        <v>3</v>
      </c>
      <c r="BV64" s="185" t="s">
        <v>3</v>
      </c>
      <c r="BW64" s="185" t="s">
        <v>3</v>
      </c>
      <c r="BX64" s="185" t="s">
        <v>3</v>
      </c>
      <c r="BY64" s="185" t="s">
        <v>3</v>
      </c>
      <c r="BZ64" s="185" t="s">
        <v>3</v>
      </c>
      <c r="CA64" s="185" t="s">
        <v>3</v>
      </c>
      <c r="CB64" s="185" t="s">
        <v>2</v>
      </c>
      <c r="CC64" s="185" t="s">
        <v>2</v>
      </c>
      <c r="CD64" s="185" t="s">
        <v>2</v>
      </c>
      <c r="CE64" s="185" t="s">
        <v>2</v>
      </c>
      <c r="CF64" s="185" t="s">
        <v>1093</v>
      </c>
      <c r="CG64" s="185" t="s">
        <v>2</v>
      </c>
      <c r="CH64" s="185" t="s">
        <v>3</v>
      </c>
      <c r="CI64" s="185" t="s">
        <v>3</v>
      </c>
      <c r="CJ64" s="185" t="s">
        <v>3</v>
      </c>
      <c r="CK64" s="185" t="s">
        <v>3</v>
      </c>
      <c r="CL64" s="185" t="s">
        <v>3</v>
      </c>
      <c r="CM64" s="185" t="s">
        <v>3</v>
      </c>
      <c r="CN64" s="185" t="s">
        <v>3</v>
      </c>
      <c r="CO64" s="185" t="s">
        <v>3</v>
      </c>
      <c r="CP64" s="185" t="s">
        <v>3</v>
      </c>
      <c r="CQ64" s="185" t="s">
        <v>3</v>
      </c>
      <c r="CR64" s="185" t="s">
        <v>3</v>
      </c>
      <c r="CS64" s="185" t="s">
        <v>3</v>
      </c>
      <c r="CT64" s="185" t="s">
        <v>3</v>
      </c>
      <c r="CU64" s="185" t="s">
        <v>3</v>
      </c>
      <c r="CV64" s="185" t="s">
        <v>3</v>
      </c>
      <c r="CW64" s="185" t="s">
        <v>1</v>
      </c>
      <c r="CX64" s="185" t="s">
        <v>2312</v>
      </c>
      <c r="CY64" s="185">
        <v>20122072053</v>
      </c>
    </row>
    <row r="65" spans="1:103" ht="12.75" x14ac:dyDescent="0.2">
      <c r="A65" s="184">
        <v>42877.518027500002</v>
      </c>
      <c r="B65" s="185" t="s">
        <v>2313</v>
      </c>
      <c r="C65" s="185" t="s">
        <v>2235</v>
      </c>
      <c r="D65" s="185">
        <v>8</v>
      </c>
      <c r="E65" s="185" t="s">
        <v>1092</v>
      </c>
      <c r="F65" s="185" t="s">
        <v>1092</v>
      </c>
      <c r="G65" s="185" t="s">
        <v>1092</v>
      </c>
      <c r="H65" s="185" t="s">
        <v>3</v>
      </c>
      <c r="I65" s="185" t="s">
        <v>2</v>
      </c>
      <c r="J65" s="185" t="s">
        <v>1092</v>
      </c>
      <c r="K65" s="185" t="s">
        <v>1092</v>
      </c>
      <c r="L65" s="185" t="s">
        <v>3</v>
      </c>
      <c r="M65" s="185" t="s">
        <v>1</v>
      </c>
      <c r="N65" s="185" t="s">
        <v>1092</v>
      </c>
      <c r="O65" s="185" t="s">
        <v>3</v>
      </c>
      <c r="P65" s="185" t="s">
        <v>5</v>
      </c>
      <c r="Q65" s="185" t="s">
        <v>3</v>
      </c>
      <c r="R65" s="185" t="s">
        <v>1092</v>
      </c>
      <c r="S65" s="185" t="s">
        <v>2</v>
      </c>
      <c r="T65" s="185" t="s">
        <v>2</v>
      </c>
      <c r="U65" s="185" t="s">
        <v>2</v>
      </c>
      <c r="V65" s="185" t="s">
        <v>3</v>
      </c>
      <c r="W65" s="185" t="s">
        <v>2</v>
      </c>
      <c r="X65" s="185" t="s">
        <v>2</v>
      </c>
      <c r="Y65" s="185" t="s">
        <v>2</v>
      </c>
      <c r="Z65" s="185" t="s">
        <v>3</v>
      </c>
      <c r="AA65" s="185" t="s">
        <v>3</v>
      </c>
      <c r="AB65" s="185" t="s">
        <v>3</v>
      </c>
      <c r="AC65" s="185" t="s">
        <v>3</v>
      </c>
      <c r="AD65" s="185" t="s">
        <v>3</v>
      </c>
      <c r="AE65" s="185" t="s">
        <v>1</v>
      </c>
      <c r="AF65" s="185" t="s">
        <v>3</v>
      </c>
      <c r="AG65" s="185" t="s">
        <v>3</v>
      </c>
      <c r="AH65" s="185" t="s">
        <v>3</v>
      </c>
      <c r="AI65" s="185" t="s">
        <v>3</v>
      </c>
      <c r="AJ65" s="185" t="s">
        <v>3</v>
      </c>
      <c r="AK65" s="185" t="s">
        <v>3</v>
      </c>
      <c r="AL65" s="185" t="s">
        <v>3</v>
      </c>
      <c r="AM65" s="185" t="s">
        <v>3</v>
      </c>
      <c r="AN65" s="185" t="s">
        <v>3</v>
      </c>
      <c r="AO65" s="185" t="s">
        <v>3</v>
      </c>
      <c r="AP65" s="185" t="s">
        <v>3</v>
      </c>
      <c r="AQ65" s="185" t="s">
        <v>3</v>
      </c>
      <c r="AR65" s="185" t="s">
        <v>3</v>
      </c>
      <c r="AS65" s="185" t="s">
        <v>3</v>
      </c>
      <c r="AT65" s="185" t="s">
        <v>3</v>
      </c>
      <c r="AU65" s="185" t="s">
        <v>2</v>
      </c>
      <c r="AV65" s="185" t="s">
        <v>2</v>
      </c>
      <c r="AW65" s="185" t="s">
        <v>3</v>
      </c>
      <c r="AX65" s="185" t="s">
        <v>3</v>
      </c>
      <c r="AY65" s="185" t="s">
        <v>3</v>
      </c>
      <c r="AZ65" s="185" t="s">
        <v>3</v>
      </c>
      <c r="BA65" s="185" t="s">
        <v>3</v>
      </c>
      <c r="BB65" s="185" t="s">
        <v>3</v>
      </c>
      <c r="BC65" s="185" t="s">
        <v>3</v>
      </c>
      <c r="BD65" s="185" t="s">
        <v>3</v>
      </c>
      <c r="BE65" s="185" t="s">
        <v>3</v>
      </c>
      <c r="BF65" s="185" t="s">
        <v>2</v>
      </c>
      <c r="BG65" s="185" t="s">
        <v>2</v>
      </c>
      <c r="BH65" s="185" t="s">
        <v>2</v>
      </c>
      <c r="BI65" s="185" t="s">
        <v>2</v>
      </c>
      <c r="BJ65" s="185" t="s">
        <v>2</v>
      </c>
      <c r="BK65" s="185" t="s">
        <v>3</v>
      </c>
      <c r="BL65" s="185" t="s">
        <v>3</v>
      </c>
      <c r="BM65" s="185" t="s">
        <v>3</v>
      </c>
      <c r="BN65" s="185" t="s">
        <v>3</v>
      </c>
      <c r="BO65" s="185" t="s">
        <v>3</v>
      </c>
      <c r="BP65" s="185" t="s">
        <v>2</v>
      </c>
      <c r="BQ65" s="185" t="s">
        <v>3</v>
      </c>
      <c r="BR65" s="185" t="s">
        <v>3</v>
      </c>
      <c r="BS65" s="185" t="s">
        <v>3</v>
      </c>
      <c r="BT65" s="185" t="s">
        <v>2</v>
      </c>
      <c r="BU65" s="185" t="s">
        <v>3</v>
      </c>
      <c r="BV65" s="185" t="s">
        <v>3</v>
      </c>
      <c r="BW65" s="185" t="s">
        <v>3</v>
      </c>
      <c r="BX65" s="185" t="s">
        <v>3</v>
      </c>
      <c r="BY65" s="185" t="s">
        <v>3</v>
      </c>
      <c r="BZ65" s="185" t="s">
        <v>3</v>
      </c>
      <c r="CA65" s="185" t="s">
        <v>3</v>
      </c>
      <c r="CB65" s="185" t="s">
        <v>3</v>
      </c>
      <c r="CC65" s="185" t="s">
        <v>3</v>
      </c>
      <c r="CD65" s="185" t="s">
        <v>3</v>
      </c>
      <c r="CE65" s="185" t="s">
        <v>3</v>
      </c>
      <c r="CF65" s="185" t="s">
        <v>3</v>
      </c>
      <c r="CG65" s="185" t="s">
        <v>3</v>
      </c>
      <c r="CH65" s="185" t="s">
        <v>3</v>
      </c>
      <c r="CI65" s="185" t="s">
        <v>3</v>
      </c>
      <c r="CJ65" s="185" t="s">
        <v>3</v>
      </c>
      <c r="CK65" s="185" t="s">
        <v>3</v>
      </c>
      <c r="CL65" s="185" t="s">
        <v>3</v>
      </c>
      <c r="CM65" s="185" t="s">
        <v>3</v>
      </c>
      <c r="CN65" s="185" t="s">
        <v>3</v>
      </c>
      <c r="CO65" s="185" t="s">
        <v>3</v>
      </c>
      <c r="CP65" s="185" t="s">
        <v>3</v>
      </c>
      <c r="CQ65" s="185" t="s">
        <v>3</v>
      </c>
      <c r="CR65" s="185" t="s">
        <v>3</v>
      </c>
      <c r="CS65" s="185" t="s">
        <v>3</v>
      </c>
      <c r="CT65" s="185" t="s">
        <v>3</v>
      </c>
      <c r="CU65" s="185" t="s">
        <v>3</v>
      </c>
      <c r="CV65" s="185" t="s">
        <v>3</v>
      </c>
      <c r="CW65" s="185" t="s">
        <v>3</v>
      </c>
      <c r="CX65" s="186"/>
      <c r="CY65" s="185">
        <v>20132072049</v>
      </c>
    </row>
    <row r="66" spans="1:103" ht="12.75" x14ac:dyDescent="0.2">
      <c r="A66" s="184">
        <v>42877.518423553236</v>
      </c>
      <c r="B66" s="185" t="s">
        <v>2314</v>
      </c>
      <c r="C66" s="185" t="s">
        <v>2235</v>
      </c>
      <c r="D66" s="185">
        <v>8</v>
      </c>
      <c r="E66" s="185" t="s">
        <v>2</v>
      </c>
      <c r="F66" s="185" t="s">
        <v>2</v>
      </c>
      <c r="G66" s="185" t="s">
        <v>3</v>
      </c>
      <c r="H66" s="185" t="s">
        <v>3</v>
      </c>
      <c r="I66" s="185" t="s">
        <v>3</v>
      </c>
      <c r="J66" s="185" t="s">
        <v>1</v>
      </c>
      <c r="K66" s="185" t="s">
        <v>3</v>
      </c>
      <c r="L66" s="185" t="s">
        <v>3</v>
      </c>
      <c r="M66" s="185" t="s">
        <v>3</v>
      </c>
      <c r="N66" s="185" t="s">
        <v>2</v>
      </c>
      <c r="O66" s="185" t="s">
        <v>1093</v>
      </c>
      <c r="P66" s="185" t="s">
        <v>1</v>
      </c>
      <c r="Q66" s="185" t="s">
        <v>1093</v>
      </c>
      <c r="R66" s="185" t="s">
        <v>2</v>
      </c>
      <c r="S66" s="185" t="s">
        <v>2</v>
      </c>
      <c r="T66" s="185" t="s">
        <v>2</v>
      </c>
      <c r="U66" s="185" t="s">
        <v>3</v>
      </c>
      <c r="V66" s="185" t="s">
        <v>3</v>
      </c>
      <c r="W66" s="185" t="s">
        <v>3</v>
      </c>
      <c r="X66" s="185" t="s">
        <v>3</v>
      </c>
      <c r="Y66" s="185" t="s">
        <v>3</v>
      </c>
      <c r="Z66" s="185" t="s">
        <v>3</v>
      </c>
      <c r="AA66" s="185" t="s">
        <v>3</v>
      </c>
      <c r="AB66" s="185" t="s">
        <v>3</v>
      </c>
      <c r="AC66" s="185" t="s">
        <v>2</v>
      </c>
      <c r="AD66" s="185" t="s">
        <v>2</v>
      </c>
      <c r="AE66" s="185" t="s">
        <v>2</v>
      </c>
      <c r="AF66" s="185" t="s">
        <v>2</v>
      </c>
      <c r="AG66" s="185" t="s">
        <v>2</v>
      </c>
      <c r="AH66" s="185" t="s">
        <v>2</v>
      </c>
      <c r="AI66" s="185" t="s">
        <v>1</v>
      </c>
      <c r="AJ66" s="185" t="s">
        <v>1</v>
      </c>
      <c r="AK66" s="185" t="s">
        <v>1</v>
      </c>
      <c r="AL66" s="185" t="s">
        <v>2</v>
      </c>
      <c r="AM66" s="185" t="s">
        <v>2</v>
      </c>
      <c r="AN66" s="185" t="s">
        <v>2</v>
      </c>
      <c r="AO66" s="185" t="s">
        <v>2</v>
      </c>
      <c r="AP66" s="185" t="s">
        <v>2</v>
      </c>
      <c r="AQ66" s="185" t="s">
        <v>3</v>
      </c>
      <c r="AR66" s="185" t="s">
        <v>1</v>
      </c>
      <c r="AS66" s="185" t="s">
        <v>3</v>
      </c>
      <c r="AT66" s="185" t="s">
        <v>3</v>
      </c>
      <c r="AU66" s="185" t="s">
        <v>3</v>
      </c>
      <c r="AV66" s="185" t="s">
        <v>3</v>
      </c>
      <c r="AW66" s="185" t="s">
        <v>2</v>
      </c>
      <c r="AX66" s="185" t="s">
        <v>2</v>
      </c>
      <c r="AY66" s="185" t="s">
        <v>3</v>
      </c>
      <c r="AZ66" s="185" t="s">
        <v>2</v>
      </c>
      <c r="BA66" s="185" t="s">
        <v>2</v>
      </c>
      <c r="BB66" s="185" t="s">
        <v>2</v>
      </c>
      <c r="BC66" s="185" t="s">
        <v>2</v>
      </c>
      <c r="BD66" s="185" t="s">
        <v>3</v>
      </c>
      <c r="BE66" s="185" t="s">
        <v>3</v>
      </c>
      <c r="BF66" s="185" t="s">
        <v>2</v>
      </c>
      <c r="BG66" s="185" t="s">
        <v>2</v>
      </c>
      <c r="BH66" s="185" t="s">
        <v>2</v>
      </c>
      <c r="BI66" s="185" t="s">
        <v>2</v>
      </c>
      <c r="BJ66" s="185" t="s">
        <v>3</v>
      </c>
      <c r="BK66" s="185" t="s">
        <v>3</v>
      </c>
      <c r="BL66" s="185" t="s">
        <v>3</v>
      </c>
      <c r="BM66" s="185" t="s">
        <v>3</v>
      </c>
      <c r="BN66" s="185" t="s">
        <v>3</v>
      </c>
      <c r="BO66" s="185" t="s">
        <v>3</v>
      </c>
      <c r="BP66" s="185" t="s">
        <v>3</v>
      </c>
      <c r="BQ66" s="185" t="s">
        <v>3</v>
      </c>
      <c r="BR66" s="185" t="s">
        <v>1092</v>
      </c>
      <c r="BS66" s="185" t="s">
        <v>1093</v>
      </c>
      <c r="BT66" s="185" t="s">
        <v>1</v>
      </c>
      <c r="BU66" s="185" t="s">
        <v>2</v>
      </c>
      <c r="BV66" s="185" t="s">
        <v>1</v>
      </c>
      <c r="BW66" s="185" t="s">
        <v>1</v>
      </c>
      <c r="BX66" s="185" t="s">
        <v>2</v>
      </c>
      <c r="BY66" s="185" t="s">
        <v>2</v>
      </c>
      <c r="BZ66" s="185" t="s">
        <v>2</v>
      </c>
      <c r="CA66" s="185" t="s">
        <v>1</v>
      </c>
      <c r="CB66" s="185" t="s">
        <v>2</v>
      </c>
      <c r="CC66" s="185" t="s">
        <v>1</v>
      </c>
      <c r="CD66" s="185" t="s">
        <v>1</v>
      </c>
      <c r="CE66" s="185" t="s">
        <v>2</v>
      </c>
      <c r="CF66" s="185" t="s">
        <v>1</v>
      </c>
      <c r="CG66" s="185" t="s">
        <v>2</v>
      </c>
      <c r="CH66" s="185" t="s">
        <v>1</v>
      </c>
      <c r="CI66" s="185" t="s">
        <v>1</v>
      </c>
      <c r="CJ66" s="185" t="s">
        <v>1</v>
      </c>
      <c r="CK66" s="185" t="s">
        <v>1</v>
      </c>
      <c r="CL66" s="185" t="s">
        <v>1</v>
      </c>
      <c r="CM66" s="185" t="s">
        <v>1</v>
      </c>
      <c r="CN66" s="185" t="s">
        <v>2</v>
      </c>
      <c r="CO66" s="185" t="s">
        <v>2</v>
      </c>
      <c r="CP66" s="185" t="s">
        <v>2</v>
      </c>
      <c r="CQ66" s="185" t="s">
        <v>2</v>
      </c>
      <c r="CR66" s="185" t="s">
        <v>2</v>
      </c>
      <c r="CS66" s="185" t="s">
        <v>2</v>
      </c>
      <c r="CT66" s="185" t="s">
        <v>2</v>
      </c>
      <c r="CU66" s="185" t="s">
        <v>2</v>
      </c>
      <c r="CV66" s="185" t="s">
        <v>2</v>
      </c>
      <c r="CW66" s="185" t="s">
        <v>2</v>
      </c>
      <c r="CX66" s="186"/>
      <c r="CY66" s="185">
        <v>20132072016</v>
      </c>
    </row>
    <row r="67" spans="1:103" ht="12.75" x14ac:dyDescent="0.2">
      <c r="A67" s="184">
        <v>42877.51915158565</v>
      </c>
      <c r="B67" s="185" t="s">
        <v>2315</v>
      </c>
      <c r="C67" s="185" t="s">
        <v>2235</v>
      </c>
      <c r="D67" s="185">
        <v>8</v>
      </c>
      <c r="E67" s="185" t="s">
        <v>3</v>
      </c>
      <c r="F67" s="185" t="s">
        <v>1092</v>
      </c>
      <c r="G67" s="185" t="s">
        <v>1092</v>
      </c>
      <c r="H67" s="185" t="s">
        <v>1092</v>
      </c>
      <c r="I67" s="185" t="s">
        <v>3</v>
      </c>
      <c r="J67" s="185" t="s">
        <v>2</v>
      </c>
      <c r="K67" s="185" t="s">
        <v>1092</v>
      </c>
      <c r="L67" s="185" t="s">
        <v>3</v>
      </c>
      <c r="M67" s="185" t="s">
        <v>3</v>
      </c>
      <c r="N67" s="185" t="s">
        <v>1092</v>
      </c>
      <c r="O67" s="185" t="s">
        <v>3</v>
      </c>
      <c r="P67" s="185" t="s">
        <v>2</v>
      </c>
      <c r="Q67" s="185" t="s">
        <v>1</v>
      </c>
      <c r="R67" s="185" t="s">
        <v>1092</v>
      </c>
      <c r="S67" s="185" t="s">
        <v>1092</v>
      </c>
      <c r="T67" s="185" t="s">
        <v>3</v>
      </c>
      <c r="U67" s="185" t="s">
        <v>3</v>
      </c>
      <c r="V67" s="185" t="s">
        <v>1092</v>
      </c>
      <c r="W67" s="185" t="s">
        <v>3</v>
      </c>
      <c r="X67" s="185" t="s">
        <v>1092</v>
      </c>
      <c r="Y67" s="185" t="s">
        <v>3</v>
      </c>
      <c r="Z67" s="185" t="s">
        <v>3</v>
      </c>
      <c r="AA67" s="185" t="s">
        <v>1092</v>
      </c>
      <c r="AB67" s="185" t="s">
        <v>3</v>
      </c>
      <c r="AC67" s="185" t="s">
        <v>3</v>
      </c>
      <c r="AD67" s="185" t="s">
        <v>1092</v>
      </c>
      <c r="AE67" s="185" t="s">
        <v>3</v>
      </c>
      <c r="AF67" s="185" t="s">
        <v>3</v>
      </c>
      <c r="AG67" s="185" t="s">
        <v>1092</v>
      </c>
      <c r="AH67" s="185" t="s">
        <v>3</v>
      </c>
      <c r="AI67" s="185" t="s">
        <v>3</v>
      </c>
      <c r="AJ67" s="185" t="s">
        <v>1092</v>
      </c>
      <c r="AK67" s="185" t="s">
        <v>1092</v>
      </c>
      <c r="AL67" s="185" t="s">
        <v>1092</v>
      </c>
      <c r="AM67" s="185" t="s">
        <v>1092</v>
      </c>
      <c r="AN67" s="185" t="s">
        <v>1092</v>
      </c>
      <c r="AO67" s="185" t="s">
        <v>1092</v>
      </c>
      <c r="AP67" s="185" t="s">
        <v>1092</v>
      </c>
      <c r="AQ67" s="185" t="s">
        <v>1092</v>
      </c>
      <c r="AR67" s="185" t="s">
        <v>2</v>
      </c>
      <c r="AS67" s="185" t="s">
        <v>3</v>
      </c>
      <c r="AT67" s="185" t="s">
        <v>1092</v>
      </c>
      <c r="AU67" s="185" t="s">
        <v>1092</v>
      </c>
      <c r="AV67" s="185" t="s">
        <v>1092</v>
      </c>
      <c r="AW67" s="185" t="s">
        <v>3</v>
      </c>
      <c r="AX67" s="185" t="s">
        <v>3</v>
      </c>
      <c r="AY67" s="185" t="s">
        <v>1092</v>
      </c>
      <c r="AZ67" s="185" t="s">
        <v>2</v>
      </c>
      <c r="BA67" s="185" t="s">
        <v>2</v>
      </c>
      <c r="BB67" s="185" t="s">
        <v>2</v>
      </c>
      <c r="BC67" s="185" t="s">
        <v>3</v>
      </c>
      <c r="BD67" s="185" t="s">
        <v>2</v>
      </c>
      <c r="BE67" s="185" t="s">
        <v>3</v>
      </c>
      <c r="BF67" s="185" t="s">
        <v>3</v>
      </c>
      <c r="BG67" s="185" t="s">
        <v>3</v>
      </c>
      <c r="BH67" s="185" t="s">
        <v>3</v>
      </c>
      <c r="BI67" s="185" t="s">
        <v>1092</v>
      </c>
      <c r="BJ67" s="185" t="s">
        <v>1092</v>
      </c>
      <c r="BK67" s="185" t="s">
        <v>3</v>
      </c>
      <c r="BL67" s="185" t="s">
        <v>3</v>
      </c>
      <c r="BM67" s="185" t="s">
        <v>3</v>
      </c>
      <c r="BN67" s="185" t="s">
        <v>3</v>
      </c>
      <c r="BO67" s="185" t="s">
        <v>1092</v>
      </c>
      <c r="BP67" s="185" t="s">
        <v>3</v>
      </c>
      <c r="BQ67" s="185" t="s">
        <v>3</v>
      </c>
      <c r="BR67" s="185" t="s">
        <v>3</v>
      </c>
      <c r="BS67" s="185" t="s">
        <v>3</v>
      </c>
      <c r="BT67" s="185" t="s">
        <v>3</v>
      </c>
      <c r="BU67" s="185" t="s">
        <v>3</v>
      </c>
      <c r="BV67" s="185" t="s">
        <v>3</v>
      </c>
      <c r="BW67" s="185" t="s">
        <v>3</v>
      </c>
      <c r="BX67" s="185" t="s">
        <v>3</v>
      </c>
      <c r="BY67" s="185" t="s">
        <v>3</v>
      </c>
      <c r="BZ67" s="185" t="s">
        <v>3</v>
      </c>
      <c r="CA67" s="185" t="s">
        <v>3</v>
      </c>
      <c r="CB67" s="185" t="s">
        <v>3</v>
      </c>
      <c r="CC67" s="185" t="s">
        <v>3</v>
      </c>
      <c r="CD67" s="185" t="s">
        <v>3</v>
      </c>
      <c r="CE67" s="185" t="s">
        <v>3</v>
      </c>
      <c r="CF67" s="185" t="s">
        <v>3</v>
      </c>
      <c r="CG67" s="185" t="s">
        <v>3</v>
      </c>
      <c r="CH67" s="185" t="s">
        <v>3</v>
      </c>
      <c r="CI67" s="185" t="s">
        <v>3</v>
      </c>
      <c r="CJ67" s="185" t="s">
        <v>3</v>
      </c>
      <c r="CK67" s="185" t="s">
        <v>3</v>
      </c>
      <c r="CL67" s="185" t="s">
        <v>3</v>
      </c>
      <c r="CM67" s="185" t="s">
        <v>3</v>
      </c>
      <c r="CN67" s="185" t="s">
        <v>3</v>
      </c>
      <c r="CO67" s="185" t="s">
        <v>3</v>
      </c>
      <c r="CP67" s="185" t="s">
        <v>3</v>
      </c>
      <c r="CQ67" s="185" t="s">
        <v>3</v>
      </c>
      <c r="CR67" s="185" t="s">
        <v>3</v>
      </c>
      <c r="CS67" s="185" t="s">
        <v>3</v>
      </c>
      <c r="CT67" s="185" t="s">
        <v>3</v>
      </c>
      <c r="CU67" s="185" t="s">
        <v>3</v>
      </c>
      <c r="CV67" s="185" t="s">
        <v>3</v>
      </c>
      <c r="CW67" s="185" t="s">
        <v>3</v>
      </c>
      <c r="CX67" s="186"/>
      <c r="CY67" s="185">
        <v>20132072088</v>
      </c>
    </row>
    <row r="68" spans="1:103" ht="12.75" x14ac:dyDescent="0.2">
      <c r="A68" s="184">
        <v>42877.519797604167</v>
      </c>
      <c r="B68" s="185" t="s">
        <v>2316</v>
      </c>
      <c r="C68" s="185" t="s">
        <v>2235</v>
      </c>
      <c r="D68" s="185">
        <v>9</v>
      </c>
      <c r="E68" s="185" t="s">
        <v>2</v>
      </c>
      <c r="F68" s="185" t="s">
        <v>1</v>
      </c>
      <c r="G68" s="185" t="s">
        <v>2</v>
      </c>
      <c r="H68" s="185" t="s">
        <v>1</v>
      </c>
      <c r="I68" s="185" t="s">
        <v>1</v>
      </c>
      <c r="J68" s="185" t="s">
        <v>1</v>
      </c>
      <c r="K68" s="185" t="s">
        <v>2</v>
      </c>
      <c r="L68" s="185" t="s">
        <v>1</v>
      </c>
      <c r="M68" s="185" t="s">
        <v>2</v>
      </c>
      <c r="N68" s="185" t="s">
        <v>5</v>
      </c>
      <c r="O68" s="185" t="s">
        <v>5</v>
      </c>
      <c r="P68" s="185" t="s">
        <v>5</v>
      </c>
      <c r="Q68" s="185" t="s">
        <v>1</v>
      </c>
      <c r="R68" s="185" t="s">
        <v>2</v>
      </c>
      <c r="S68" s="185" t="s">
        <v>2</v>
      </c>
      <c r="T68" s="185" t="s">
        <v>1</v>
      </c>
      <c r="U68" s="185" t="s">
        <v>1093</v>
      </c>
      <c r="V68" s="185" t="s">
        <v>2</v>
      </c>
      <c r="W68" s="185" t="s">
        <v>2</v>
      </c>
      <c r="X68" s="185" t="s">
        <v>3</v>
      </c>
      <c r="Y68" s="185" t="s">
        <v>3</v>
      </c>
      <c r="Z68" s="185" t="s">
        <v>2</v>
      </c>
      <c r="AA68" s="185" t="s">
        <v>2</v>
      </c>
      <c r="AB68" s="185" t="s">
        <v>3</v>
      </c>
      <c r="AC68" s="185" t="s">
        <v>1</v>
      </c>
      <c r="AD68" s="185" t="s">
        <v>2</v>
      </c>
      <c r="AE68" s="185" t="s">
        <v>2</v>
      </c>
      <c r="AF68" s="185" t="s">
        <v>3</v>
      </c>
      <c r="AG68" s="185" t="s">
        <v>1093</v>
      </c>
      <c r="AH68" s="185" t="s">
        <v>2</v>
      </c>
      <c r="AI68" s="185" t="s">
        <v>2</v>
      </c>
      <c r="AJ68" s="185" t="s">
        <v>1</v>
      </c>
      <c r="AK68" s="185" t="s">
        <v>2</v>
      </c>
      <c r="AL68" s="185" t="s">
        <v>2</v>
      </c>
      <c r="AM68" s="185" t="s">
        <v>2</v>
      </c>
      <c r="AN68" s="185" t="s">
        <v>2</v>
      </c>
      <c r="AO68" s="185" t="s">
        <v>2</v>
      </c>
      <c r="AP68" s="185" t="s">
        <v>2</v>
      </c>
      <c r="AQ68" s="185" t="s">
        <v>2</v>
      </c>
      <c r="AR68" s="185" t="s">
        <v>3</v>
      </c>
      <c r="AS68" s="185" t="s">
        <v>2</v>
      </c>
      <c r="AT68" s="185" t="s">
        <v>3</v>
      </c>
      <c r="AU68" s="185" t="s">
        <v>1092</v>
      </c>
      <c r="AV68" s="185" t="s">
        <v>2</v>
      </c>
      <c r="AW68" s="185" t="s">
        <v>2</v>
      </c>
      <c r="AX68" s="185" t="s">
        <v>3</v>
      </c>
      <c r="AY68" s="185" t="s">
        <v>2</v>
      </c>
      <c r="AZ68" s="185" t="s">
        <v>1</v>
      </c>
      <c r="BA68" s="185" t="s">
        <v>1093</v>
      </c>
      <c r="BB68" s="185" t="s">
        <v>5</v>
      </c>
      <c r="BC68" s="185" t="s">
        <v>5</v>
      </c>
      <c r="BD68" s="185" t="s">
        <v>1093</v>
      </c>
      <c r="BE68" s="185" t="s">
        <v>1093</v>
      </c>
      <c r="BF68" s="185" t="s">
        <v>2</v>
      </c>
      <c r="BG68" s="185" t="s">
        <v>2</v>
      </c>
      <c r="BH68" s="185" t="s">
        <v>2</v>
      </c>
      <c r="BI68" s="185" t="s">
        <v>2</v>
      </c>
      <c r="BJ68" s="185" t="s">
        <v>2</v>
      </c>
      <c r="BK68" s="185" t="s">
        <v>2</v>
      </c>
      <c r="BL68" s="185" t="s">
        <v>2</v>
      </c>
      <c r="BM68" s="185" t="s">
        <v>3</v>
      </c>
      <c r="BN68" s="185" t="s">
        <v>3</v>
      </c>
      <c r="BO68" s="185" t="s">
        <v>1</v>
      </c>
      <c r="BP68" s="185" t="s">
        <v>2</v>
      </c>
      <c r="BQ68" s="185" t="s">
        <v>2</v>
      </c>
      <c r="BR68" s="185" t="s">
        <v>3</v>
      </c>
      <c r="BS68" s="185" t="s">
        <v>2</v>
      </c>
      <c r="BT68" s="185" t="s">
        <v>2</v>
      </c>
      <c r="BU68" s="185" t="s">
        <v>2</v>
      </c>
      <c r="BV68" s="185" t="s">
        <v>2</v>
      </c>
      <c r="BW68" s="185" t="s">
        <v>2</v>
      </c>
      <c r="BX68" s="185" t="s">
        <v>2</v>
      </c>
      <c r="BY68" s="185" t="s">
        <v>2</v>
      </c>
      <c r="BZ68" s="185" t="s">
        <v>1093</v>
      </c>
      <c r="CA68" s="185" t="s">
        <v>2</v>
      </c>
      <c r="CB68" s="185" t="s">
        <v>2</v>
      </c>
      <c r="CC68" s="185" t="s">
        <v>2</v>
      </c>
      <c r="CD68" s="185" t="s">
        <v>2</v>
      </c>
      <c r="CE68" s="185" t="s">
        <v>2</v>
      </c>
      <c r="CF68" s="185" t="s">
        <v>2</v>
      </c>
      <c r="CG68" s="185" t="s">
        <v>2</v>
      </c>
      <c r="CH68" s="185" t="s">
        <v>2</v>
      </c>
      <c r="CI68" s="185" t="s">
        <v>2</v>
      </c>
      <c r="CJ68" s="185" t="s">
        <v>2</v>
      </c>
      <c r="CK68" s="185" t="s">
        <v>2</v>
      </c>
      <c r="CL68" s="185" t="s">
        <v>2</v>
      </c>
      <c r="CM68" s="185" t="s">
        <v>2</v>
      </c>
      <c r="CN68" s="185" t="s">
        <v>2</v>
      </c>
      <c r="CO68" s="185" t="s">
        <v>2</v>
      </c>
      <c r="CP68" s="185" t="s">
        <v>2</v>
      </c>
      <c r="CQ68" s="185" t="s">
        <v>2</v>
      </c>
      <c r="CR68" s="185" t="s">
        <v>2</v>
      </c>
      <c r="CS68" s="185" t="s">
        <v>2</v>
      </c>
      <c r="CT68" s="185" t="s">
        <v>2</v>
      </c>
      <c r="CU68" s="185" t="s">
        <v>2</v>
      </c>
      <c r="CV68" s="185" t="s">
        <v>2</v>
      </c>
      <c r="CW68" s="185" t="s">
        <v>2</v>
      </c>
      <c r="CX68" s="186"/>
      <c r="CY68" s="185">
        <v>20131072014</v>
      </c>
    </row>
    <row r="69" spans="1:103" ht="12.75" x14ac:dyDescent="0.2">
      <c r="A69" s="184">
        <v>42877.519959583333</v>
      </c>
      <c r="B69" s="185" t="s">
        <v>2317</v>
      </c>
      <c r="C69" s="185" t="s">
        <v>2235</v>
      </c>
      <c r="D69" s="185">
        <v>9</v>
      </c>
      <c r="E69" s="185" t="s">
        <v>1093</v>
      </c>
      <c r="F69" s="185" t="s">
        <v>3</v>
      </c>
      <c r="G69" s="185" t="s">
        <v>3</v>
      </c>
      <c r="H69" s="185" t="s">
        <v>3</v>
      </c>
      <c r="I69" s="185" t="s">
        <v>2</v>
      </c>
      <c r="J69" s="185" t="s">
        <v>1093</v>
      </c>
      <c r="K69" s="185" t="s">
        <v>3</v>
      </c>
      <c r="L69" s="185" t="s">
        <v>2</v>
      </c>
      <c r="M69" s="185" t="s">
        <v>1092</v>
      </c>
      <c r="N69" s="185" t="s">
        <v>3</v>
      </c>
      <c r="O69" s="185" t="s">
        <v>3</v>
      </c>
      <c r="P69" s="185" t="s">
        <v>1093</v>
      </c>
      <c r="Q69" s="185" t="s">
        <v>1</v>
      </c>
      <c r="R69" s="185" t="s">
        <v>1</v>
      </c>
      <c r="S69" s="185" t="s">
        <v>1</v>
      </c>
      <c r="T69" s="185" t="s">
        <v>1093</v>
      </c>
      <c r="U69" s="185" t="s">
        <v>2</v>
      </c>
      <c r="V69" s="185" t="s">
        <v>3</v>
      </c>
      <c r="W69" s="185" t="s">
        <v>1</v>
      </c>
      <c r="X69" s="185" t="s">
        <v>3</v>
      </c>
      <c r="Y69" s="185" t="s">
        <v>2</v>
      </c>
      <c r="Z69" s="185" t="s">
        <v>1</v>
      </c>
      <c r="AA69" s="185" t="s">
        <v>3</v>
      </c>
      <c r="AB69" s="185" t="s">
        <v>2</v>
      </c>
      <c r="AC69" s="185" t="s">
        <v>2</v>
      </c>
      <c r="AD69" s="185" t="s">
        <v>1093</v>
      </c>
      <c r="AE69" s="185" t="s">
        <v>1093</v>
      </c>
      <c r="AF69" s="185" t="s">
        <v>3</v>
      </c>
      <c r="AG69" s="185" t="s">
        <v>2</v>
      </c>
      <c r="AH69" s="185" t="s">
        <v>3</v>
      </c>
      <c r="AI69" s="185" t="s">
        <v>3</v>
      </c>
      <c r="AJ69" s="185" t="s">
        <v>2</v>
      </c>
      <c r="AK69" s="185" t="s">
        <v>2</v>
      </c>
      <c r="AL69" s="185" t="s">
        <v>2</v>
      </c>
      <c r="AM69" s="185" t="s">
        <v>1</v>
      </c>
      <c r="AN69" s="185" t="s">
        <v>2</v>
      </c>
      <c r="AO69" s="185" t="s">
        <v>2</v>
      </c>
      <c r="AP69" s="185" t="s">
        <v>1093</v>
      </c>
      <c r="AQ69" s="185" t="s">
        <v>1093</v>
      </c>
      <c r="AR69" s="185" t="s">
        <v>2</v>
      </c>
      <c r="AS69" s="185" t="s">
        <v>2</v>
      </c>
      <c r="AT69" s="185" t="s">
        <v>1092</v>
      </c>
      <c r="AU69" s="185" t="s">
        <v>2</v>
      </c>
      <c r="AV69" s="185" t="s">
        <v>1093</v>
      </c>
      <c r="AW69" s="185" t="s">
        <v>2</v>
      </c>
      <c r="AX69" s="185" t="s">
        <v>2</v>
      </c>
      <c r="AY69" s="185" t="s">
        <v>3</v>
      </c>
      <c r="AZ69" s="185" t="s">
        <v>1093</v>
      </c>
      <c r="BA69" s="185" t="s">
        <v>1093</v>
      </c>
      <c r="BB69" s="185" t="s">
        <v>2</v>
      </c>
      <c r="BC69" s="185" t="s">
        <v>1093</v>
      </c>
      <c r="BD69" s="185" t="s">
        <v>1093</v>
      </c>
      <c r="BE69" s="185" t="s">
        <v>1093</v>
      </c>
      <c r="BF69" s="185" t="s">
        <v>2</v>
      </c>
      <c r="BG69" s="185" t="s">
        <v>2</v>
      </c>
      <c r="BH69" s="185" t="s">
        <v>2</v>
      </c>
      <c r="BI69" s="185" t="s">
        <v>2</v>
      </c>
      <c r="BJ69" s="185" t="s">
        <v>2</v>
      </c>
      <c r="BK69" s="185" t="s">
        <v>3</v>
      </c>
      <c r="BL69" s="185" t="s">
        <v>1092</v>
      </c>
      <c r="BM69" s="185" t="s">
        <v>1093</v>
      </c>
      <c r="BN69" s="185" t="s">
        <v>2</v>
      </c>
      <c r="BO69" s="185" t="s">
        <v>2</v>
      </c>
      <c r="BP69" s="185" t="s">
        <v>3</v>
      </c>
      <c r="BQ69" s="185" t="s">
        <v>2</v>
      </c>
      <c r="BR69" s="185" t="s">
        <v>3</v>
      </c>
      <c r="BS69" s="185" t="s">
        <v>3</v>
      </c>
      <c r="BT69" s="185" t="s">
        <v>2</v>
      </c>
      <c r="BU69" s="185" t="s">
        <v>3</v>
      </c>
      <c r="BV69" s="185" t="s">
        <v>2</v>
      </c>
      <c r="BW69" s="185" t="s">
        <v>2</v>
      </c>
      <c r="BX69" s="185" t="s">
        <v>1093</v>
      </c>
      <c r="BY69" s="185" t="s">
        <v>1093</v>
      </c>
      <c r="BZ69" s="185" t="s">
        <v>1093</v>
      </c>
      <c r="CA69" s="185" t="s">
        <v>2</v>
      </c>
      <c r="CB69" s="185" t="s">
        <v>3</v>
      </c>
      <c r="CC69" s="185" t="s">
        <v>2</v>
      </c>
      <c r="CD69" s="185" t="s">
        <v>2</v>
      </c>
      <c r="CE69" s="185" t="s">
        <v>3</v>
      </c>
      <c r="CF69" s="185" t="s">
        <v>1093</v>
      </c>
      <c r="CG69" s="185" t="s">
        <v>1093</v>
      </c>
      <c r="CH69" s="185" t="s">
        <v>2</v>
      </c>
      <c r="CI69" s="185" t="s">
        <v>2</v>
      </c>
      <c r="CJ69" s="185" t="s">
        <v>2</v>
      </c>
      <c r="CK69" s="185" t="s">
        <v>3</v>
      </c>
      <c r="CL69" s="185" t="s">
        <v>2</v>
      </c>
      <c r="CM69" s="185" t="s">
        <v>2</v>
      </c>
      <c r="CN69" s="185" t="s">
        <v>2</v>
      </c>
      <c r="CO69" s="185" t="s">
        <v>2</v>
      </c>
      <c r="CP69" s="185" t="s">
        <v>3</v>
      </c>
      <c r="CQ69" s="185" t="s">
        <v>3</v>
      </c>
      <c r="CR69" s="185" t="s">
        <v>2</v>
      </c>
      <c r="CS69" s="185" t="s">
        <v>3</v>
      </c>
      <c r="CT69" s="185" t="s">
        <v>2</v>
      </c>
      <c r="CU69" s="185" t="s">
        <v>2</v>
      </c>
      <c r="CV69" s="185" t="s">
        <v>2</v>
      </c>
      <c r="CW69" s="185" t="s">
        <v>2</v>
      </c>
      <c r="CX69" s="186"/>
      <c r="CY69" s="185">
        <v>20131072057</v>
      </c>
    </row>
    <row r="70" spans="1:103" ht="12.75" x14ac:dyDescent="0.2">
      <c r="A70" s="184">
        <v>42877.546864050921</v>
      </c>
      <c r="B70" s="185" t="s">
        <v>2318</v>
      </c>
      <c r="C70" s="185" t="s">
        <v>2237</v>
      </c>
      <c r="D70" s="185">
        <v>1</v>
      </c>
      <c r="E70" s="185" t="s">
        <v>1092</v>
      </c>
      <c r="F70" s="185" t="s">
        <v>1</v>
      </c>
      <c r="G70" s="185" t="s">
        <v>1092</v>
      </c>
      <c r="H70" s="185" t="s">
        <v>1092</v>
      </c>
      <c r="I70" s="185" t="s">
        <v>3</v>
      </c>
      <c r="J70" s="185" t="s">
        <v>2</v>
      </c>
      <c r="K70" s="185" t="s">
        <v>1092</v>
      </c>
      <c r="L70" s="185" t="s">
        <v>1092</v>
      </c>
      <c r="M70" s="185" t="s">
        <v>1092</v>
      </c>
      <c r="N70" s="185" t="s">
        <v>3</v>
      </c>
      <c r="O70" s="185" t="s">
        <v>3</v>
      </c>
      <c r="P70" s="185" t="s">
        <v>3</v>
      </c>
      <c r="Q70" s="185" t="s">
        <v>1</v>
      </c>
      <c r="R70" s="185" t="s">
        <v>3</v>
      </c>
      <c r="S70" s="185" t="s">
        <v>3</v>
      </c>
      <c r="T70" s="185" t="s">
        <v>2</v>
      </c>
      <c r="U70" s="185" t="s">
        <v>2</v>
      </c>
      <c r="V70" s="185" t="s">
        <v>1092</v>
      </c>
      <c r="W70" s="185" t="s">
        <v>3</v>
      </c>
      <c r="X70" s="185" t="s">
        <v>1092</v>
      </c>
      <c r="Y70" s="185" t="s">
        <v>1092</v>
      </c>
      <c r="Z70" s="185" t="s">
        <v>3</v>
      </c>
      <c r="AA70" s="185" t="s">
        <v>3</v>
      </c>
      <c r="AB70" s="185" t="s">
        <v>3</v>
      </c>
      <c r="AC70" s="185" t="s">
        <v>3</v>
      </c>
      <c r="AD70" s="185" t="s">
        <v>3</v>
      </c>
      <c r="AE70" s="185" t="s">
        <v>3</v>
      </c>
      <c r="AF70" s="185" t="s">
        <v>3</v>
      </c>
      <c r="AG70" s="185" t="s">
        <v>2</v>
      </c>
      <c r="AH70" s="185" t="s">
        <v>1</v>
      </c>
      <c r="AI70" s="185" t="s">
        <v>1</v>
      </c>
      <c r="AJ70" s="185" t="s">
        <v>3</v>
      </c>
      <c r="AK70" s="185" t="s">
        <v>1092</v>
      </c>
      <c r="AL70" s="185" t="s">
        <v>1092</v>
      </c>
      <c r="AM70" s="185" t="s">
        <v>3</v>
      </c>
      <c r="AN70" s="185" t="s">
        <v>1092</v>
      </c>
      <c r="AO70" s="185" t="s">
        <v>3</v>
      </c>
      <c r="AP70" s="185" t="s">
        <v>1092</v>
      </c>
      <c r="AQ70" s="185" t="s">
        <v>1092</v>
      </c>
      <c r="AR70" s="185" t="s">
        <v>1092</v>
      </c>
      <c r="AS70" s="185" t="s">
        <v>1092</v>
      </c>
      <c r="AT70" s="185" t="s">
        <v>1092</v>
      </c>
      <c r="AU70" s="185" t="s">
        <v>1</v>
      </c>
      <c r="AV70" s="185" t="s">
        <v>3</v>
      </c>
      <c r="AW70" s="185" t="s">
        <v>1092</v>
      </c>
      <c r="AX70" s="185" t="s">
        <v>1092</v>
      </c>
      <c r="AY70" s="185" t="s">
        <v>3</v>
      </c>
      <c r="AZ70" s="185" t="s">
        <v>3</v>
      </c>
      <c r="BA70" s="185" t="s">
        <v>1092</v>
      </c>
      <c r="BB70" s="185" t="s">
        <v>1092</v>
      </c>
      <c r="BC70" s="185" t="s">
        <v>3</v>
      </c>
      <c r="BD70" s="185" t="s">
        <v>1</v>
      </c>
      <c r="BE70" s="185" t="s">
        <v>1092</v>
      </c>
      <c r="BF70" s="185" t="s">
        <v>3</v>
      </c>
      <c r="BG70" s="185" t="s">
        <v>3</v>
      </c>
      <c r="BH70" s="185" t="s">
        <v>3</v>
      </c>
      <c r="BI70" s="185" t="s">
        <v>3</v>
      </c>
      <c r="BJ70" s="185" t="s">
        <v>3</v>
      </c>
      <c r="BK70" s="185" t="s">
        <v>3</v>
      </c>
      <c r="BL70" s="185" t="s">
        <v>3</v>
      </c>
      <c r="BM70" s="185" t="s">
        <v>2</v>
      </c>
      <c r="BN70" s="185" t="s">
        <v>3</v>
      </c>
      <c r="BO70" s="185" t="s">
        <v>3</v>
      </c>
      <c r="BP70" s="185" t="s">
        <v>1092</v>
      </c>
      <c r="BQ70" s="185" t="s">
        <v>2</v>
      </c>
      <c r="BR70" s="185" t="s">
        <v>2</v>
      </c>
      <c r="BS70" s="185" t="s">
        <v>1092</v>
      </c>
      <c r="BT70" s="185" t="s">
        <v>3</v>
      </c>
      <c r="BU70" s="185" t="s">
        <v>3</v>
      </c>
      <c r="BV70" s="185" t="s">
        <v>3</v>
      </c>
      <c r="BW70" s="185" t="s">
        <v>3</v>
      </c>
      <c r="BX70" s="185" t="s">
        <v>3</v>
      </c>
      <c r="BY70" s="185" t="s">
        <v>3</v>
      </c>
      <c r="BZ70" s="185" t="s">
        <v>1</v>
      </c>
      <c r="CA70" s="185" t="s">
        <v>3</v>
      </c>
      <c r="CB70" s="185" t="s">
        <v>3</v>
      </c>
      <c r="CC70" s="185" t="s">
        <v>3</v>
      </c>
      <c r="CD70" s="185" t="s">
        <v>1092</v>
      </c>
      <c r="CE70" s="185" t="s">
        <v>1092</v>
      </c>
      <c r="CF70" s="185" t="s">
        <v>2</v>
      </c>
      <c r="CG70" s="185" t="s">
        <v>2</v>
      </c>
      <c r="CH70" s="185" t="s">
        <v>1092</v>
      </c>
      <c r="CI70" s="185" t="s">
        <v>3</v>
      </c>
      <c r="CJ70" s="185" t="s">
        <v>3</v>
      </c>
      <c r="CK70" s="185" t="s">
        <v>3</v>
      </c>
      <c r="CL70" s="185" t="s">
        <v>3</v>
      </c>
      <c r="CM70" s="185" t="s">
        <v>3</v>
      </c>
      <c r="CN70" s="185" t="s">
        <v>5</v>
      </c>
      <c r="CO70" s="185" t="s">
        <v>1092</v>
      </c>
      <c r="CP70" s="185" t="s">
        <v>3</v>
      </c>
      <c r="CQ70" s="185" t="s">
        <v>1092</v>
      </c>
      <c r="CR70" s="185" t="s">
        <v>2</v>
      </c>
      <c r="CS70" s="185" t="s">
        <v>1092</v>
      </c>
      <c r="CT70" s="185" t="s">
        <v>1092</v>
      </c>
      <c r="CU70" s="185" t="s">
        <v>1093</v>
      </c>
      <c r="CV70" s="185" t="s">
        <v>1093</v>
      </c>
      <c r="CW70" s="185" t="s">
        <v>1093</v>
      </c>
      <c r="CX70" s="186"/>
      <c r="CY70" s="185">
        <v>20171772021</v>
      </c>
    </row>
    <row r="71" spans="1:103" ht="12.75" x14ac:dyDescent="0.2">
      <c r="A71" s="184">
        <v>42877.547364108796</v>
      </c>
      <c r="B71" s="185" t="s">
        <v>2319</v>
      </c>
      <c r="C71" s="185" t="s">
        <v>2237</v>
      </c>
      <c r="D71" s="185">
        <v>1</v>
      </c>
      <c r="E71" s="185" t="s">
        <v>2</v>
      </c>
      <c r="F71" s="185" t="s">
        <v>1092</v>
      </c>
      <c r="G71" s="185" t="s">
        <v>3</v>
      </c>
      <c r="H71" s="185" t="s">
        <v>2</v>
      </c>
      <c r="I71" s="185" t="s">
        <v>1</v>
      </c>
      <c r="J71" s="185" t="s">
        <v>2</v>
      </c>
      <c r="K71" s="185" t="s">
        <v>1092</v>
      </c>
      <c r="L71" s="185" t="s">
        <v>1092</v>
      </c>
      <c r="M71" s="185" t="s">
        <v>2</v>
      </c>
      <c r="N71" s="185" t="s">
        <v>2</v>
      </c>
      <c r="O71" s="185" t="s">
        <v>2</v>
      </c>
      <c r="P71" s="185" t="s">
        <v>2</v>
      </c>
      <c r="Q71" s="185" t="s">
        <v>3</v>
      </c>
      <c r="R71" s="185" t="s">
        <v>3</v>
      </c>
      <c r="S71" s="185" t="s">
        <v>3</v>
      </c>
      <c r="T71" s="185" t="s">
        <v>2</v>
      </c>
      <c r="U71" s="185" t="s">
        <v>2</v>
      </c>
      <c r="V71" s="185" t="s">
        <v>2</v>
      </c>
      <c r="W71" s="185" t="s">
        <v>3</v>
      </c>
      <c r="X71" s="185" t="s">
        <v>3</v>
      </c>
      <c r="Y71" s="185" t="s">
        <v>2</v>
      </c>
      <c r="Z71" s="185" t="s">
        <v>2</v>
      </c>
      <c r="AA71" s="185" t="s">
        <v>2</v>
      </c>
      <c r="AB71" s="185" t="s">
        <v>1</v>
      </c>
      <c r="AC71" s="185" t="s">
        <v>2</v>
      </c>
      <c r="AD71" s="185" t="s">
        <v>2</v>
      </c>
      <c r="AE71" s="185" t="s">
        <v>2</v>
      </c>
      <c r="AF71" s="185" t="s">
        <v>1</v>
      </c>
      <c r="AG71" s="185" t="s">
        <v>2</v>
      </c>
      <c r="AH71" s="185" t="s">
        <v>1</v>
      </c>
      <c r="AI71" s="185" t="s">
        <v>2</v>
      </c>
      <c r="AJ71" s="185" t="s">
        <v>2</v>
      </c>
      <c r="AK71" s="185" t="s">
        <v>2</v>
      </c>
      <c r="AL71" s="185" t="s">
        <v>2</v>
      </c>
      <c r="AM71" s="185" t="s">
        <v>2</v>
      </c>
      <c r="AN71" s="185" t="s">
        <v>2</v>
      </c>
      <c r="AO71" s="185" t="s">
        <v>3</v>
      </c>
      <c r="AP71" s="185" t="s">
        <v>2</v>
      </c>
      <c r="AQ71" s="185" t="s">
        <v>2</v>
      </c>
      <c r="AR71" s="185" t="s">
        <v>2</v>
      </c>
      <c r="AS71" s="185" t="s">
        <v>2</v>
      </c>
      <c r="AT71" s="185" t="s">
        <v>3</v>
      </c>
      <c r="AU71" s="185" t="s">
        <v>3</v>
      </c>
      <c r="AV71" s="185" t="s">
        <v>3</v>
      </c>
      <c r="AW71" s="185" t="s">
        <v>3</v>
      </c>
      <c r="AX71" s="185" t="s">
        <v>2</v>
      </c>
      <c r="AY71" s="185" t="s">
        <v>2</v>
      </c>
      <c r="AZ71" s="185" t="s">
        <v>2</v>
      </c>
      <c r="BA71" s="185" t="s">
        <v>2</v>
      </c>
      <c r="BB71" s="185" t="s">
        <v>2</v>
      </c>
      <c r="BC71" s="185" t="s">
        <v>2</v>
      </c>
      <c r="BD71" s="185" t="s">
        <v>2</v>
      </c>
      <c r="BE71" s="185" t="s">
        <v>2</v>
      </c>
      <c r="BF71" s="185" t="s">
        <v>2</v>
      </c>
      <c r="BG71" s="185" t="s">
        <v>2</v>
      </c>
      <c r="BH71" s="185" t="s">
        <v>2</v>
      </c>
      <c r="BI71" s="185" t="s">
        <v>2</v>
      </c>
      <c r="BJ71" s="185" t="s">
        <v>2</v>
      </c>
      <c r="BK71" s="185" t="s">
        <v>2</v>
      </c>
      <c r="BL71" s="185" t="s">
        <v>2</v>
      </c>
      <c r="BM71" s="185" t="s">
        <v>2</v>
      </c>
      <c r="BN71" s="185" t="s">
        <v>2</v>
      </c>
      <c r="BO71" s="185" t="s">
        <v>2</v>
      </c>
      <c r="BP71" s="185" t="s">
        <v>2</v>
      </c>
      <c r="BQ71" s="185" t="s">
        <v>2</v>
      </c>
      <c r="BR71" s="185" t="s">
        <v>2</v>
      </c>
      <c r="BS71" s="185" t="s">
        <v>2</v>
      </c>
      <c r="BT71" s="185" t="s">
        <v>2</v>
      </c>
      <c r="BU71" s="185" t="s">
        <v>2</v>
      </c>
      <c r="BV71" s="185" t="s">
        <v>2</v>
      </c>
      <c r="BW71" s="185" t="s">
        <v>2</v>
      </c>
      <c r="BX71" s="185" t="s">
        <v>2</v>
      </c>
      <c r="BY71" s="185" t="s">
        <v>2</v>
      </c>
      <c r="BZ71" s="185" t="s">
        <v>2</v>
      </c>
      <c r="CA71" s="185" t="s">
        <v>2</v>
      </c>
      <c r="CB71" s="185" t="s">
        <v>2</v>
      </c>
      <c r="CC71" s="185" t="s">
        <v>2</v>
      </c>
      <c r="CD71" s="185" t="s">
        <v>2</v>
      </c>
      <c r="CE71" s="185" t="s">
        <v>2</v>
      </c>
      <c r="CF71" s="185" t="s">
        <v>2</v>
      </c>
      <c r="CG71" s="185" t="s">
        <v>2</v>
      </c>
      <c r="CH71" s="185" t="s">
        <v>2</v>
      </c>
      <c r="CI71" s="185" t="s">
        <v>2</v>
      </c>
      <c r="CJ71" s="185" t="s">
        <v>2</v>
      </c>
      <c r="CK71" s="185" t="s">
        <v>2</v>
      </c>
      <c r="CL71" s="185" t="s">
        <v>2</v>
      </c>
      <c r="CM71" s="185" t="s">
        <v>2</v>
      </c>
      <c r="CN71" s="185" t="s">
        <v>2</v>
      </c>
      <c r="CO71" s="185" t="s">
        <v>2</v>
      </c>
      <c r="CP71" s="185" t="s">
        <v>2</v>
      </c>
      <c r="CQ71" s="185" t="s">
        <v>2</v>
      </c>
      <c r="CR71" s="185" t="s">
        <v>2</v>
      </c>
      <c r="CS71" s="185" t="s">
        <v>2</v>
      </c>
      <c r="CT71" s="185" t="s">
        <v>2</v>
      </c>
      <c r="CU71" s="185" t="s">
        <v>2</v>
      </c>
      <c r="CV71" s="185" t="s">
        <v>2</v>
      </c>
      <c r="CW71" s="185" t="s">
        <v>2</v>
      </c>
      <c r="CX71" s="186"/>
      <c r="CY71" s="185">
        <v>20171772025</v>
      </c>
    </row>
    <row r="72" spans="1:103" ht="12.75" x14ac:dyDescent="0.2">
      <c r="A72" s="184">
        <v>42877.548116527774</v>
      </c>
      <c r="B72" s="185" t="s">
        <v>2320</v>
      </c>
      <c r="C72" s="185" t="s">
        <v>2237</v>
      </c>
      <c r="D72" s="185">
        <v>1</v>
      </c>
      <c r="E72" s="185" t="s">
        <v>3</v>
      </c>
      <c r="F72" s="185" t="s">
        <v>3</v>
      </c>
      <c r="G72" s="185" t="s">
        <v>1092</v>
      </c>
      <c r="H72" s="185" t="s">
        <v>2</v>
      </c>
      <c r="I72" s="185" t="s">
        <v>1093</v>
      </c>
      <c r="J72" s="185" t="s">
        <v>3</v>
      </c>
      <c r="K72" s="185" t="s">
        <v>2</v>
      </c>
      <c r="L72" s="185" t="s">
        <v>2</v>
      </c>
      <c r="M72" s="185" t="s">
        <v>3</v>
      </c>
      <c r="N72" s="185" t="s">
        <v>1092</v>
      </c>
      <c r="O72" s="185" t="s">
        <v>2</v>
      </c>
      <c r="P72" s="185" t="s">
        <v>2</v>
      </c>
      <c r="Q72" s="185" t="s">
        <v>1092</v>
      </c>
      <c r="R72" s="185" t="s">
        <v>1092</v>
      </c>
      <c r="S72" s="185" t="s">
        <v>1092</v>
      </c>
      <c r="T72" s="185" t="s">
        <v>2</v>
      </c>
      <c r="U72" s="185" t="s">
        <v>2</v>
      </c>
      <c r="V72" s="185" t="s">
        <v>2</v>
      </c>
      <c r="W72" s="185" t="s">
        <v>2</v>
      </c>
      <c r="X72" s="185" t="s">
        <v>2</v>
      </c>
      <c r="Y72" s="185" t="s">
        <v>1092</v>
      </c>
      <c r="Z72" s="185" t="s">
        <v>2</v>
      </c>
      <c r="AA72" s="185" t="s">
        <v>3</v>
      </c>
      <c r="AB72" s="185" t="s">
        <v>3</v>
      </c>
      <c r="AC72" s="185" t="s">
        <v>3</v>
      </c>
      <c r="AD72" s="185" t="s">
        <v>3</v>
      </c>
      <c r="AE72" s="185" t="s">
        <v>3</v>
      </c>
      <c r="AF72" s="185" t="s">
        <v>2</v>
      </c>
      <c r="AG72" s="185" t="s">
        <v>5</v>
      </c>
      <c r="AH72" s="185" t="s">
        <v>5</v>
      </c>
      <c r="AI72" s="185" t="s">
        <v>5</v>
      </c>
      <c r="AJ72" s="185" t="s">
        <v>1</v>
      </c>
      <c r="AK72" s="185" t="s">
        <v>3</v>
      </c>
      <c r="AL72" s="185" t="s">
        <v>2</v>
      </c>
      <c r="AM72" s="185" t="s">
        <v>3</v>
      </c>
      <c r="AN72" s="185" t="s">
        <v>3</v>
      </c>
      <c r="AO72" s="185" t="s">
        <v>3</v>
      </c>
      <c r="AP72" s="185" t="s">
        <v>5</v>
      </c>
      <c r="AQ72" s="185" t="s">
        <v>5</v>
      </c>
      <c r="AR72" s="185" t="s">
        <v>2</v>
      </c>
      <c r="AS72" s="185" t="s">
        <v>3</v>
      </c>
      <c r="AT72" s="185" t="s">
        <v>2</v>
      </c>
      <c r="AU72" s="185" t="s">
        <v>3</v>
      </c>
      <c r="AV72" s="185" t="s">
        <v>2</v>
      </c>
      <c r="AW72" s="185" t="s">
        <v>3</v>
      </c>
      <c r="AX72" s="185" t="s">
        <v>3</v>
      </c>
      <c r="AY72" s="185" t="s">
        <v>2</v>
      </c>
      <c r="AZ72" s="185" t="s">
        <v>2</v>
      </c>
      <c r="BA72" s="185" t="s">
        <v>1093</v>
      </c>
      <c r="BB72" s="185" t="s">
        <v>1</v>
      </c>
      <c r="BC72" s="185" t="s">
        <v>1</v>
      </c>
      <c r="BD72" s="185" t="s">
        <v>5</v>
      </c>
      <c r="BE72" s="185" t="s">
        <v>2</v>
      </c>
      <c r="BF72" s="185" t="s">
        <v>2</v>
      </c>
      <c r="BG72" s="185" t="s">
        <v>2</v>
      </c>
      <c r="BH72" s="185" t="s">
        <v>2</v>
      </c>
      <c r="BI72" s="185" t="s">
        <v>1092</v>
      </c>
      <c r="BJ72" s="185" t="s">
        <v>1092</v>
      </c>
      <c r="BK72" s="185" t="s">
        <v>1092</v>
      </c>
      <c r="BL72" s="185" t="s">
        <v>2</v>
      </c>
      <c r="BM72" s="185" t="s">
        <v>2</v>
      </c>
      <c r="BN72" s="185" t="s">
        <v>3</v>
      </c>
      <c r="BO72" s="185" t="s">
        <v>2</v>
      </c>
      <c r="BP72" s="185" t="s">
        <v>3</v>
      </c>
      <c r="BQ72" s="185" t="s">
        <v>2</v>
      </c>
      <c r="BR72" s="185" t="s">
        <v>3</v>
      </c>
      <c r="BS72" s="185" t="s">
        <v>2</v>
      </c>
      <c r="BT72" s="185" t="s">
        <v>1092</v>
      </c>
      <c r="BU72" s="185" t="s">
        <v>2</v>
      </c>
      <c r="BV72" s="185" t="s">
        <v>2</v>
      </c>
      <c r="BW72" s="185" t="s">
        <v>2</v>
      </c>
      <c r="BX72" s="185" t="s">
        <v>2</v>
      </c>
      <c r="BY72" s="185" t="s">
        <v>5</v>
      </c>
      <c r="BZ72" s="185" t="s">
        <v>5</v>
      </c>
      <c r="CA72" s="185" t="s">
        <v>2</v>
      </c>
      <c r="CB72" s="185" t="s">
        <v>2</v>
      </c>
      <c r="CC72" s="185" t="s">
        <v>2</v>
      </c>
      <c r="CD72" s="185" t="s">
        <v>2</v>
      </c>
      <c r="CE72" s="185" t="s">
        <v>1092</v>
      </c>
      <c r="CF72" s="185" t="s">
        <v>1092</v>
      </c>
      <c r="CG72" s="185" t="s">
        <v>3</v>
      </c>
      <c r="CH72" s="185" t="s">
        <v>5</v>
      </c>
      <c r="CI72" s="185" t="s">
        <v>5</v>
      </c>
      <c r="CJ72" s="185" t="s">
        <v>5</v>
      </c>
      <c r="CK72" s="185" t="s">
        <v>5</v>
      </c>
      <c r="CL72" s="185" t="s">
        <v>5</v>
      </c>
      <c r="CM72" s="185" t="s">
        <v>2</v>
      </c>
      <c r="CN72" s="185" t="s">
        <v>2</v>
      </c>
      <c r="CO72" s="185" t="s">
        <v>2</v>
      </c>
      <c r="CP72" s="185" t="s">
        <v>2</v>
      </c>
      <c r="CQ72" s="185" t="s">
        <v>2</v>
      </c>
      <c r="CR72" s="185" t="s">
        <v>2</v>
      </c>
      <c r="CS72" s="185" t="s">
        <v>2</v>
      </c>
      <c r="CT72" s="185" t="s">
        <v>2</v>
      </c>
      <c r="CU72" s="185" t="s">
        <v>2</v>
      </c>
      <c r="CV72" s="185" t="s">
        <v>2</v>
      </c>
      <c r="CW72" s="185" t="s">
        <v>2</v>
      </c>
      <c r="CX72" s="186"/>
      <c r="CY72" s="185">
        <v>20171772033</v>
      </c>
    </row>
    <row r="73" spans="1:103" ht="12.75" x14ac:dyDescent="0.2">
      <c r="A73" s="184">
        <v>42877.681081793984</v>
      </c>
      <c r="B73" s="185" t="s">
        <v>2321</v>
      </c>
      <c r="C73" s="185" t="s">
        <v>2237</v>
      </c>
      <c r="D73" s="185">
        <v>3</v>
      </c>
      <c r="E73" s="185" t="s">
        <v>2</v>
      </c>
      <c r="F73" s="185" t="s">
        <v>3</v>
      </c>
      <c r="G73" s="185" t="s">
        <v>2</v>
      </c>
      <c r="H73" s="185" t="s">
        <v>3</v>
      </c>
      <c r="I73" s="185" t="s">
        <v>1093</v>
      </c>
      <c r="J73" s="185" t="s">
        <v>1093</v>
      </c>
      <c r="K73" s="185" t="s">
        <v>1093</v>
      </c>
      <c r="L73" s="185" t="s">
        <v>3</v>
      </c>
      <c r="M73" s="185" t="s">
        <v>3</v>
      </c>
      <c r="N73" s="185" t="s">
        <v>3</v>
      </c>
      <c r="O73" s="185" t="s">
        <v>3</v>
      </c>
      <c r="P73" s="185" t="s">
        <v>1093</v>
      </c>
      <c r="Q73" s="185" t="s">
        <v>3</v>
      </c>
      <c r="R73" s="185" t="s">
        <v>1</v>
      </c>
      <c r="S73" s="185" t="s">
        <v>2</v>
      </c>
      <c r="T73" s="185" t="s">
        <v>2</v>
      </c>
      <c r="U73" s="185" t="s">
        <v>1093</v>
      </c>
      <c r="V73" s="185" t="s">
        <v>3</v>
      </c>
      <c r="W73" s="185" t="s">
        <v>1</v>
      </c>
      <c r="X73" s="185" t="s">
        <v>3</v>
      </c>
      <c r="Y73" s="185" t="s">
        <v>3</v>
      </c>
      <c r="Z73" s="185" t="s">
        <v>2</v>
      </c>
      <c r="AA73" s="185" t="s">
        <v>2</v>
      </c>
      <c r="AB73" s="185" t="s">
        <v>1</v>
      </c>
      <c r="AC73" s="185" t="s">
        <v>3</v>
      </c>
      <c r="AD73" s="185" t="s">
        <v>2</v>
      </c>
      <c r="AE73" s="185" t="s">
        <v>3</v>
      </c>
      <c r="AF73" s="185" t="s">
        <v>3</v>
      </c>
      <c r="AG73" s="185" t="s">
        <v>3</v>
      </c>
      <c r="AH73" s="185" t="s">
        <v>3</v>
      </c>
      <c r="AI73" s="185" t="s">
        <v>2</v>
      </c>
      <c r="AJ73" s="185" t="s">
        <v>1</v>
      </c>
      <c r="AK73" s="185" t="s">
        <v>3</v>
      </c>
      <c r="AL73" s="185" t="s">
        <v>2</v>
      </c>
      <c r="AM73" s="185" t="s">
        <v>3</v>
      </c>
      <c r="AN73" s="185" t="s">
        <v>1</v>
      </c>
      <c r="AO73" s="185" t="s">
        <v>3</v>
      </c>
      <c r="AP73" s="185" t="s">
        <v>3</v>
      </c>
      <c r="AQ73" s="185" t="s">
        <v>5</v>
      </c>
      <c r="AR73" s="185" t="s">
        <v>3</v>
      </c>
      <c r="AS73" s="185" t="s">
        <v>3</v>
      </c>
      <c r="AT73" s="185" t="s">
        <v>1093</v>
      </c>
      <c r="AU73" s="185" t="s">
        <v>1093</v>
      </c>
      <c r="AV73" s="185" t="s">
        <v>2</v>
      </c>
      <c r="AW73" s="185" t="s">
        <v>5</v>
      </c>
      <c r="AX73" s="185" t="s">
        <v>2</v>
      </c>
      <c r="AY73" s="185" t="s">
        <v>2</v>
      </c>
      <c r="AZ73" s="185" t="s">
        <v>5</v>
      </c>
      <c r="BA73" s="185" t="s">
        <v>1093</v>
      </c>
      <c r="BB73" s="185" t="s">
        <v>1</v>
      </c>
      <c r="BC73" s="185" t="s">
        <v>1092</v>
      </c>
      <c r="BD73" s="185" t="s">
        <v>1093</v>
      </c>
      <c r="BE73" s="185" t="s">
        <v>3</v>
      </c>
      <c r="BF73" s="185" t="s">
        <v>2</v>
      </c>
      <c r="BG73" s="185" t="s">
        <v>2</v>
      </c>
      <c r="BH73" s="185" t="s">
        <v>5</v>
      </c>
      <c r="BI73" s="185" t="s">
        <v>5</v>
      </c>
      <c r="BJ73" s="185" t="s">
        <v>3</v>
      </c>
      <c r="BK73" s="185" t="s">
        <v>3</v>
      </c>
      <c r="BL73" s="185" t="s">
        <v>3</v>
      </c>
      <c r="BM73" s="185" t="s">
        <v>3</v>
      </c>
      <c r="BN73" s="185" t="s">
        <v>3</v>
      </c>
      <c r="BO73" s="185" t="s">
        <v>3</v>
      </c>
      <c r="BP73" s="185" t="s">
        <v>3</v>
      </c>
      <c r="BQ73" s="185" t="s">
        <v>3</v>
      </c>
      <c r="BR73" s="185" t="s">
        <v>3</v>
      </c>
      <c r="BS73" s="185" t="s">
        <v>1093</v>
      </c>
      <c r="BT73" s="185" t="s">
        <v>1093</v>
      </c>
      <c r="BU73" s="185" t="s">
        <v>1093</v>
      </c>
      <c r="BV73" s="185" t="s">
        <v>1093</v>
      </c>
      <c r="BW73" s="185" t="s">
        <v>1093</v>
      </c>
      <c r="BX73" s="185" t="s">
        <v>2</v>
      </c>
      <c r="BY73" s="185" t="s">
        <v>2</v>
      </c>
      <c r="BZ73" s="185" t="s">
        <v>5</v>
      </c>
      <c r="CA73" s="185" t="s">
        <v>3</v>
      </c>
      <c r="CB73" s="185" t="s">
        <v>2</v>
      </c>
      <c r="CC73" s="185" t="s">
        <v>3</v>
      </c>
      <c r="CD73" s="185" t="s">
        <v>3</v>
      </c>
      <c r="CE73" s="185" t="s">
        <v>3</v>
      </c>
      <c r="CF73" s="185" t="s">
        <v>5</v>
      </c>
      <c r="CG73" s="185" t="s">
        <v>5</v>
      </c>
      <c r="CH73" s="185" t="s">
        <v>5</v>
      </c>
      <c r="CI73" s="185" t="s">
        <v>5</v>
      </c>
      <c r="CJ73" s="185" t="s">
        <v>3</v>
      </c>
      <c r="CK73" s="185" t="s">
        <v>5</v>
      </c>
      <c r="CL73" s="185" t="s">
        <v>5</v>
      </c>
      <c r="CM73" s="185" t="s">
        <v>5</v>
      </c>
      <c r="CN73" s="185" t="s">
        <v>5</v>
      </c>
      <c r="CO73" s="185" t="s">
        <v>5</v>
      </c>
      <c r="CP73" s="185" t="s">
        <v>5</v>
      </c>
      <c r="CQ73" s="185" t="s">
        <v>5</v>
      </c>
      <c r="CR73" s="185" t="s">
        <v>3</v>
      </c>
      <c r="CS73" s="185" t="s">
        <v>5</v>
      </c>
      <c r="CT73" s="185" t="s">
        <v>5</v>
      </c>
      <c r="CU73" s="185" t="s">
        <v>3</v>
      </c>
      <c r="CV73" s="185" t="s">
        <v>2</v>
      </c>
      <c r="CW73" s="185" t="s">
        <v>3</v>
      </c>
      <c r="CX73" s="186"/>
      <c r="CY73" s="185">
        <v>20161772002</v>
      </c>
    </row>
    <row r="74" spans="1:103" ht="12.75" x14ac:dyDescent="0.2">
      <c r="A74" s="184">
        <v>42877.739239178241</v>
      </c>
      <c r="B74" s="185" t="s">
        <v>2322</v>
      </c>
      <c r="C74" s="185" t="s">
        <v>2235</v>
      </c>
      <c r="D74" s="185">
        <v>2</v>
      </c>
      <c r="E74" s="185" t="s">
        <v>3</v>
      </c>
      <c r="F74" s="185" t="s">
        <v>3</v>
      </c>
      <c r="G74" s="185" t="s">
        <v>3</v>
      </c>
      <c r="H74" s="185" t="s">
        <v>1092</v>
      </c>
      <c r="I74" s="185" t="s">
        <v>2</v>
      </c>
      <c r="J74" s="185" t="s">
        <v>2</v>
      </c>
      <c r="K74" s="185" t="s">
        <v>3</v>
      </c>
      <c r="L74" s="185" t="s">
        <v>3</v>
      </c>
      <c r="M74" s="185" t="s">
        <v>3</v>
      </c>
      <c r="N74" s="185" t="s">
        <v>1092</v>
      </c>
      <c r="O74" s="185" t="s">
        <v>3</v>
      </c>
      <c r="P74" s="185" t="s">
        <v>3</v>
      </c>
      <c r="Q74" s="185" t="s">
        <v>3</v>
      </c>
      <c r="R74" s="185" t="s">
        <v>3</v>
      </c>
      <c r="S74" s="185" t="s">
        <v>2</v>
      </c>
      <c r="T74" s="185" t="s">
        <v>3</v>
      </c>
      <c r="U74" s="185" t="s">
        <v>2</v>
      </c>
      <c r="V74" s="185" t="s">
        <v>3</v>
      </c>
      <c r="W74" s="185" t="s">
        <v>3</v>
      </c>
      <c r="X74" s="185" t="s">
        <v>3</v>
      </c>
      <c r="Y74" s="185" t="s">
        <v>3</v>
      </c>
      <c r="Z74" s="185" t="s">
        <v>3</v>
      </c>
      <c r="AA74" s="185" t="s">
        <v>3</v>
      </c>
      <c r="AB74" s="185" t="s">
        <v>1092</v>
      </c>
      <c r="AC74" s="185" t="s">
        <v>3</v>
      </c>
      <c r="AD74" s="185" t="s">
        <v>1092</v>
      </c>
      <c r="AE74" s="185" t="s">
        <v>3</v>
      </c>
      <c r="AF74" s="185" t="s">
        <v>3</v>
      </c>
      <c r="AG74" s="185" t="s">
        <v>3</v>
      </c>
      <c r="AH74" s="185" t="s">
        <v>2</v>
      </c>
      <c r="AI74" s="185" t="s">
        <v>3</v>
      </c>
      <c r="AJ74" s="185" t="s">
        <v>2</v>
      </c>
      <c r="AK74" s="185" t="s">
        <v>2</v>
      </c>
      <c r="AL74" s="185" t="s">
        <v>1092</v>
      </c>
      <c r="AM74" s="185" t="s">
        <v>3</v>
      </c>
      <c r="AN74" s="185" t="s">
        <v>3</v>
      </c>
      <c r="AO74" s="185" t="s">
        <v>3</v>
      </c>
      <c r="AP74" s="185" t="s">
        <v>3</v>
      </c>
      <c r="AQ74" s="185" t="s">
        <v>3</v>
      </c>
      <c r="AR74" s="185" t="s">
        <v>3</v>
      </c>
      <c r="AS74" s="185" t="s">
        <v>3</v>
      </c>
      <c r="AT74" s="185" t="s">
        <v>3</v>
      </c>
      <c r="AU74" s="185" t="s">
        <v>3</v>
      </c>
      <c r="AV74" s="185" t="s">
        <v>3</v>
      </c>
      <c r="AW74" s="185" t="s">
        <v>3</v>
      </c>
      <c r="AX74" s="185" t="s">
        <v>1092</v>
      </c>
      <c r="AY74" s="185" t="s">
        <v>3</v>
      </c>
      <c r="AZ74" s="185" t="s">
        <v>3</v>
      </c>
      <c r="BA74" s="185" t="s">
        <v>1092</v>
      </c>
      <c r="BB74" s="185" t="s">
        <v>3</v>
      </c>
      <c r="BC74" s="185" t="s">
        <v>3</v>
      </c>
      <c r="BD74" s="185" t="s">
        <v>3</v>
      </c>
      <c r="BE74" s="185" t="s">
        <v>3</v>
      </c>
      <c r="BF74" s="185" t="s">
        <v>1092</v>
      </c>
      <c r="BG74" s="185" t="s">
        <v>1092</v>
      </c>
      <c r="BH74" s="185" t="s">
        <v>2</v>
      </c>
      <c r="BI74" s="185" t="s">
        <v>3</v>
      </c>
      <c r="BJ74" s="185" t="s">
        <v>3</v>
      </c>
      <c r="BK74" s="185" t="s">
        <v>3</v>
      </c>
      <c r="BL74" s="185" t="s">
        <v>2</v>
      </c>
      <c r="BM74" s="185" t="s">
        <v>1092</v>
      </c>
      <c r="BN74" s="185" t="s">
        <v>1092</v>
      </c>
      <c r="BO74" s="185" t="s">
        <v>3</v>
      </c>
      <c r="BP74" s="185" t="s">
        <v>3</v>
      </c>
      <c r="BQ74" s="185" t="s">
        <v>3</v>
      </c>
      <c r="BR74" s="185" t="s">
        <v>3</v>
      </c>
      <c r="BS74" s="185" t="s">
        <v>3</v>
      </c>
      <c r="BT74" s="185" t="s">
        <v>3</v>
      </c>
      <c r="BU74" s="185" t="s">
        <v>3</v>
      </c>
      <c r="BV74" s="185" t="s">
        <v>3</v>
      </c>
      <c r="BW74" s="185" t="s">
        <v>3</v>
      </c>
      <c r="BX74" s="185" t="s">
        <v>1092</v>
      </c>
      <c r="BY74" s="185" t="s">
        <v>2</v>
      </c>
      <c r="BZ74" s="185" t="s">
        <v>3</v>
      </c>
      <c r="CA74" s="185" t="s">
        <v>3</v>
      </c>
      <c r="CB74" s="185" t="s">
        <v>2</v>
      </c>
      <c r="CC74" s="185" t="s">
        <v>3</v>
      </c>
      <c r="CD74" s="185" t="s">
        <v>1092</v>
      </c>
      <c r="CE74" s="185" t="s">
        <v>3</v>
      </c>
      <c r="CF74" s="185" t="s">
        <v>3</v>
      </c>
      <c r="CG74" s="185" t="s">
        <v>3</v>
      </c>
      <c r="CH74" s="185" t="s">
        <v>3</v>
      </c>
      <c r="CI74" s="185" t="s">
        <v>3</v>
      </c>
      <c r="CJ74" s="185" t="s">
        <v>2</v>
      </c>
      <c r="CK74" s="185" t="s">
        <v>3</v>
      </c>
      <c r="CL74" s="185" t="s">
        <v>1092</v>
      </c>
      <c r="CM74" s="185" t="s">
        <v>3</v>
      </c>
      <c r="CN74" s="185" t="s">
        <v>3</v>
      </c>
      <c r="CO74" s="185" t="s">
        <v>1092</v>
      </c>
      <c r="CP74" s="185" t="s">
        <v>2</v>
      </c>
      <c r="CQ74" s="185" t="s">
        <v>3</v>
      </c>
      <c r="CR74" s="185" t="s">
        <v>3</v>
      </c>
      <c r="CS74" s="185" t="s">
        <v>3</v>
      </c>
      <c r="CT74" s="185" t="s">
        <v>3</v>
      </c>
      <c r="CU74" s="185" t="s">
        <v>3</v>
      </c>
      <c r="CV74" s="185" t="s">
        <v>3</v>
      </c>
      <c r="CW74" s="185" t="s">
        <v>3</v>
      </c>
      <c r="CX74" s="186"/>
      <c r="CY74" s="185">
        <v>20132072281</v>
      </c>
    </row>
    <row r="75" spans="1:103" ht="12.75" x14ac:dyDescent="0.2">
      <c r="A75" s="184">
        <v>42877.73994324074</v>
      </c>
      <c r="B75" s="185" t="s">
        <v>2323</v>
      </c>
      <c r="C75" s="185" t="s">
        <v>2235</v>
      </c>
      <c r="D75" s="185">
        <v>10</v>
      </c>
      <c r="E75" s="185" t="s">
        <v>2</v>
      </c>
      <c r="F75" s="185" t="s">
        <v>2</v>
      </c>
      <c r="G75" s="185" t="s">
        <v>2</v>
      </c>
      <c r="H75" s="185" t="s">
        <v>5</v>
      </c>
      <c r="I75" s="185" t="s">
        <v>1</v>
      </c>
      <c r="J75" s="185" t="s">
        <v>2</v>
      </c>
      <c r="K75" s="185" t="s">
        <v>2</v>
      </c>
      <c r="L75" s="185" t="s">
        <v>2</v>
      </c>
      <c r="M75" s="185" t="s">
        <v>2</v>
      </c>
      <c r="N75" s="185" t="s">
        <v>2</v>
      </c>
      <c r="O75" s="185" t="s">
        <v>2</v>
      </c>
      <c r="P75" s="185" t="s">
        <v>2</v>
      </c>
      <c r="Q75" s="185" t="s">
        <v>2</v>
      </c>
      <c r="R75" s="185" t="s">
        <v>2</v>
      </c>
      <c r="S75" s="185" t="s">
        <v>2</v>
      </c>
      <c r="T75" s="185" t="s">
        <v>2</v>
      </c>
      <c r="U75" s="185" t="s">
        <v>2</v>
      </c>
      <c r="V75" s="185" t="s">
        <v>2</v>
      </c>
      <c r="W75" s="185" t="s">
        <v>2</v>
      </c>
      <c r="X75" s="185" t="s">
        <v>2</v>
      </c>
      <c r="Y75" s="185" t="s">
        <v>2</v>
      </c>
      <c r="Z75" s="185" t="s">
        <v>2</v>
      </c>
      <c r="AA75" s="185" t="s">
        <v>2</v>
      </c>
      <c r="AB75" s="185" t="s">
        <v>2</v>
      </c>
      <c r="AC75" s="185" t="s">
        <v>2</v>
      </c>
      <c r="AD75" s="185" t="s">
        <v>2</v>
      </c>
      <c r="AE75" s="185" t="s">
        <v>2</v>
      </c>
      <c r="AF75" s="185" t="s">
        <v>2</v>
      </c>
      <c r="AG75" s="185" t="s">
        <v>2</v>
      </c>
      <c r="AH75" s="185" t="s">
        <v>2</v>
      </c>
      <c r="AI75" s="185" t="s">
        <v>2</v>
      </c>
      <c r="AJ75" s="185" t="s">
        <v>2</v>
      </c>
      <c r="AK75" s="185" t="s">
        <v>2</v>
      </c>
      <c r="AL75" s="185" t="s">
        <v>2</v>
      </c>
      <c r="AM75" s="185" t="s">
        <v>2</v>
      </c>
      <c r="AN75" s="185" t="s">
        <v>2</v>
      </c>
      <c r="AO75" s="185" t="s">
        <v>2</v>
      </c>
      <c r="AP75" s="185" t="s">
        <v>2</v>
      </c>
      <c r="AQ75" s="185" t="s">
        <v>2</v>
      </c>
      <c r="AR75" s="185" t="s">
        <v>2</v>
      </c>
      <c r="AS75" s="185" t="s">
        <v>2</v>
      </c>
      <c r="AT75" s="185" t="s">
        <v>2</v>
      </c>
      <c r="AU75" s="185" t="s">
        <v>2</v>
      </c>
      <c r="AV75" s="185" t="s">
        <v>2</v>
      </c>
      <c r="AW75" s="185" t="s">
        <v>2</v>
      </c>
      <c r="AX75" s="185" t="s">
        <v>2</v>
      </c>
      <c r="AY75" s="185" t="s">
        <v>2</v>
      </c>
      <c r="AZ75" s="185" t="s">
        <v>2</v>
      </c>
      <c r="BA75" s="185" t="s">
        <v>2</v>
      </c>
      <c r="BB75" s="185" t="s">
        <v>2</v>
      </c>
      <c r="BC75" s="185" t="s">
        <v>2</v>
      </c>
      <c r="BD75" s="185" t="s">
        <v>2</v>
      </c>
      <c r="BE75" s="185" t="s">
        <v>2</v>
      </c>
      <c r="BF75" s="185" t="s">
        <v>2</v>
      </c>
      <c r="BG75" s="185" t="s">
        <v>2</v>
      </c>
      <c r="BH75" s="185" t="s">
        <v>2</v>
      </c>
      <c r="BI75" s="185" t="s">
        <v>2</v>
      </c>
      <c r="BJ75" s="185" t="s">
        <v>2</v>
      </c>
      <c r="BK75" s="185" t="s">
        <v>2</v>
      </c>
      <c r="BL75" s="185" t="s">
        <v>2</v>
      </c>
      <c r="BM75" s="185" t="s">
        <v>2</v>
      </c>
      <c r="BN75" s="185" t="s">
        <v>2</v>
      </c>
      <c r="BO75" s="185" t="s">
        <v>2</v>
      </c>
      <c r="BP75" s="185" t="s">
        <v>2</v>
      </c>
      <c r="BQ75" s="185" t="s">
        <v>2</v>
      </c>
      <c r="BR75" s="185" t="s">
        <v>2</v>
      </c>
      <c r="BS75" s="185" t="s">
        <v>2</v>
      </c>
      <c r="BT75" s="185" t="s">
        <v>2</v>
      </c>
      <c r="BU75" s="185" t="s">
        <v>2</v>
      </c>
      <c r="BV75" s="185" t="s">
        <v>2</v>
      </c>
      <c r="BW75" s="185" t="s">
        <v>2</v>
      </c>
      <c r="BX75" s="185" t="s">
        <v>2</v>
      </c>
      <c r="BY75" s="185" t="s">
        <v>2</v>
      </c>
      <c r="BZ75" s="185" t="s">
        <v>2</v>
      </c>
      <c r="CA75" s="185" t="s">
        <v>2</v>
      </c>
      <c r="CB75" s="185" t="s">
        <v>2</v>
      </c>
      <c r="CC75" s="185" t="s">
        <v>2</v>
      </c>
      <c r="CD75" s="185" t="s">
        <v>2</v>
      </c>
      <c r="CE75" s="185" t="s">
        <v>2</v>
      </c>
      <c r="CF75" s="185" t="s">
        <v>2</v>
      </c>
      <c r="CG75" s="185" t="s">
        <v>2</v>
      </c>
      <c r="CH75" s="185" t="s">
        <v>2</v>
      </c>
      <c r="CI75" s="185" t="s">
        <v>2</v>
      </c>
      <c r="CJ75" s="185" t="s">
        <v>2</v>
      </c>
      <c r="CK75" s="185" t="s">
        <v>2</v>
      </c>
      <c r="CL75" s="185" t="s">
        <v>2</v>
      </c>
      <c r="CM75" s="185" t="s">
        <v>2</v>
      </c>
      <c r="CN75" s="185" t="s">
        <v>2</v>
      </c>
      <c r="CO75" s="185" t="s">
        <v>2</v>
      </c>
      <c r="CP75" s="185" t="s">
        <v>2</v>
      </c>
      <c r="CQ75" s="185" t="s">
        <v>2</v>
      </c>
      <c r="CR75" s="185" t="s">
        <v>2</v>
      </c>
      <c r="CS75" s="185" t="s">
        <v>2</v>
      </c>
      <c r="CT75" s="185" t="s">
        <v>2</v>
      </c>
      <c r="CU75" s="185" t="s">
        <v>2</v>
      </c>
      <c r="CV75" s="185" t="s">
        <v>2</v>
      </c>
      <c r="CW75" s="185" t="s">
        <v>2</v>
      </c>
      <c r="CX75" s="185" t="s">
        <v>2324</v>
      </c>
      <c r="CY75" s="185">
        <v>20112072085</v>
      </c>
    </row>
    <row r="76" spans="1:103" ht="12.75" x14ac:dyDescent="0.2">
      <c r="A76" s="184">
        <v>42877.743376736107</v>
      </c>
      <c r="B76" s="185" t="s">
        <v>2325</v>
      </c>
      <c r="C76" s="185" t="s">
        <v>2235</v>
      </c>
      <c r="D76" s="185">
        <v>7</v>
      </c>
      <c r="E76" s="185" t="s">
        <v>2</v>
      </c>
      <c r="F76" s="185" t="s">
        <v>1092</v>
      </c>
      <c r="G76" s="185" t="s">
        <v>1092</v>
      </c>
      <c r="H76" s="185" t="s">
        <v>1093</v>
      </c>
      <c r="I76" s="185" t="s">
        <v>1093</v>
      </c>
      <c r="J76" s="185" t="s">
        <v>1093</v>
      </c>
      <c r="K76" s="185" t="s">
        <v>2</v>
      </c>
      <c r="L76" s="185" t="s">
        <v>1</v>
      </c>
      <c r="M76" s="185" t="s">
        <v>2</v>
      </c>
      <c r="N76" s="185" t="s">
        <v>1</v>
      </c>
      <c r="O76" s="185" t="s">
        <v>1093</v>
      </c>
      <c r="P76" s="185" t="s">
        <v>1093</v>
      </c>
      <c r="Q76" s="185" t="s">
        <v>1092</v>
      </c>
      <c r="R76" s="185" t="s">
        <v>1092</v>
      </c>
      <c r="S76" s="185" t="s">
        <v>2</v>
      </c>
      <c r="T76" s="185" t="s">
        <v>2</v>
      </c>
      <c r="U76" s="185" t="s">
        <v>1</v>
      </c>
      <c r="V76" s="185" t="s">
        <v>3</v>
      </c>
      <c r="W76" s="185" t="s">
        <v>3</v>
      </c>
      <c r="X76" s="185" t="s">
        <v>3</v>
      </c>
      <c r="Y76" s="185" t="s">
        <v>2</v>
      </c>
      <c r="Z76" s="185" t="s">
        <v>1</v>
      </c>
      <c r="AA76" s="185" t="s">
        <v>2</v>
      </c>
      <c r="AB76" s="185" t="s">
        <v>1093</v>
      </c>
      <c r="AC76" s="185" t="s">
        <v>1093</v>
      </c>
      <c r="AD76" s="185" t="s">
        <v>5</v>
      </c>
      <c r="AE76" s="185" t="s">
        <v>5</v>
      </c>
      <c r="AF76" s="185" t="s">
        <v>1092</v>
      </c>
      <c r="AG76" s="185" t="s">
        <v>5</v>
      </c>
      <c r="AH76" s="185" t="s">
        <v>1093</v>
      </c>
      <c r="AI76" s="185" t="s">
        <v>5</v>
      </c>
      <c r="AJ76" s="185" t="s">
        <v>3</v>
      </c>
      <c r="AK76" s="185" t="s">
        <v>2</v>
      </c>
      <c r="AL76" s="185" t="s">
        <v>1</v>
      </c>
      <c r="AM76" s="185" t="s">
        <v>2</v>
      </c>
      <c r="AN76" s="185" t="s">
        <v>3</v>
      </c>
      <c r="AO76" s="185" t="s">
        <v>2</v>
      </c>
      <c r="AP76" s="185" t="s">
        <v>5</v>
      </c>
      <c r="AQ76" s="185" t="s">
        <v>5</v>
      </c>
      <c r="AR76" s="185" t="s">
        <v>3</v>
      </c>
      <c r="AS76" s="185" t="s">
        <v>1092</v>
      </c>
      <c r="AT76" s="185" t="s">
        <v>1092</v>
      </c>
      <c r="AU76" s="185" t="s">
        <v>1092</v>
      </c>
      <c r="AV76" s="185" t="s">
        <v>1</v>
      </c>
      <c r="AW76" s="185" t="s">
        <v>5</v>
      </c>
      <c r="AX76" s="185" t="s">
        <v>2</v>
      </c>
      <c r="AY76" s="185" t="s">
        <v>1</v>
      </c>
      <c r="AZ76" s="185" t="s">
        <v>5</v>
      </c>
      <c r="BA76" s="185" t="s">
        <v>5</v>
      </c>
      <c r="BB76" s="185" t="s">
        <v>5</v>
      </c>
      <c r="BC76" s="185" t="s">
        <v>5</v>
      </c>
      <c r="BD76" s="185" t="s">
        <v>1093</v>
      </c>
      <c r="BE76" s="185" t="s">
        <v>1093</v>
      </c>
      <c r="BF76" s="185" t="s">
        <v>5</v>
      </c>
      <c r="BG76" s="185" t="s">
        <v>5</v>
      </c>
      <c r="BH76" s="185" t="s">
        <v>5</v>
      </c>
      <c r="BI76" s="185" t="s">
        <v>3</v>
      </c>
      <c r="BJ76" s="185" t="s">
        <v>3</v>
      </c>
      <c r="BK76" s="185" t="s">
        <v>3</v>
      </c>
      <c r="BL76" s="185" t="s">
        <v>1092</v>
      </c>
      <c r="BM76" s="185" t="s">
        <v>3</v>
      </c>
      <c r="BN76" s="185" t="s">
        <v>1092</v>
      </c>
      <c r="BO76" s="185" t="s">
        <v>1092</v>
      </c>
      <c r="BP76" s="185" t="s">
        <v>1092</v>
      </c>
      <c r="BQ76" s="185" t="s">
        <v>1092</v>
      </c>
      <c r="BR76" s="185" t="s">
        <v>1092</v>
      </c>
      <c r="BS76" s="185" t="s">
        <v>3</v>
      </c>
      <c r="BT76" s="185" t="s">
        <v>2</v>
      </c>
      <c r="BU76" s="185" t="s">
        <v>2</v>
      </c>
      <c r="BV76" s="185" t="s">
        <v>2</v>
      </c>
      <c r="BW76" s="185" t="s">
        <v>3</v>
      </c>
      <c r="BX76" s="185" t="s">
        <v>2</v>
      </c>
      <c r="BY76" s="185" t="s">
        <v>5</v>
      </c>
      <c r="BZ76" s="185" t="s">
        <v>5</v>
      </c>
      <c r="CA76" s="185" t="s">
        <v>5</v>
      </c>
      <c r="CB76" s="185" t="s">
        <v>5</v>
      </c>
      <c r="CC76" s="185" t="s">
        <v>5</v>
      </c>
      <c r="CD76" s="185" t="s">
        <v>5</v>
      </c>
      <c r="CE76" s="185" t="s">
        <v>1092</v>
      </c>
      <c r="CF76" s="185" t="s">
        <v>1093</v>
      </c>
      <c r="CG76" s="185" t="s">
        <v>1093</v>
      </c>
      <c r="CH76" s="185" t="s">
        <v>1093</v>
      </c>
      <c r="CI76" s="185" t="s">
        <v>1093</v>
      </c>
      <c r="CJ76" s="185" t="s">
        <v>2</v>
      </c>
      <c r="CK76" s="185" t="s">
        <v>1</v>
      </c>
      <c r="CL76" s="185" t="s">
        <v>1093</v>
      </c>
      <c r="CM76" s="185" t="s">
        <v>1093</v>
      </c>
      <c r="CN76" s="185" t="s">
        <v>5</v>
      </c>
      <c r="CO76" s="185" t="s">
        <v>5</v>
      </c>
      <c r="CP76" s="185" t="s">
        <v>1093</v>
      </c>
      <c r="CQ76" s="185" t="s">
        <v>1093</v>
      </c>
      <c r="CR76" s="185" t="s">
        <v>1093</v>
      </c>
      <c r="CS76" s="185" t="s">
        <v>1093</v>
      </c>
      <c r="CT76" s="185" t="s">
        <v>2</v>
      </c>
      <c r="CU76" s="185" t="s">
        <v>3</v>
      </c>
      <c r="CV76" s="185" t="s">
        <v>2</v>
      </c>
      <c r="CW76" s="185" t="s">
        <v>1093</v>
      </c>
      <c r="CX76" s="186"/>
      <c r="CY76" s="185">
        <v>20132072110</v>
      </c>
    </row>
    <row r="77" spans="1:103" ht="12.75" x14ac:dyDescent="0.2">
      <c r="A77" s="184">
        <v>42877.743568449077</v>
      </c>
      <c r="B77" s="185" t="s">
        <v>2326</v>
      </c>
      <c r="C77" s="185" t="s">
        <v>2235</v>
      </c>
      <c r="D77" s="185">
        <v>9</v>
      </c>
      <c r="E77" s="185" t="s">
        <v>2</v>
      </c>
      <c r="F77" s="185" t="s">
        <v>3</v>
      </c>
      <c r="G77" s="185" t="s">
        <v>2</v>
      </c>
      <c r="H77" s="185" t="s">
        <v>1</v>
      </c>
      <c r="I77" s="185" t="s">
        <v>3</v>
      </c>
      <c r="J77" s="185" t="s">
        <v>1092</v>
      </c>
      <c r="K77" s="185" t="s">
        <v>1092</v>
      </c>
      <c r="L77" s="185" t="s">
        <v>1</v>
      </c>
      <c r="M77" s="185" t="s">
        <v>1</v>
      </c>
      <c r="N77" s="185" t="s">
        <v>1</v>
      </c>
      <c r="O77" s="185" t="s">
        <v>3</v>
      </c>
      <c r="P77" s="185" t="s">
        <v>1093</v>
      </c>
      <c r="Q77" s="185" t="s">
        <v>1093</v>
      </c>
      <c r="R77" s="185" t="s">
        <v>1</v>
      </c>
      <c r="S77" s="185" t="s">
        <v>3</v>
      </c>
      <c r="T77" s="185" t="s">
        <v>1092</v>
      </c>
      <c r="U77" s="185" t="s">
        <v>1092</v>
      </c>
      <c r="V77" s="185" t="s">
        <v>2</v>
      </c>
      <c r="W77" s="185" t="s">
        <v>2</v>
      </c>
      <c r="X77" s="185" t="s">
        <v>1092</v>
      </c>
      <c r="Y77" s="185" t="s">
        <v>1092</v>
      </c>
      <c r="Z77" s="185" t="s">
        <v>3</v>
      </c>
      <c r="AA77" s="185" t="s">
        <v>3</v>
      </c>
      <c r="AB77" s="185" t="s">
        <v>1</v>
      </c>
      <c r="AC77" s="185" t="s">
        <v>1093</v>
      </c>
      <c r="AD77" s="185" t="s">
        <v>2</v>
      </c>
      <c r="AE77" s="185" t="s">
        <v>3</v>
      </c>
      <c r="AF77" s="185" t="s">
        <v>1</v>
      </c>
      <c r="AG77" s="185" t="s">
        <v>1093</v>
      </c>
      <c r="AH77" s="185" t="s">
        <v>1093</v>
      </c>
      <c r="AI77" s="185" t="s">
        <v>1092</v>
      </c>
      <c r="AJ77" s="185" t="s">
        <v>1092</v>
      </c>
      <c r="AK77" s="185" t="s">
        <v>2</v>
      </c>
      <c r="AL77" s="185" t="s">
        <v>1</v>
      </c>
      <c r="AM77" s="185" t="s">
        <v>2</v>
      </c>
      <c r="AN77" s="185" t="s">
        <v>1092</v>
      </c>
      <c r="AO77" s="185" t="s">
        <v>2</v>
      </c>
      <c r="AP77" s="185" t="s">
        <v>1092</v>
      </c>
      <c r="AQ77" s="185" t="s">
        <v>1</v>
      </c>
      <c r="AR77" s="185" t="s">
        <v>1092</v>
      </c>
      <c r="AS77" s="185" t="s">
        <v>2</v>
      </c>
      <c r="AT77" s="185" t="s">
        <v>1092</v>
      </c>
      <c r="AU77" s="185" t="s">
        <v>3</v>
      </c>
      <c r="AV77" s="185" t="s">
        <v>3</v>
      </c>
      <c r="AW77" s="185" t="s">
        <v>1</v>
      </c>
      <c r="AX77" s="185" t="s">
        <v>2</v>
      </c>
      <c r="AY77" s="185" t="s">
        <v>2</v>
      </c>
      <c r="AZ77" s="185" t="s">
        <v>2</v>
      </c>
      <c r="BA77" s="185" t="s">
        <v>2</v>
      </c>
      <c r="BB77" s="185" t="s">
        <v>2</v>
      </c>
      <c r="BC77" s="185" t="s">
        <v>2</v>
      </c>
      <c r="BD77" s="185" t="s">
        <v>2</v>
      </c>
      <c r="BE77" s="185" t="s">
        <v>2</v>
      </c>
      <c r="BF77" s="185" t="s">
        <v>2</v>
      </c>
      <c r="BG77" s="185" t="s">
        <v>1092</v>
      </c>
      <c r="BH77" s="185" t="s">
        <v>1092</v>
      </c>
      <c r="BI77" s="185" t="s">
        <v>2</v>
      </c>
      <c r="BJ77" s="185" t="s">
        <v>1092</v>
      </c>
      <c r="BK77" s="185" t="s">
        <v>2</v>
      </c>
      <c r="BL77" s="185" t="s">
        <v>1092</v>
      </c>
      <c r="BM77" s="185" t="s">
        <v>1092</v>
      </c>
      <c r="BN77" s="185" t="s">
        <v>1092</v>
      </c>
      <c r="BO77" s="185" t="s">
        <v>1092</v>
      </c>
      <c r="BP77" s="185" t="s">
        <v>1092</v>
      </c>
      <c r="BQ77" s="185" t="s">
        <v>1092</v>
      </c>
      <c r="BR77" s="185" t="s">
        <v>1092</v>
      </c>
      <c r="BS77" s="185" t="s">
        <v>1092</v>
      </c>
      <c r="BT77" s="185" t="s">
        <v>2</v>
      </c>
      <c r="BU77" s="185" t="s">
        <v>2</v>
      </c>
      <c r="BV77" s="185" t="s">
        <v>2</v>
      </c>
      <c r="BW77" s="185" t="s">
        <v>3</v>
      </c>
      <c r="BX77" s="185" t="s">
        <v>2</v>
      </c>
      <c r="BY77" s="185" t="s">
        <v>1</v>
      </c>
      <c r="BZ77" s="185" t="s">
        <v>1</v>
      </c>
      <c r="CA77" s="185" t="s">
        <v>1092</v>
      </c>
      <c r="CB77" s="185" t="s">
        <v>1092</v>
      </c>
      <c r="CC77" s="185" t="s">
        <v>1092</v>
      </c>
      <c r="CD77" s="185" t="s">
        <v>1092</v>
      </c>
      <c r="CE77" s="185" t="s">
        <v>1</v>
      </c>
      <c r="CF77" s="185" t="s">
        <v>1093</v>
      </c>
      <c r="CG77" s="185" t="s">
        <v>1093</v>
      </c>
      <c r="CH77" s="185" t="s">
        <v>1092</v>
      </c>
      <c r="CI77" s="185" t="s">
        <v>3</v>
      </c>
      <c r="CJ77" s="185" t="s">
        <v>3</v>
      </c>
      <c r="CK77" s="185" t="s">
        <v>3</v>
      </c>
      <c r="CL77" s="185" t="s">
        <v>1093</v>
      </c>
      <c r="CM77" s="185" t="s">
        <v>1093</v>
      </c>
      <c r="CN77" s="185" t="s">
        <v>1093</v>
      </c>
      <c r="CO77" s="185" t="s">
        <v>3</v>
      </c>
      <c r="CP77" s="185" t="s">
        <v>3</v>
      </c>
      <c r="CQ77" s="185" t="s">
        <v>2</v>
      </c>
      <c r="CR77" s="185" t="s">
        <v>2</v>
      </c>
      <c r="CS77" s="185" t="s">
        <v>2</v>
      </c>
      <c r="CT77" s="185" t="s">
        <v>2</v>
      </c>
      <c r="CU77" s="185" t="s">
        <v>1</v>
      </c>
      <c r="CV77" s="185" t="s">
        <v>1</v>
      </c>
      <c r="CW77" s="185" t="s">
        <v>1</v>
      </c>
      <c r="CX77" s="186"/>
      <c r="CY77" s="185">
        <v>20122072074</v>
      </c>
    </row>
    <row r="78" spans="1:103" ht="12.75" x14ac:dyDescent="0.2">
      <c r="A78" s="184">
        <v>42877.746312847223</v>
      </c>
      <c r="B78" s="185" t="s">
        <v>2327</v>
      </c>
      <c r="C78" s="185" t="s">
        <v>2235</v>
      </c>
      <c r="D78" s="185">
        <v>6</v>
      </c>
      <c r="E78" s="185" t="s">
        <v>3</v>
      </c>
      <c r="F78" s="185" t="s">
        <v>1092</v>
      </c>
      <c r="G78" s="185" t="s">
        <v>1092</v>
      </c>
      <c r="H78" s="185" t="s">
        <v>2</v>
      </c>
      <c r="I78" s="185" t="s">
        <v>5</v>
      </c>
      <c r="J78" s="185" t="s">
        <v>5</v>
      </c>
      <c r="K78" s="185" t="s">
        <v>2</v>
      </c>
      <c r="L78" s="185" t="s">
        <v>1092</v>
      </c>
      <c r="M78" s="185" t="s">
        <v>3</v>
      </c>
      <c r="N78" s="185" t="s">
        <v>2</v>
      </c>
      <c r="O78" s="185" t="s">
        <v>5</v>
      </c>
      <c r="P78" s="185" t="s">
        <v>5</v>
      </c>
      <c r="Q78" s="185" t="s">
        <v>2</v>
      </c>
      <c r="R78" s="185" t="s">
        <v>1092</v>
      </c>
      <c r="S78" s="185" t="s">
        <v>3</v>
      </c>
      <c r="T78" s="185" t="s">
        <v>1</v>
      </c>
      <c r="U78" s="185" t="s">
        <v>5</v>
      </c>
      <c r="V78" s="185" t="s">
        <v>3</v>
      </c>
      <c r="W78" s="185" t="s">
        <v>1092</v>
      </c>
      <c r="X78" s="185" t="s">
        <v>1092</v>
      </c>
      <c r="Y78" s="185" t="s">
        <v>1092</v>
      </c>
      <c r="Z78" s="185" t="s">
        <v>1092</v>
      </c>
      <c r="AA78" s="185" t="s">
        <v>3</v>
      </c>
      <c r="AB78" s="185" t="s">
        <v>1</v>
      </c>
      <c r="AC78" s="185" t="s">
        <v>1</v>
      </c>
      <c r="AD78" s="185" t="s">
        <v>1092</v>
      </c>
      <c r="AE78" s="185" t="s">
        <v>5</v>
      </c>
      <c r="AF78" s="185" t="s">
        <v>3</v>
      </c>
      <c r="AG78" s="185" t="s">
        <v>5</v>
      </c>
      <c r="AH78" s="185" t="s">
        <v>1092</v>
      </c>
      <c r="AI78" s="185" t="s">
        <v>1092</v>
      </c>
      <c r="AJ78" s="185" t="s">
        <v>3</v>
      </c>
      <c r="AK78" s="185" t="s">
        <v>1092</v>
      </c>
      <c r="AL78" s="185" t="s">
        <v>1</v>
      </c>
      <c r="AM78" s="185" t="s">
        <v>2</v>
      </c>
      <c r="AN78" s="185" t="s">
        <v>3</v>
      </c>
      <c r="AO78" s="185" t="s">
        <v>2</v>
      </c>
      <c r="AP78" s="185" t="s">
        <v>2</v>
      </c>
      <c r="AQ78" s="185" t="s">
        <v>3</v>
      </c>
      <c r="AR78" s="185" t="s">
        <v>1092</v>
      </c>
      <c r="AS78" s="185" t="s">
        <v>1092</v>
      </c>
      <c r="AT78" s="185" t="s">
        <v>1092</v>
      </c>
      <c r="AU78" s="185" t="s">
        <v>1092</v>
      </c>
      <c r="AV78" s="185" t="s">
        <v>1</v>
      </c>
      <c r="AW78" s="185" t="s">
        <v>3</v>
      </c>
      <c r="AX78" s="185" t="s">
        <v>3</v>
      </c>
      <c r="AY78" s="185" t="s">
        <v>3</v>
      </c>
      <c r="AZ78" s="185" t="s">
        <v>5</v>
      </c>
      <c r="BA78" s="185" t="s">
        <v>5</v>
      </c>
      <c r="BB78" s="185" t="s">
        <v>3</v>
      </c>
      <c r="BC78" s="185" t="s">
        <v>5</v>
      </c>
      <c r="BD78" s="185" t="s">
        <v>5</v>
      </c>
      <c r="BE78" s="185" t="s">
        <v>3</v>
      </c>
      <c r="BF78" s="185" t="s">
        <v>1092</v>
      </c>
      <c r="BG78" s="185" t="s">
        <v>3</v>
      </c>
      <c r="BH78" s="185" t="s">
        <v>1</v>
      </c>
      <c r="BI78" s="185" t="s">
        <v>3</v>
      </c>
      <c r="BJ78" s="185" t="s">
        <v>3</v>
      </c>
      <c r="BK78" s="185" t="s">
        <v>3</v>
      </c>
      <c r="BL78" s="185" t="s">
        <v>1092</v>
      </c>
      <c r="BM78" s="185" t="s">
        <v>3</v>
      </c>
      <c r="BN78" s="185" t="s">
        <v>3</v>
      </c>
      <c r="BO78" s="185" t="s">
        <v>3</v>
      </c>
      <c r="BP78" s="185" t="s">
        <v>3</v>
      </c>
      <c r="BQ78" s="185" t="s">
        <v>3</v>
      </c>
      <c r="BR78" s="185" t="s">
        <v>2</v>
      </c>
      <c r="BS78" s="185" t="s">
        <v>3</v>
      </c>
      <c r="BT78" s="185" t="s">
        <v>1</v>
      </c>
      <c r="BU78" s="185" t="s">
        <v>1</v>
      </c>
      <c r="BV78" s="185" t="s">
        <v>2</v>
      </c>
      <c r="BW78" s="185" t="s">
        <v>2</v>
      </c>
      <c r="BX78" s="185" t="s">
        <v>1092</v>
      </c>
      <c r="BY78" s="185" t="s">
        <v>1093</v>
      </c>
      <c r="BZ78" s="185" t="s">
        <v>5</v>
      </c>
      <c r="CA78" s="185" t="s">
        <v>3</v>
      </c>
      <c r="CB78" s="185" t="s">
        <v>2</v>
      </c>
      <c r="CC78" s="185" t="s">
        <v>2</v>
      </c>
      <c r="CD78" s="185" t="s">
        <v>2</v>
      </c>
      <c r="CE78" s="185" t="s">
        <v>3</v>
      </c>
      <c r="CF78" s="185" t="s">
        <v>1093</v>
      </c>
      <c r="CG78" s="185" t="s">
        <v>1093</v>
      </c>
      <c r="CH78" s="185" t="s">
        <v>2</v>
      </c>
      <c r="CI78" s="185" t="s">
        <v>2</v>
      </c>
      <c r="CJ78" s="185" t="s">
        <v>3</v>
      </c>
      <c r="CK78" s="185" t="s">
        <v>2</v>
      </c>
      <c r="CL78" s="185" t="s">
        <v>3</v>
      </c>
      <c r="CM78" s="185" t="s">
        <v>3</v>
      </c>
      <c r="CN78" s="185" t="s">
        <v>3</v>
      </c>
      <c r="CO78" s="185" t="s">
        <v>2</v>
      </c>
      <c r="CP78" s="185" t="s">
        <v>3</v>
      </c>
      <c r="CQ78" s="185" t="s">
        <v>3</v>
      </c>
      <c r="CR78" s="185" t="s">
        <v>3</v>
      </c>
      <c r="CS78" s="185" t="s">
        <v>3</v>
      </c>
      <c r="CT78" s="185" t="s">
        <v>2</v>
      </c>
      <c r="CU78" s="185" t="s">
        <v>3</v>
      </c>
      <c r="CV78" s="185" t="s">
        <v>2</v>
      </c>
      <c r="CW78" s="185" t="s">
        <v>3</v>
      </c>
      <c r="CX78" s="186"/>
      <c r="CY78" s="185">
        <v>20132072102</v>
      </c>
    </row>
    <row r="79" spans="1:103" ht="12.75" x14ac:dyDescent="0.2">
      <c r="A79" s="184">
        <v>42877.746623449071</v>
      </c>
      <c r="B79" s="185" t="s">
        <v>2328</v>
      </c>
      <c r="C79" s="185" t="s">
        <v>2235</v>
      </c>
      <c r="D79" s="185">
        <v>6</v>
      </c>
      <c r="E79" s="185" t="s">
        <v>2</v>
      </c>
      <c r="F79" s="185" t="s">
        <v>3</v>
      </c>
      <c r="G79" s="185" t="s">
        <v>3</v>
      </c>
      <c r="H79" s="185" t="s">
        <v>3</v>
      </c>
      <c r="I79" s="185" t="s">
        <v>1093</v>
      </c>
      <c r="J79" s="185" t="s">
        <v>2</v>
      </c>
      <c r="K79" s="185" t="s">
        <v>3</v>
      </c>
      <c r="L79" s="185" t="s">
        <v>5</v>
      </c>
      <c r="M79" s="185" t="s">
        <v>5</v>
      </c>
      <c r="N79" s="185" t="s">
        <v>1</v>
      </c>
      <c r="O79" s="185" t="s">
        <v>2</v>
      </c>
      <c r="P79" s="185" t="s">
        <v>1</v>
      </c>
      <c r="Q79" s="185" t="s">
        <v>2</v>
      </c>
      <c r="R79" s="185" t="s">
        <v>1</v>
      </c>
      <c r="S79" s="185" t="s">
        <v>2</v>
      </c>
      <c r="T79" s="185" t="s">
        <v>5</v>
      </c>
      <c r="U79" s="185" t="s">
        <v>2</v>
      </c>
      <c r="V79" s="185" t="s">
        <v>1093</v>
      </c>
      <c r="W79" s="185" t="s">
        <v>3</v>
      </c>
      <c r="X79" s="185" t="s">
        <v>2</v>
      </c>
      <c r="Y79" s="185" t="s">
        <v>2</v>
      </c>
      <c r="Z79" s="185" t="s">
        <v>2</v>
      </c>
      <c r="AA79" s="185" t="s">
        <v>3</v>
      </c>
      <c r="AB79" s="185" t="s">
        <v>1</v>
      </c>
      <c r="AC79" s="185" t="s">
        <v>1</v>
      </c>
      <c r="AD79" s="185" t="s">
        <v>1</v>
      </c>
      <c r="AE79" s="185" t="s">
        <v>1</v>
      </c>
      <c r="AF79" s="185" t="s">
        <v>1093</v>
      </c>
      <c r="AG79" s="185" t="s">
        <v>1093</v>
      </c>
      <c r="AH79" s="185" t="s">
        <v>2</v>
      </c>
      <c r="AI79" s="185" t="s">
        <v>2</v>
      </c>
      <c r="AJ79" s="185" t="s">
        <v>2</v>
      </c>
      <c r="AK79" s="185" t="s">
        <v>1</v>
      </c>
      <c r="AL79" s="185" t="s">
        <v>1</v>
      </c>
      <c r="AM79" s="185" t="s">
        <v>1</v>
      </c>
      <c r="AN79" s="185" t="s">
        <v>3</v>
      </c>
      <c r="AO79" s="185" t="s">
        <v>1</v>
      </c>
      <c r="AP79" s="185" t="s">
        <v>1</v>
      </c>
      <c r="AQ79" s="185" t="s">
        <v>2</v>
      </c>
      <c r="AR79" s="185" t="s">
        <v>3</v>
      </c>
      <c r="AS79" s="185" t="s">
        <v>3</v>
      </c>
      <c r="AT79" s="185" t="s">
        <v>1092</v>
      </c>
      <c r="AU79" s="185" t="s">
        <v>1092</v>
      </c>
      <c r="AV79" s="185" t="s">
        <v>1</v>
      </c>
      <c r="AW79" s="185" t="s">
        <v>1</v>
      </c>
      <c r="AX79" s="185" t="s">
        <v>2</v>
      </c>
      <c r="AY79" s="185" t="s">
        <v>3</v>
      </c>
      <c r="AZ79" s="185" t="s">
        <v>3</v>
      </c>
      <c r="BA79" s="185" t="s">
        <v>5</v>
      </c>
      <c r="BB79" s="185" t="s">
        <v>2</v>
      </c>
      <c r="BC79" s="185" t="s">
        <v>1</v>
      </c>
      <c r="BD79" s="185" t="s">
        <v>1</v>
      </c>
      <c r="BE79" s="185" t="s">
        <v>1</v>
      </c>
      <c r="BF79" s="185" t="s">
        <v>2</v>
      </c>
      <c r="BG79" s="185" t="s">
        <v>2</v>
      </c>
      <c r="BH79" s="185" t="s">
        <v>2</v>
      </c>
      <c r="BI79" s="185" t="s">
        <v>2</v>
      </c>
      <c r="BJ79" s="185" t="s">
        <v>3</v>
      </c>
      <c r="BK79" s="185" t="s">
        <v>3</v>
      </c>
      <c r="BL79" s="185" t="s">
        <v>3</v>
      </c>
      <c r="BM79" s="185" t="s">
        <v>3</v>
      </c>
      <c r="BN79" s="185" t="s">
        <v>3</v>
      </c>
      <c r="BO79" s="185" t="s">
        <v>3</v>
      </c>
      <c r="BP79" s="185" t="s">
        <v>3</v>
      </c>
      <c r="BQ79" s="185" t="s">
        <v>2</v>
      </c>
      <c r="BR79" s="185" t="s">
        <v>3</v>
      </c>
      <c r="BS79" s="185" t="s">
        <v>3</v>
      </c>
      <c r="BT79" s="185" t="s">
        <v>2</v>
      </c>
      <c r="BU79" s="185" t="s">
        <v>2</v>
      </c>
      <c r="BV79" s="185" t="s">
        <v>2</v>
      </c>
      <c r="BW79" s="185" t="s">
        <v>1</v>
      </c>
      <c r="BX79" s="185" t="s">
        <v>2</v>
      </c>
      <c r="BY79" s="185" t="s">
        <v>3</v>
      </c>
      <c r="BZ79" s="185" t="s">
        <v>2</v>
      </c>
      <c r="CA79" s="185" t="s">
        <v>3</v>
      </c>
      <c r="CB79" s="185" t="s">
        <v>3</v>
      </c>
      <c r="CC79" s="185" t="s">
        <v>3</v>
      </c>
      <c r="CD79" s="185" t="s">
        <v>3</v>
      </c>
      <c r="CE79" s="185" t="s">
        <v>1092</v>
      </c>
      <c r="CF79" s="185" t="s">
        <v>1093</v>
      </c>
      <c r="CG79" s="185" t="s">
        <v>1093</v>
      </c>
      <c r="CH79" s="185" t="s">
        <v>2</v>
      </c>
      <c r="CI79" s="185" t="s">
        <v>3</v>
      </c>
      <c r="CJ79" s="185" t="s">
        <v>3</v>
      </c>
      <c r="CK79" s="185" t="s">
        <v>2</v>
      </c>
      <c r="CL79" s="185" t="s">
        <v>2</v>
      </c>
      <c r="CM79" s="185" t="s">
        <v>1</v>
      </c>
      <c r="CN79" s="185" t="s">
        <v>1</v>
      </c>
      <c r="CO79" s="185" t="s">
        <v>2</v>
      </c>
      <c r="CP79" s="185" t="s">
        <v>2</v>
      </c>
      <c r="CQ79" s="185" t="s">
        <v>2</v>
      </c>
      <c r="CR79" s="185" t="s">
        <v>2</v>
      </c>
      <c r="CS79" s="185" t="s">
        <v>2</v>
      </c>
      <c r="CT79" s="185" t="s">
        <v>2</v>
      </c>
      <c r="CU79" s="185" t="s">
        <v>2</v>
      </c>
      <c r="CV79" s="185" t="s">
        <v>2</v>
      </c>
      <c r="CW79" s="185" t="s">
        <v>2</v>
      </c>
      <c r="CX79" s="186"/>
      <c r="CY79" s="185">
        <v>20132072112</v>
      </c>
    </row>
    <row r="80" spans="1:103" ht="12.75" x14ac:dyDescent="0.2">
      <c r="A80" s="184">
        <v>42877.747341377311</v>
      </c>
      <c r="B80" s="185" t="s">
        <v>2329</v>
      </c>
      <c r="C80" s="185" t="s">
        <v>2235</v>
      </c>
      <c r="D80" s="185">
        <v>6</v>
      </c>
      <c r="E80" s="185" t="s">
        <v>1</v>
      </c>
      <c r="F80" s="185" t="s">
        <v>1092</v>
      </c>
      <c r="G80" s="185" t="s">
        <v>1092</v>
      </c>
      <c r="H80" s="185" t="s">
        <v>3</v>
      </c>
      <c r="I80" s="185" t="s">
        <v>1093</v>
      </c>
      <c r="J80" s="185" t="s">
        <v>1093</v>
      </c>
      <c r="K80" s="185" t="s">
        <v>1</v>
      </c>
      <c r="L80" s="185" t="s">
        <v>5</v>
      </c>
      <c r="M80" s="185" t="s">
        <v>3</v>
      </c>
      <c r="N80" s="185" t="s">
        <v>1092</v>
      </c>
      <c r="O80" s="185" t="s">
        <v>1</v>
      </c>
      <c r="P80" s="185" t="s">
        <v>1093</v>
      </c>
      <c r="Q80" s="185" t="s">
        <v>1093</v>
      </c>
      <c r="R80" s="185" t="s">
        <v>2</v>
      </c>
      <c r="S80" s="185" t="s">
        <v>3</v>
      </c>
      <c r="T80" s="185" t="s">
        <v>1093</v>
      </c>
      <c r="U80" s="185" t="s">
        <v>1093</v>
      </c>
      <c r="V80" s="185" t="s">
        <v>3</v>
      </c>
      <c r="W80" s="185" t="s">
        <v>2</v>
      </c>
      <c r="X80" s="185" t="s">
        <v>1092</v>
      </c>
      <c r="Y80" s="185" t="s">
        <v>3</v>
      </c>
      <c r="Z80" s="185" t="s">
        <v>1092</v>
      </c>
      <c r="AA80" s="185" t="s">
        <v>2</v>
      </c>
      <c r="AB80" s="185" t="s">
        <v>3</v>
      </c>
      <c r="AC80" s="185" t="s">
        <v>2</v>
      </c>
      <c r="AD80" s="185" t="s">
        <v>2</v>
      </c>
      <c r="AE80" s="185" t="s">
        <v>5</v>
      </c>
      <c r="AF80" s="185" t="s">
        <v>3</v>
      </c>
      <c r="AG80" s="185" t="s">
        <v>5</v>
      </c>
      <c r="AH80" s="185" t="s">
        <v>1092</v>
      </c>
      <c r="AI80" s="185" t="s">
        <v>1</v>
      </c>
      <c r="AJ80" s="185" t="s">
        <v>1</v>
      </c>
      <c r="AK80" s="185" t="s">
        <v>1</v>
      </c>
      <c r="AL80" s="185" t="s">
        <v>3</v>
      </c>
      <c r="AM80" s="185" t="s">
        <v>1</v>
      </c>
      <c r="AN80" s="185" t="s">
        <v>3</v>
      </c>
      <c r="AO80" s="185" t="s">
        <v>2</v>
      </c>
      <c r="AP80" s="185" t="s">
        <v>5</v>
      </c>
      <c r="AQ80" s="185" t="s">
        <v>2</v>
      </c>
      <c r="AR80" s="185" t="s">
        <v>1092</v>
      </c>
      <c r="AS80" s="185" t="s">
        <v>1092</v>
      </c>
      <c r="AT80" s="185" t="s">
        <v>1092</v>
      </c>
      <c r="AU80" s="185" t="s">
        <v>2</v>
      </c>
      <c r="AV80" s="185" t="s">
        <v>3</v>
      </c>
      <c r="AW80" s="185" t="s">
        <v>3</v>
      </c>
      <c r="AX80" s="185" t="s">
        <v>1</v>
      </c>
      <c r="AY80" s="185" t="s">
        <v>3</v>
      </c>
      <c r="AZ80" s="185" t="s">
        <v>2</v>
      </c>
      <c r="BA80" s="185" t="s">
        <v>1</v>
      </c>
      <c r="BB80" s="185" t="s">
        <v>2</v>
      </c>
      <c r="BC80" s="185" t="s">
        <v>2</v>
      </c>
      <c r="BD80" s="185" t="s">
        <v>2</v>
      </c>
      <c r="BE80" s="185" t="s">
        <v>1093</v>
      </c>
      <c r="BF80" s="185" t="s">
        <v>1092</v>
      </c>
      <c r="BG80" s="185" t="s">
        <v>3</v>
      </c>
      <c r="BH80" s="185" t="s">
        <v>3</v>
      </c>
      <c r="BI80" s="185" t="s">
        <v>1</v>
      </c>
      <c r="BJ80" s="185" t="s">
        <v>3</v>
      </c>
      <c r="BK80" s="185" t="s">
        <v>3</v>
      </c>
      <c r="BL80" s="185" t="s">
        <v>3</v>
      </c>
      <c r="BM80" s="185" t="s">
        <v>2</v>
      </c>
      <c r="BN80" s="185" t="s">
        <v>3</v>
      </c>
      <c r="BO80" s="185" t="s">
        <v>1</v>
      </c>
      <c r="BP80" s="185" t="s">
        <v>3</v>
      </c>
      <c r="BQ80" s="185" t="s">
        <v>2</v>
      </c>
      <c r="BR80" s="185" t="s">
        <v>3</v>
      </c>
      <c r="BS80" s="185" t="s">
        <v>1092</v>
      </c>
      <c r="BT80" s="185" t="s">
        <v>2</v>
      </c>
      <c r="BU80" s="185" t="s">
        <v>3</v>
      </c>
      <c r="BV80" s="185" t="s">
        <v>2</v>
      </c>
      <c r="BW80" s="185" t="s">
        <v>3</v>
      </c>
      <c r="BX80" s="185" t="s">
        <v>1</v>
      </c>
      <c r="BY80" s="185" t="s">
        <v>1</v>
      </c>
      <c r="BZ80" s="185" t="s">
        <v>1093</v>
      </c>
      <c r="CA80" s="185" t="s">
        <v>2</v>
      </c>
      <c r="CB80" s="185" t="s">
        <v>2</v>
      </c>
      <c r="CC80" s="185" t="s">
        <v>2</v>
      </c>
      <c r="CD80" s="185" t="s">
        <v>3</v>
      </c>
      <c r="CE80" s="185" t="s">
        <v>1092</v>
      </c>
      <c r="CF80" s="185" t="s">
        <v>1093</v>
      </c>
      <c r="CG80" s="185" t="s">
        <v>1</v>
      </c>
      <c r="CH80" s="185" t="s">
        <v>1</v>
      </c>
      <c r="CI80" s="185" t="s">
        <v>2</v>
      </c>
      <c r="CJ80" s="185" t="s">
        <v>1</v>
      </c>
      <c r="CK80" s="185" t="s">
        <v>2</v>
      </c>
      <c r="CL80" s="185" t="s">
        <v>2</v>
      </c>
      <c r="CM80" s="185" t="s">
        <v>1092</v>
      </c>
      <c r="CN80" s="185" t="s">
        <v>2</v>
      </c>
      <c r="CO80" s="185" t="s">
        <v>1</v>
      </c>
      <c r="CP80" s="185" t="s">
        <v>2</v>
      </c>
      <c r="CQ80" s="185" t="s">
        <v>3</v>
      </c>
      <c r="CR80" s="185" t="s">
        <v>1</v>
      </c>
      <c r="CS80" s="185" t="s">
        <v>3</v>
      </c>
      <c r="CT80" s="185" t="s">
        <v>1</v>
      </c>
      <c r="CU80" s="185" t="s">
        <v>1</v>
      </c>
      <c r="CV80" s="185" t="s">
        <v>1092</v>
      </c>
      <c r="CW80" s="185" t="s">
        <v>2</v>
      </c>
      <c r="CX80" s="186"/>
      <c r="CY80" s="185">
        <v>20122072066</v>
      </c>
    </row>
    <row r="81" spans="1:103" ht="12.75" x14ac:dyDescent="0.2">
      <c r="A81" s="184">
        <v>42877.749111331017</v>
      </c>
      <c r="B81" s="185" t="s">
        <v>2330</v>
      </c>
      <c r="C81" s="185" t="s">
        <v>2235</v>
      </c>
      <c r="D81" s="185">
        <v>7</v>
      </c>
      <c r="E81" s="185" t="s">
        <v>2</v>
      </c>
      <c r="F81" s="185" t="s">
        <v>2</v>
      </c>
      <c r="G81" s="185" t="s">
        <v>1092</v>
      </c>
      <c r="H81" s="185" t="s">
        <v>3</v>
      </c>
      <c r="I81" s="185" t="s">
        <v>1</v>
      </c>
      <c r="J81" s="185" t="s">
        <v>1</v>
      </c>
      <c r="K81" s="185" t="s">
        <v>2</v>
      </c>
      <c r="L81" s="185" t="s">
        <v>3</v>
      </c>
      <c r="M81" s="185" t="s">
        <v>2</v>
      </c>
      <c r="N81" s="185" t="s">
        <v>2</v>
      </c>
      <c r="O81" s="185" t="s">
        <v>1</v>
      </c>
      <c r="P81" s="185" t="s">
        <v>1093</v>
      </c>
      <c r="Q81" s="185" t="s">
        <v>2</v>
      </c>
      <c r="R81" s="185" t="s">
        <v>1092</v>
      </c>
      <c r="S81" s="185" t="s">
        <v>2</v>
      </c>
      <c r="T81" s="185" t="s">
        <v>2</v>
      </c>
      <c r="U81" s="185" t="s">
        <v>1</v>
      </c>
      <c r="V81" s="185" t="s">
        <v>2</v>
      </c>
      <c r="W81" s="185" t="s">
        <v>2</v>
      </c>
      <c r="X81" s="185" t="s">
        <v>2</v>
      </c>
      <c r="Y81" s="185" t="s">
        <v>2</v>
      </c>
      <c r="Z81" s="185" t="s">
        <v>2</v>
      </c>
      <c r="AA81" s="185" t="s">
        <v>2</v>
      </c>
      <c r="AB81" s="185" t="s">
        <v>1</v>
      </c>
      <c r="AC81" s="185" t="s">
        <v>1</v>
      </c>
      <c r="AD81" s="185" t="s">
        <v>1</v>
      </c>
      <c r="AE81" s="185" t="s">
        <v>2</v>
      </c>
      <c r="AF81" s="185" t="s">
        <v>1093</v>
      </c>
      <c r="AG81" s="185" t="s">
        <v>1</v>
      </c>
      <c r="AH81" s="185" t="s">
        <v>2</v>
      </c>
      <c r="AI81" s="185" t="s">
        <v>1</v>
      </c>
      <c r="AJ81" s="185" t="s">
        <v>1</v>
      </c>
      <c r="AK81" s="185" t="s">
        <v>2</v>
      </c>
      <c r="AL81" s="185" t="s">
        <v>1</v>
      </c>
      <c r="AM81" s="185" t="s">
        <v>2</v>
      </c>
      <c r="AN81" s="185" t="s">
        <v>3</v>
      </c>
      <c r="AO81" s="185" t="s">
        <v>3</v>
      </c>
      <c r="AP81" s="185" t="s">
        <v>3</v>
      </c>
      <c r="AQ81" s="185" t="s">
        <v>3</v>
      </c>
      <c r="AR81" s="185" t="s">
        <v>2</v>
      </c>
      <c r="AS81" s="185" t="s">
        <v>2</v>
      </c>
      <c r="AT81" s="185" t="s">
        <v>2</v>
      </c>
      <c r="AU81" s="185" t="s">
        <v>1092</v>
      </c>
      <c r="AV81" s="185" t="s">
        <v>2</v>
      </c>
      <c r="AW81" s="185" t="s">
        <v>1092</v>
      </c>
      <c r="AX81" s="185" t="s">
        <v>1092</v>
      </c>
      <c r="AY81" s="185" t="s">
        <v>3</v>
      </c>
      <c r="AZ81" s="185" t="s">
        <v>3</v>
      </c>
      <c r="BA81" s="185" t="s">
        <v>3</v>
      </c>
      <c r="BB81" s="185" t="s">
        <v>2</v>
      </c>
      <c r="BC81" s="185" t="s">
        <v>2</v>
      </c>
      <c r="BD81" s="185" t="s">
        <v>1093</v>
      </c>
      <c r="BE81" s="185" t="s">
        <v>1093</v>
      </c>
      <c r="BF81" s="185" t="s">
        <v>1</v>
      </c>
      <c r="BG81" s="185" t="s">
        <v>1</v>
      </c>
      <c r="BH81" s="185" t="s">
        <v>2</v>
      </c>
      <c r="BI81" s="185" t="s">
        <v>2</v>
      </c>
      <c r="BJ81" s="185" t="s">
        <v>3</v>
      </c>
      <c r="BK81" s="185" t="s">
        <v>1</v>
      </c>
      <c r="BL81" s="185" t="s">
        <v>1092</v>
      </c>
      <c r="BM81" s="185" t="s">
        <v>1092</v>
      </c>
      <c r="BN81" s="185" t="s">
        <v>1092</v>
      </c>
      <c r="BO81" s="185" t="s">
        <v>2</v>
      </c>
      <c r="BP81" s="185" t="s">
        <v>2</v>
      </c>
      <c r="BQ81" s="185" t="s">
        <v>2</v>
      </c>
      <c r="BR81" s="185" t="s">
        <v>1092</v>
      </c>
      <c r="BS81" s="185" t="s">
        <v>1092</v>
      </c>
      <c r="BT81" s="185" t="s">
        <v>1092</v>
      </c>
      <c r="BU81" s="185" t="s">
        <v>2</v>
      </c>
      <c r="BV81" s="185" t="s">
        <v>1</v>
      </c>
      <c r="BW81" s="185" t="s">
        <v>2</v>
      </c>
      <c r="BX81" s="185" t="s">
        <v>1</v>
      </c>
      <c r="BY81" s="185" t="s">
        <v>2</v>
      </c>
      <c r="BZ81" s="185" t="s">
        <v>1093</v>
      </c>
      <c r="CA81" s="185" t="s">
        <v>1093</v>
      </c>
      <c r="CB81" s="185" t="s">
        <v>2</v>
      </c>
      <c r="CC81" s="185" t="s">
        <v>1</v>
      </c>
      <c r="CD81" s="185" t="s">
        <v>1</v>
      </c>
      <c r="CE81" s="185" t="s">
        <v>1</v>
      </c>
      <c r="CF81" s="185" t="s">
        <v>1092</v>
      </c>
      <c r="CG81" s="185" t="s">
        <v>1</v>
      </c>
      <c r="CH81" s="185" t="s">
        <v>1</v>
      </c>
      <c r="CI81" s="185" t="s">
        <v>2</v>
      </c>
      <c r="CJ81" s="185" t="s">
        <v>1093</v>
      </c>
      <c r="CK81" s="185" t="s">
        <v>2</v>
      </c>
      <c r="CL81" s="185" t="s">
        <v>2</v>
      </c>
      <c r="CM81" s="185" t="s">
        <v>2</v>
      </c>
      <c r="CN81" s="185" t="s">
        <v>2</v>
      </c>
      <c r="CO81" s="185" t="s">
        <v>2</v>
      </c>
      <c r="CP81" s="185" t="s">
        <v>2</v>
      </c>
      <c r="CQ81" s="185" t="s">
        <v>2</v>
      </c>
      <c r="CR81" s="185" t="s">
        <v>2</v>
      </c>
      <c r="CS81" s="185" t="s">
        <v>2</v>
      </c>
      <c r="CT81" s="185" t="s">
        <v>2</v>
      </c>
      <c r="CU81" s="185" t="s">
        <v>2</v>
      </c>
      <c r="CV81" s="185" t="s">
        <v>2</v>
      </c>
      <c r="CW81" s="185" t="s">
        <v>2</v>
      </c>
      <c r="CX81" s="186"/>
      <c r="CY81" s="185">
        <v>20132072211</v>
      </c>
    </row>
    <row r="82" spans="1:103" ht="12.75" x14ac:dyDescent="0.2">
      <c r="A82" s="184">
        <v>42877.773113668984</v>
      </c>
      <c r="B82" s="185" t="s">
        <v>2331</v>
      </c>
      <c r="C82" s="185" t="s">
        <v>2271</v>
      </c>
      <c r="D82" s="185">
        <v>2</v>
      </c>
      <c r="E82" s="185" t="s">
        <v>5</v>
      </c>
      <c r="F82" s="185" t="s">
        <v>3</v>
      </c>
      <c r="G82" s="185" t="s">
        <v>3</v>
      </c>
      <c r="H82" s="185" t="s">
        <v>3</v>
      </c>
      <c r="I82" s="185" t="s">
        <v>2</v>
      </c>
      <c r="J82" s="185" t="s">
        <v>2</v>
      </c>
      <c r="K82" s="185" t="s">
        <v>3</v>
      </c>
      <c r="L82" s="185" t="s">
        <v>3</v>
      </c>
      <c r="M82" s="185" t="s">
        <v>2</v>
      </c>
      <c r="N82" s="185" t="s">
        <v>3</v>
      </c>
      <c r="O82" s="185" t="s">
        <v>3</v>
      </c>
      <c r="P82" s="185" t="s">
        <v>2</v>
      </c>
      <c r="Q82" s="185" t="s">
        <v>1</v>
      </c>
      <c r="R82" s="185" t="s">
        <v>1</v>
      </c>
      <c r="S82" s="185" t="s">
        <v>2</v>
      </c>
      <c r="T82" s="185" t="s">
        <v>3</v>
      </c>
      <c r="U82" s="185" t="s">
        <v>2</v>
      </c>
      <c r="V82" s="185" t="s">
        <v>3</v>
      </c>
      <c r="W82" s="185" t="s">
        <v>3</v>
      </c>
      <c r="X82" s="185" t="s">
        <v>3</v>
      </c>
      <c r="Y82" s="185" t="s">
        <v>3</v>
      </c>
      <c r="Z82" s="185" t="s">
        <v>2</v>
      </c>
      <c r="AA82" s="185" t="s">
        <v>2</v>
      </c>
      <c r="AB82" s="185" t="s">
        <v>2</v>
      </c>
      <c r="AC82" s="185" t="s">
        <v>2</v>
      </c>
      <c r="AD82" s="185" t="s">
        <v>2</v>
      </c>
      <c r="AE82" s="185" t="s">
        <v>2</v>
      </c>
      <c r="AF82" s="185" t="s">
        <v>2</v>
      </c>
      <c r="AG82" s="185" t="s">
        <v>2</v>
      </c>
      <c r="AH82" s="185" t="s">
        <v>2</v>
      </c>
      <c r="AI82" s="185" t="s">
        <v>2</v>
      </c>
      <c r="AJ82" s="185" t="s">
        <v>2</v>
      </c>
      <c r="AK82" s="185" t="s">
        <v>2</v>
      </c>
      <c r="AL82" s="185" t="s">
        <v>2</v>
      </c>
      <c r="AM82" s="185" t="s">
        <v>2</v>
      </c>
      <c r="AN82" s="185" t="s">
        <v>2</v>
      </c>
      <c r="AO82" s="185" t="s">
        <v>2</v>
      </c>
      <c r="AP82" s="185" t="s">
        <v>2</v>
      </c>
      <c r="AQ82" s="185" t="s">
        <v>2</v>
      </c>
      <c r="AR82" s="185" t="s">
        <v>2</v>
      </c>
      <c r="AS82" s="185" t="s">
        <v>2</v>
      </c>
      <c r="AT82" s="185" t="s">
        <v>2</v>
      </c>
      <c r="AU82" s="185" t="s">
        <v>2</v>
      </c>
      <c r="AV82" s="185" t="s">
        <v>2</v>
      </c>
      <c r="AW82" s="185" t="s">
        <v>2</v>
      </c>
      <c r="AX82" s="185" t="s">
        <v>2</v>
      </c>
      <c r="AY82" s="185" t="s">
        <v>2</v>
      </c>
      <c r="AZ82" s="185" t="s">
        <v>2</v>
      </c>
      <c r="BA82" s="185" t="s">
        <v>2</v>
      </c>
      <c r="BB82" s="185" t="s">
        <v>2</v>
      </c>
      <c r="BC82" s="185" t="s">
        <v>2</v>
      </c>
      <c r="BD82" s="185" t="s">
        <v>2</v>
      </c>
      <c r="BE82" s="185" t="s">
        <v>2</v>
      </c>
      <c r="BF82" s="185" t="s">
        <v>2</v>
      </c>
      <c r="BG82" s="185" t="s">
        <v>2</v>
      </c>
      <c r="BH82" s="185" t="s">
        <v>2</v>
      </c>
      <c r="BI82" s="185" t="s">
        <v>2</v>
      </c>
      <c r="BJ82" s="185" t="s">
        <v>2</v>
      </c>
      <c r="BK82" s="185" t="s">
        <v>2</v>
      </c>
      <c r="BL82" s="185" t="s">
        <v>2</v>
      </c>
      <c r="BM82" s="185" t="s">
        <v>2</v>
      </c>
      <c r="BN82" s="185" t="s">
        <v>2</v>
      </c>
      <c r="BO82" s="185" t="s">
        <v>2</v>
      </c>
      <c r="BP82" s="185" t="s">
        <v>2</v>
      </c>
      <c r="BQ82" s="185" t="s">
        <v>2</v>
      </c>
      <c r="BR82" s="185" t="s">
        <v>2</v>
      </c>
      <c r="BS82" s="185" t="s">
        <v>2</v>
      </c>
      <c r="BT82" s="185" t="s">
        <v>2</v>
      </c>
      <c r="BU82" s="185" t="s">
        <v>2</v>
      </c>
      <c r="BV82" s="185" t="s">
        <v>2</v>
      </c>
      <c r="BW82" s="185" t="s">
        <v>2</v>
      </c>
      <c r="BX82" s="185" t="s">
        <v>2</v>
      </c>
      <c r="BY82" s="185" t="s">
        <v>2</v>
      </c>
      <c r="BZ82" s="185" t="s">
        <v>2</v>
      </c>
      <c r="CA82" s="185" t="s">
        <v>2</v>
      </c>
      <c r="CB82" s="185" t="s">
        <v>2</v>
      </c>
      <c r="CC82" s="185" t="s">
        <v>2</v>
      </c>
      <c r="CD82" s="185" t="s">
        <v>2</v>
      </c>
      <c r="CE82" s="185" t="s">
        <v>2</v>
      </c>
      <c r="CF82" s="185" t="s">
        <v>2</v>
      </c>
      <c r="CG82" s="185" t="s">
        <v>2</v>
      </c>
      <c r="CH82" s="185" t="s">
        <v>2</v>
      </c>
      <c r="CI82" s="185" t="s">
        <v>2</v>
      </c>
      <c r="CJ82" s="185" t="s">
        <v>2</v>
      </c>
      <c r="CK82" s="185" t="s">
        <v>2</v>
      </c>
      <c r="CL82" s="185" t="s">
        <v>2</v>
      </c>
      <c r="CM82" s="185" t="s">
        <v>2</v>
      </c>
      <c r="CN82" s="185" t="s">
        <v>2</v>
      </c>
      <c r="CO82" s="185" t="s">
        <v>2</v>
      </c>
      <c r="CP82" s="185" t="s">
        <v>2</v>
      </c>
      <c r="CQ82" s="185" t="s">
        <v>2</v>
      </c>
      <c r="CR82" s="185" t="s">
        <v>2</v>
      </c>
      <c r="CS82" s="185" t="s">
        <v>2</v>
      </c>
      <c r="CT82" s="185" t="s">
        <v>2</v>
      </c>
      <c r="CU82" s="185" t="s">
        <v>2</v>
      </c>
      <c r="CV82" s="185" t="s">
        <v>2</v>
      </c>
      <c r="CW82" s="185" t="s">
        <v>2</v>
      </c>
      <c r="CX82" s="186"/>
      <c r="CY82" s="185">
        <v>20162372034</v>
      </c>
    </row>
    <row r="83" spans="1:103" ht="12.75" x14ac:dyDescent="0.2">
      <c r="A83" s="184">
        <v>42877.773910393516</v>
      </c>
      <c r="B83" s="185" t="s">
        <v>2332</v>
      </c>
      <c r="C83" s="185" t="s">
        <v>2271</v>
      </c>
      <c r="D83" s="185">
        <v>9</v>
      </c>
      <c r="E83" s="185" t="s">
        <v>1092</v>
      </c>
      <c r="F83" s="185" t="s">
        <v>1092</v>
      </c>
      <c r="G83" s="185" t="s">
        <v>1092</v>
      </c>
      <c r="H83" s="185" t="s">
        <v>1092</v>
      </c>
      <c r="I83" s="185" t="s">
        <v>1092</v>
      </c>
      <c r="J83" s="185" t="s">
        <v>3</v>
      </c>
      <c r="K83" s="185" t="s">
        <v>2</v>
      </c>
      <c r="L83" s="185" t="s">
        <v>2</v>
      </c>
      <c r="M83" s="185" t="s">
        <v>3</v>
      </c>
      <c r="N83" s="185" t="s">
        <v>3</v>
      </c>
      <c r="O83" s="185" t="s">
        <v>3</v>
      </c>
      <c r="P83" s="185" t="s">
        <v>3</v>
      </c>
      <c r="Q83" s="185" t="s">
        <v>1092</v>
      </c>
      <c r="R83" s="185" t="s">
        <v>3</v>
      </c>
      <c r="S83" s="185" t="s">
        <v>1092</v>
      </c>
      <c r="T83" s="185" t="s">
        <v>2</v>
      </c>
      <c r="U83" s="185" t="s">
        <v>3</v>
      </c>
      <c r="V83" s="185" t="s">
        <v>3</v>
      </c>
      <c r="W83" s="185" t="s">
        <v>3</v>
      </c>
      <c r="X83" s="185" t="s">
        <v>3</v>
      </c>
      <c r="Y83" s="185" t="s">
        <v>1092</v>
      </c>
      <c r="Z83" s="185" t="s">
        <v>1092</v>
      </c>
      <c r="AA83" s="185" t="s">
        <v>3</v>
      </c>
      <c r="AB83" s="185" t="s">
        <v>1092</v>
      </c>
      <c r="AC83" s="185" t="s">
        <v>3</v>
      </c>
      <c r="AD83" s="185" t="s">
        <v>1092</v>
      </c>
      <c r="AE83" s="185" t="s">
        <v>3</v>
      </c>
      <c r="AF83" s="185" t="s">
        <v>2</v>
      </c>
      <c r="AG83" s="185" t="s">
        <v>1092</v>
      </c>
      <c r="AH83" s="185" t="s">
        <v>1092</v>
      </c>
      <c r="AI83" s="185" t="s">
        <v>1092</v>
      </c>
      <c r="AJ83" s="185" t="s">
        <v>1092</v>
      </c>
      <c r="AK83" s="185" t="s">
        <v>3</v>
      </c>
      <c r="AL83" s="185" t="s">
        <v>2</v>
      </c>
      <c r="AM83" s="185" t="s">
        <v>3</v>
      </c>
      <c r="AN83" s="185" t="s">
        <v>3</v>
      </c>
      <c r="AO83" s="185" t="s">
        <v>1092</v>
      </c>
      <c r="AP83" s="185" t="s">
        <v>1092</v>
      </c>
      <c r="AQ83" s="185" t="s">
        <v>1092</v>
      </c>
      <c r="AR83" s="185" t="s">
        <v>3</v>
      </c>
      <c r="AS83" s="185" t="s">
        <v>2</v>
      </c>
      <c r="AT83" s="185" t="s">
        <v>3</v>
      </c>
      <c r="AU83" s="185" t="s">
        <v>3</v>
      </c>
      <c r="AV83" s="185" t="s">
        <v>1092</v>
      </c>
      <c r="AW83" s="185" t="s">
        <v>1092</v>
      </c>
      <c r="AX83" s="185" t="s">
        <v>1092</v>
      </c>
      <c r="AY83" s="185" t="s">
        <v>3</v>
      </c>
      <c r="AZ83" s="185" t="s">
        <v>3</v>
      </c>
      <c r="BA83" s="185" t="s">
        <v>3</v>
      </c>
      <c r="BB83" s="185" t="s">
        <v>1092</v>
      </c>
      <c r="BC83" s="185" t="s">
        <v>1092</v>
      </c>
      <c r="BD83" s="185" t="s">
        <v>3</v>
      </c>
      <c r="BE83" s="185" t="s">
        <v>3</v>
      </c>
      <c r="BF83" s="185" t="s">
        <v>3</v>
      </c>
      <c r="BG83" s="185" t="s">
        <v>3</v>
      </c>
      <c r="BH83" s="185" t="s">
        <v>1092</v>
      </c>
      <c r="BI83" s="185" t="s">
        <v>3</v>
      </c>
      <c r="BJ83" s="185" t="s">
        <v>1092</v>
      </c>
      <c r="BK83" s="185" t="s">
        <v>3</v>
      </c>
      <c r="BL83" s="185" t="s">
        <v>3</v>
      </c>
      <c r="BM83" s="185" t="s">
        <v>1092</v>
      </c>
      <c r="BN83" s="185" t="s">
        <v>3</v>
      </c>
      <c r="BO83" s="185" t="s">
        <v>2</v>
      </c>
      <c r="BP83" s="185" t="s">
        <v>3</v>
      </c>
      <c r="BQ83" s="185" t="s">
        <v>1092</v>
      </c>
      <c r="BR83" s="185" t="s">
        <v>3</v>
      </c>
      <c r="BS83" s="185" t="s">
        <v>1092</v>
      </c>
      <c r="BT83" s="185" t="s">
        <v>1092</v>
      </c>
      <c r="BU83" s="185" t="s">
        <v>1092</v>
      </c>
      <c r="BV83" s="185" t="s">
        <v>1092</v>
      </c>
      <c r="BW83" s="185" t="s">
        <v>1092</v>
      </c>
      <c r="BX83" s="185" t="s">
        <v>1092</v>
      </c>
      <c r="BY83" s="185" t="s">
        <v>1092</v>
      </c>
      <c r="BZ83" s="185" t="s">
        <v>3</v>
      </c>
      <c r="CA83" s="185" t="s">
        <v>1092</v>
      </c>
      <c r="CB83" s="185" t="s">
        <v>1092</v>
      </c>
      <c r="CC83" s="185" t="s">
        <v>1092</v>
      </c>
      <c r="CD83" s="185" t="s">
        <v>1092</v>
      </c>
      <c r="CE83" s="185" t="s">
        <v>1092</v>
      </c>
      <c r="CF83" s="185" t="s">
        <v>3</v>
      </c>
      <c r="CG83" s="185" t="s">
        <v>3</v>
      </c>
      <c r="CH83" s="185" t="s">
        <v>1092</v>
      </c>
      <c r="CI83" s="185" t="s">
        <v>1092</v>
      </c>
      <c r="CJ83" s="185" t="s">
        <v>1092</v>
      </c>
      <c r="CK83" s="185" t="s">
        <v>1092</v>
      </c>
      <c r="CL83" s="185" t="s">
        <v>1092</v>
      </c>
      <c r="CM83" s="185" t="s">
        <v>3</v>
      </c>
      <c r="CN83" s="185" t="s">
        <v>3</v>
      </c>
      <c r="CO83" s="185" t="s">
        <v>1092</v>
      </c>
      <c r="CP83" s="185" t="s">
        <v>1092</v>
      </c>
      <c r="CQ83" s="185" t="s">
        <v>1092</v>
      </c>
      <c r="CR83" s="185" t="s">
        <v>1092</v>
      </c>
      <c r="CS83" s="185" t="s">
        <v>3</v>
      </c>
      <c r="CT83" s="185" t="s">
        <v>3</v>
      </c>
      <c r="CU83" s="185" t="s">
        <v>1092</v>
      </c>
      <c r="CV83" s="185" t="s">
        <v>1092</v>
      </c>
      <c r="CW83" s="185" t="s">
        <v>1092</v>
      </c>
      <c r="CX83" s="186"/>
      <c r="CY83" s="185">
        <v>20161372075</v>
      </c>
    </row>
    <row r="84" spans="1:103" ht="12.75" x14ac:dyDescent="0.2">
      <c r="A84" s="184">
        <v>42877.77756592592</v>
      </c>
      <c r="B84" s="185" t="s">
        <v>2333</v>
      </c>
      <c r="C84" s="185" t="s">
        <v>2271</v>
      </c>
      <c r="D84" s="185">
        <v>1</v>
      </c>
      <c r="E84" s="185" t="s">
        <v>2</v>
      </c>
      <c r="F84" s="185" t="s">
        <v>1092</v>
      </c>
      <c r="G84" s="185" t="s">
        <v>3</v>
      </c>
      <c r="H84" s="185" t="s">
        <v>3</v>
      </c>
      <c r="I84" s="185" t="s">
        <v>1</v>
      </c>
      <c r="J84" s="185" t="s">
        <v>2</v>
      </c>
      <c r="K84" s="185" t="s">
        <v>3</v>
      </c>
      <c r="L84" s="185" t="s">
        <v>3</v>
      </c>
      <c r="M84" s="185" t="s">
        <v>3</v>
      </c>
      <c r="N84" s="185" t="s">
        <v>2</v>
      </c>
      <c r="O84" s="185" t="s">
        <v>1</v>
      </c>
      <c r="P84" s="185" t="s">
        <v>1</v>
      </c>
      <c r="Q84" s="185" t="s">
        <v>1</v>
      </c>
      <c r="R84" s="185" t="s">
        <v>2</v>
      </c>
      <c r="S84" s="185" t="s">
        <v>1</v>
      </c>
      <c r="T84" s="185" t="s">
        <v>3</v>
      </c>
      <c r="U84" s="185" t="s">
        <v>2</v>
      </c>
      <c r="V84" s="185" t="s">
        <v>2</v>
      </c>
      <c r="W84" s="185" t="s">
        <v>3</v>
      </c>
      <c r="X84" s="185" t="s">
        <v>3</v>
      </c>
      <c r="Y84" s="185" t="s">
        <v>3</v>
      </c>
      <c r="Z84" s="185" t="s">
        <v>3</v>
      </c>
      <c r="AA84" s="185" t="s">
        <v>3</v>
      </c>
      <c r="AB84" s="185" t="s">
        <v>2</v>
      </c>
      <c r="AC84" s="185" t="s">
        <v>3</v>
      </c>
      <c r="AD84" s="185" t="s">
        <v>3</v>
      </c>
      <c r="AE84" s="185" t="s">
        <v>3</v>
      </c>
      <c r="AF84" s="185" t="s">
        <v>3</v>
      </c>
      <c r="AG84" s="185" t="s">
        <v>1</v>
      </c>
      <c r="AH84" s="185" t="s">
        <v>3</v>
      </c>
      <c r="AI84" s="185" t="s">
        <v>3</v>
      </c>
      <c r="AJ84" s="185" t="s">
        <v>3</v>
      </c>
      <c r="AK84" s="185" t="s">
        <v>2</v>
      </c>
      <c r="AL84" s="185" t="s">
        <v>3</v>
      </c>
      <c r="AM84" s="185" t="s">
        <v>2</v>
      </c>
      <c r="AN84" s="185" t="s">
        <v>3</v>
      </c>
      <c r="AO84" s="185" t="s">
        <v>3</v>
      </c>
      <c r="AP84" s="185" t="s">
        <v>3</v>
      </c>
      <c r="AQ84" s="185" t="s">
        <v>3</v>
      </c>
      <c r="AR84" s="185" t="s">
        <v>3</v>
      </c>
      <c r="AS84" s="185" t="s">
        <v>2</v>
      </c>
      <c r="AT84" s="185" t="s">
        <v>3</v>
      </c>
      <c r="AU84" s="185" t="s">
        <v>2</v>
      </c>
      <c r="AV84" s="185" t="s">
        <v>3</v>
      </c>
      <c r="AW84" s="185" t="s">
        <v>3</v>
      </c>
      <c r="AX84" s="185" t="s">
        <v>3</v>
      </c>
      <c r="AY84" s="185" t="s">
        <v>3</v>
      </c>
      <c r="AZ84" s="185" t="s">
        <v>3</v>
      </c>
      <c r="BA84" s="185" t="s">
        <v>2</v>
      </c>
      <c r="BB84" s="185" t="s">
        <v>3</v>
      </c>
      <c r="BC84" s="185" t="s">
        <v>3</v>
      </c>
      <c r="BD84" s="185" t="s">
        <v>3</v>
      </c>
      <c r="BE84" s="185" t="s">
        <v>3</v>
      </c>
      <c r="BF84" s="185" t="s">
        <v>3</v>
      </c>
      <c r="BG84" s="185" t="s">
        <v>3</v>
      </c>
      <c r="BH84" s="185" t="s">
        <v>3</v>
      </c>
      <c r="BI84" s="185" t="s">
        <v>3</v>
      </c>
      <c r="BJ84" s="185" t="s">
        <v>3</v>
      </c>
      <c r="BK84" s="185" t="s">
        <v>3</v>
      </c>
      <c r="BL84" s="185" t="s">
        <v>3</v>
      </c>
      <c r="BM84" s="185" t="s">
        <v>3</v>
      </c>
      <c r="BN84" s="185" t="s">
        <v>2</v>
      </c>
      <c r="BO84" s="185" t="s">
        <v>3</v>
      </c>
      <c r="BP84" s="185" t="s">
        <v>3</v>
      </c>
      <c r="BQ84" s="185" t="s">
        <v>3</v>
      </c>
      <c r="BR84" s="185" t="s">
        <v>1</v>
      </c>
      <c r="BS84" s="185" t="s">
        <v>3</v>
      </c>
      <c r="BT84" s="185" t="s">
        <v>3</v>
      </c>
      <c r="BU84" s="185" t="s">
        <v>3</v>
      </c>
      <c r="BV84" s="185" t="s">
        <v>3</v>
      </c>
      <c r="BW84" s="185" t="s">
        <v>3</v>
      </c>
      <c r="BX84" s="185" t="s">
        <v>3</v>
      </c>
      <c r="BY84" s="185" t="s">
        <v>3</v>
      </c>
      <c r="BZ84" s="185" t="s">
        <v>3</v>
      </c>
      <c r="CA84" s="185" t="s">
        <v>3</v>
      </c>
      <c r="CB84" s="185" t="s">
        <v>3</v>
      </c>
      <c r="CC84" s="185" t="s">
        <v>3</v>
      </c>
      <c r="CD84" s="185" t="s">
        <v>3</v>
      </c>
      <c r="CE84" s="185" t="s">
        <v>3</v>
      </c>
      <c r="CF84" s="185" t="s">
        <v>3</v>
      </c>
      <c r="CG84" s="185" t="s">
        <v>2</v>
      </c>
      <c r="CH84" s="185" t="s">
        <v>3</v>
      </c>
      <c r="CI84" s="185" t="s">
        <v>2</v>
      </c>
      <c r="CJ84" s="185" t="s">
        <v>3</v>
      </c>
      <c r="CK84" s="185" t="s">
        <v>3</v>
      </c>
      <c r="CL84" s="185" t="s">
        <v>3</v>
      </c>
      <c r="CM84" s="185" t="s">
        <v>2</v>
      </c>
      <c r="CN84" s="185" t="s">
        <v>2</v>
      </c>
      <c r="CO84" s="185" t="s">
        <v>2</v>
      </c>
      <c r="CP84" s="185" t="s">
        <v>3</v>
      </c>
      <c r="CQ84" s="185" t="s">
        <v>3</v>
      </c>
      <c r="CR84" s="185" t="s">
        <v>3</v>
      </c>
      <c r="CS84" s="185" t="s">
        <v>3</v>
      </c>
      <c r="CT84" s="185" t="s">
        <v>3</v>
      </c>
      <c r="CU84" s="185" t="s">
        <v>3</v>
      </c>
      <c r="CV84" s="185" t="s">
        <v>3</v>
      </c>
      <c r="CW84" s="185" t="s">
        <v>3</v>
      </c>
      <c r="CX84" s="186"/>
      <c r="CY84" s="185">
        <v>20162372046</v>
      </c>
    </row>
    <row r="85" spans="1:103" ht="12.75" x14ac:dyDescent="0.2">
      <c r="A85" s="184">
        <v>42877.777908692129</v>
      </c>
      <c r="B85" s="185" t="s">
        <v>2334</v>
      </c>
      <c r="C85" s="185" t="s">
        <v>2271</v>
      </c>
      <c r="D85" s="185">
        <v>2</v>
      </c>
      <c r="E85" s="185" t="s">
        <v>3</v>
      </c>
      <c r="F85" s="185" t="s">
        <v>1092</v>
      </c>
      <c r="G85" s="185" t="s">
        <v>3</v>
      </c>
      <c r="H85" s="185" t="s">
        <v>1092</v>
      </c>
      <c r="I85" s="185" t="s">
        <v>2</v>
      </c>
      <c r="J85" s="185" t="s">
        <v>2</v>
      </c>
      <c r="K85" s="185" t="s">
        <v>1092</v>
      </c>
      <c r="L85" s="185" t="s">
        <v>3</v>
      </c>
      <c r="M85" s="185" t="s">
        <v>3</v>
      </c>
      <c r="N85" s="185" t="s">
        <v>2</v>
      </c>
      <c r="O85" s="185" t="s">
        <v>3</v>
      </c>
      <c r="P85" s="185" t="s">
        <v>5</v>
      </c>
      <c r="Q85" s="185" t="s">
        <v>1093</v>
      </c>
      <c r="R85" s="185" t="s">
        <v>2</v>
      </c>
      <c r="S85" s="185" t="s">
        <v>3</v>
      </c>
      <c r="T85" s="185" t="s">
        <v>2</v>
      </c>
      <c r="U85" s="185" t="s">
        <v>2</v>
      </c>
      <c r="V85" s="185" t="s">
        <v>3</v>
      </c>
      <c r="W85" s="185" t="s">
        <v>3</v>
      </c>
      <c r="X85" s="185" t="s">
        <v>3</v>
      </c>
      <c r="Y85" s="185" t="s">
        <v>2</v>
      </c>
      <c r="Z85" s="185" t="s">
        <v>2</v>
      </c>
      <c r="AA85" s="185" t="s">
        <v>3</v>
      </c>
      <c r="AB85" s="185" t="s">
        <v>1093</v>
      </c>
      <c r="AC85" s="185" t="s">
        <v>3</v>
      </c>
      <c r="AD85" s="185" t="s">
        <v>2</v>
      </c>
      <c r="AE85" s="185" t="s">
        <v>5</v>
      </c>
      <c r="AF85" s="185" t="s">
        <v>3</v>
      </c>
      <c r="AG85" s="185" t="s">
        <v>5</v>
      </c>
      <c r="AH85" s="185" t="s">
        <v>3</v>
      </c>
      <c r="AI85" s="185" t="s">
        <v>1</v>
      </c>
      <c r="AJ85" s="185" t="s">
        <v>2</v>
      </c>
      <c r="AK85" s="185" t="s">
        <v>3</v>
      </c>
      <c r="AL85" s="185" t="s">
        <v>2</v>
      </c>
      <c r="AM85" s="185" t="s">
        <v>2</v>
      </c>
      <c r="AN85" s="185" t="s">
        <v>3</v>
      </c>
      <c r="AO85" s="185" t="s">
        <v>2</v>
      </c>
      <c r="AP85" s="185" t="s">
        <v>1092</v>
      </c>
      <c r="AQ85" s="185" t="s">
        <v>1092</v>
      </c>
      <c r="AR85" s="185" t="s">
        <v>3</v>
      </c>
      <c r="AS85" s="185" t="s">
        <v>3</v>
      </c>
      <c r="AT85" s="185" t="s">
        <v>3</v>
      </c>
      <c r="AU85" s="185" t="s">
        <v>3</v>
      </c>
      <c r="AV85" s="185" t="s">
        <v>2</v>
      </c>
      <c r="AW85" s="185" t="s">
        <v>3</v>
      </c>
      <c r="AX85" s="185" t="s">
        <v>3</v>
      </c>
      <c r="AY85" s="185" t="s">
        <v>3</v>
      </c>
      <c r="AZ85" s="185" t="s">
        <v>5</v>
      </c>
      <c r="BA85" s="185" t="s">
        <v>2</v>
      </c>
      <c r="BB85" s="185" t="s">
        <v>2</v>
      </c>
      <c r="BC85" s="185" t="s">
        <v>2</v>
      </c>
      <c r="BD85" s="185" t="s">
        <v>3</v>
      </c>
      <c r="BE85" s="185" t="s">
        <v>2</v>
      </c>
      <c r="BF85" s="185" t="s">
        <v>3</v>
      </c>
      <c r="BG85" s="185" t="s">
        <v>3</v>
      </c>
      <c r="BH85" s="185" t="s">
        <v>1</v>
      </c>
      <c r="BI85" s="185" t="s">
        <v>3</v>
      </c>
      <c r="BJ85" s="185" t="s">
        <v>3</v>
      </c>
      <c r="BK85" s="185" t="s">
        <v>2</v>
      </c>
      <c r="BL85" s="185" t="s">
        <v>3</v>
      </c>
      <c r="BM85" s="185" t="s">
        <v>3</v>
      </c>
      <c r="BN85" s="185" t="s">
        <v>2</v>
      </c>
      <c r="BO85" s="185" t="s">
        <v>3</v>
      </c>
      <c r="BP85" s="185" t="s">
        <v>2</v>
      </c>
      <c r="BQ85" s="185" t="s">
        <v>3</v>
      </c>
      <c r="BR85" s="185" t="s">
        <v>2</v>
      </c>
      <c r="BS85" s="185" t="s">
        <v>3</v>
      </c>
      <c r="BT85" s="185" t="s">
        <v>3</v>
      </c>
      <c r="BU85" s="185" t="s">
        <v>3</v>
      </c>
      <c r="BV85" s="185" t="s">
        <v>2</v>
      </c>
      <c r="BW85" s="185" t="s">
        <v>2</v>
      </c>
      <c r="BX85" s="185" t="s">
        <v>2</v>
      </c>
      <c r="BY85" s="185" t="s">
        <v>3</v>
      </c>
      <c r="BZ85" s="185" t="s">
        <v>3</v>
      </c>
      <c r="CA85" s="185" t="s">
        <v>2</v>
      </c>
      <c r="CB85" s="185" t="s">
        <v>2</v>
      </c>
      <c r="CC85" s="185" t="s">
        <v>3</v>
      </c>
      <c r="CD85" s="185" t="s">
        <v>2</v>
      </c>
      <c r="CE85" s="185" t="s">
        <v>3</v>
      </c>
      <c r="CF85" s="185" t="s">
        <v>1</v>
      </c>
      <c r="CG85" s="185" t="s">
        <v>3</v>
      </c>
      <c r="CH85" s="185" t="s">
        <v>2</v>
      </c>
      <c r="CI85" s="185" t="s">
        <v>3</v>
      </c>
      <c r="CJ85" s="185" t="s">
        <v>3</v>
      </c>
      <c r="CK85" s="185" t="s">
        <v>3</v>
      </c>
      <c r="CL85" s="185" t="s">
        <v>3</v>
      </c>
      <c r="CM85" s="185" t="s">
        <v>3</v>
      </c>
      <c r="CN85" s="185" t="s">
        <v>3</v>
      </c>
      <c r="CO85" s="185" t="s">
        <v>3</v>
      </c>
      <c r="CP85" s="185" t="s">
        <v>3</v>
      </c>
      <c r="CQ85" s="185" t="s">
        <v>3</v>
      </c>
      <c r="CR85" s="185" t="s">
        <v>3</v>
      </c>
      <c r="CS85" s="185" t="s">
        <v>3</v>
      </c>
      <c r="CT85" s="185" t="s">
        <v>3</v>
      </c>
      <c r="CU85" s="185" t="s">
        <v>3</v>
      </c>
      <c r="CV85" s="185" t="s">
        <v>3</v>
      </c>
      <c r="CW85" s="185" t="s">
        <v>3</v>
      </c>
      <c r="CX85" s="186"/>
      <c r="CY85" s="185">
        <v>20162372128</v>
      </c>
    </row>
    <row r="86" spans="1:103" ht="12.75" x14ac:dyDescent="0.2">
      <c r="A86" s="184">
        <v>42877.780426226847</v>
      </c>
      <c r="B86" s="185" t="s">
        <v>2335</v>
      </c>
      <c r="C86" s="185" t="s">
        <v>2237</v>
      </c>
      <c r="D86" s="185">
        <v>3</v>
      </c>
      <c r="E86" s="185" t="s">
        <v>3</v>
      </c>
      <c r="F86" s="185" t="s">
        <v>1092</v>
      </c>
      <c r="G86" s="185" t="s">
        <v>3</v>
      </c>
      <c r="H86" s="185" t="s">
        <v>1092</v>
      </c>
      <c r="I86" s="185" t="s">
        <v>5</v>
      </c>
      <c r="J86" s="185" t="s">
        <v>1</v>
      </c>
      <c r="K86" s="185" t="s">
        <v>1092</v>
      </c>
      <c r="L86" s="185" t="s">
        <v>3</v>
      </c>
      <c r="M86" s="185" t="s">
        <v>2</v>
      </c>
      <c r="N86" s="185" t="s">
        <v>3</v>
      </c>
      <c r="O86" s="185" t="s">
        <v>5</v>
      </c>
      <c r="P86" s="185" t="s">
        <v>5</v>
      </c>
      <c r="Q86" s="185" t="s">
        <v>1</v>
      </c>
      <c r="R86" s="185" t="s">
        <v>1</v>
      </c>
      <c r="S86" s="185" t="s">
        <v>3</v>
      </c>
      <c r="T86" s="185" t="s">
        <v>3</v>
      </c>
      <c r="U86" s="185" t="s">
        <v>5</v>
      </c>
      <c r="V86" s="185" t="s">
        <v>2</v>
      </c>
      <c r="W86" s="185" t="s">
        <v>1092</v>
      </c>
      <c r="X86" s="185" t="s">
        <v>1</v>
      </c>
      <c r="Y86" s="185" t="s">
        <v>3</v>
      </c>
      <c r="Z86" s="185" t="s">
        <v>1</v>
      </c>
      <c r="AA86" s="185" t="s">
        <v>1</v>
      </c>
      <c r="AB86" s="185" t="s">
        <v>1093</v>
      </c>
      <c r="AC86" s="185" t="s">
        <v>2</v>
      </c>
      <c r="AD86" s="185" t="s">
        <v>5</v>
      </c>
      <c r="AE86" s="185" t="s">
        <v>5</v>
      </c>
      <c r="AF86" s="185" t="s">
        <v>1092</v>
      </c>
      <c r="AG86" s="185" t="s">
        <v>1093</v>
      </c>
      <c r="AH86" s="185" t="s">
        <v>1092</v>
      </c>
      <c r="AI86" s="185" t="s">
        <v>2</v>
      </c>
      <c r="AJ86" s="185" t="s">
        <v>1</v>
      </c>
      <c r="AK86" s="185" t="s">
        <v>2</v>
      </c>
      <c r="AL86" s="185" t="s">
        <v>2</v>
      </c>
      <c r="AM86" s="185" t="s">
        <v>3</v>
      </c>
      <c r="AN86" s="185" t="s">
        <v>3</v>
      </c>
      <c r="AO86" s="185" t="s">
        <v>3</v>
      </c>
      <c r="AP86" s="185" t="s">
        <v>2</v>
      </c>
      <c r="AQ86" s="185" t="s">
        <v>2</v>
      </c>
      <c r="AR86" s="185" t="s">
        <v>1093</v>
      </c>
      <c r="AS86" s="185" t="s">
        <v>1</v>
      </c>
      <c r="AT86" s="185" t="s">
        <v>2</v>
      </c>
      <c r="AU86" s="185" t="s">
        <v>3</v>
      </c>
      <c r="AV86" s="185" t="s">
        <v>1092</v>
      </c>
      <c r="AW86" s="185" t="s">
        <v>5</v>
      </c>
      <c r="AX86" s="185" t="s">
        <v>1092</v>
      </c>
      <c r="AY86" s="185" t="s">
        <v>1</v>
      </c>
      <c r="AZ86" s="185" t="s">
        <v>1093</v>
      </c>
      <c r="BA86" s="185" t="s">
        <v>1</v>
      </c>
      <c r="BB86" s="185" t="s">
        <v>3</v>
      </c>
      <c r="BC86" s="185" t="s">
        <v>1</v>
      </c>
      <c r="BD86" s="185" t="s">
        <v>1093</v>
      </c>
      <c r="BE86" s="185" t="s">
        <v>3</v>
      </c>
      <c r="BF86" s="185" t="s">
        <v>1093</v>
      </c>
      <c r="BG86" s="185" t="s">
        <v>1093</v>
      </c>
      <c r="BH86" s="185" t="s">
        <v>2</v>
      </c>
      <c r="BI86" s="185" t="s">
        <v>3</v>
      </c>
      <c r="BJ86" s="185" t="s">
        <v>1</v>
      </c>
      <c r="BK86" s="185" t="s">
        <v>1</v>
      </c>
      <c r="BL86" s="185" t="s">
        <v>1093</v>
      </c>
      <c r="BM86" s="185" t="s">
        <v>3</v>
      </c>
      <c r="BN86" s="185" t="s">
        <v>1093</v>
      </c>
      <c r="BO86" s="185" t="s">
        <v>1093</v>
      </c>
      <c r="BP86" s="185" t="s">
        <v>1093</v>
      </c>
      <c r="BQ86" s="185" t="s">
        <v>1092</v>
      </c>
      <c r="BR86" s="185" t="s">
        <v>1</v>
      </c>
      <c r="BS86" s="185" t="s">
        <v>2</v>
      </c>
      <c r="BT86" s="185" t="s">
        <v>3</v>
      </c>
      <c r="BU86" s="185" t="s">
        <v>1</v>
      </c>
      <c r="BV86" s="185" t="s">
        <v>1092</v>
      </c>
      <c r="BW86" s="185" t="s">
        <v>1</v>
      </c>
      <c r="BX86" s="185" t="s">
        <v>1092</v>
      </c>
      <c r="BY86" s="185" t="s">
        <v>3</v>
      </c>
      <c r="BZ86" s="185" t="s">
        <v>1</v>
      </c>
      <c r="CA86" s="185" t="s">
        <v>1</v>
      </c>
      <c r="CB86" s="185" t="s">
        <v>1092</v>
      </c>
      <c r="CC86" s="185" t="s">
        <v>2</v>
      </c>
      <c r="CD86" s="185" t="s">
        <v>3</v>
      </c>
      <c r="CE86" s="185" t="s">
        <v>1092</v>
      </c>
      <c r="CF86" s="185" t="s">
        <v>2</v>
      </c>
      <c r="CG86" s="185" t="s">
        <v>1</v>
      </c>
      <c r="CH86" s="185" t="s">
        <v>1093</v>
      </c>
      <c r="CI86" s="185" t="s">
        <v>1093</v>
      </c>
      <c r="CJ86" s="185" t="s">
        <v>1</v>
      </c>
      <c r="CK86" s="185" t="s">
        <v>2</v>
      </c>
      <c r="CL86" s="185" t="s">
        <v>1</v>
      </c>
      <c r="CM86" s="185" t="s">
        <v>1093</v>
      </c>
      <c r="CN86" s="185" t="s">
        <v>1093</v>
      </c>
      <c r="CO86" s="185" t="s">
        <v>1092</v>
      </c>
      <c r="CP86" s="185" t="s">
        <v>1</v>
      </c>
      <c r="CQ86" s="185" t="s">
        <v>3</v>
      </c>
      <c r="CR86" s="185" t="s">
        <v>1</v>
      </c>
      <c r="CS86" s="185" t="s">
        <v>1092</v>
      </c>
      <c r="CT86" s="185" t="s">
        <v>1</v>
      </c>
      <c r="CU86" s="185" t="s">
        <v>2</v>
      </c>
      <c r="CV86" s="185" t="s">
        <v>1</v>
      </c>
      <c r="CW86" s="185" t="s">
        <v>1092</v>
      </c>
      <c r="CX86" s="186"/>
      <c r="CY86" s="185">
        <v>20161772018</v>
      </c>
    </row>
    <row r="87" spans="1:103" ht="12.75" x14ac:dyDescent="0.2">
      <c r="A87" s="184">
        <v>42877.782429027779</v>
      </c>
      <c r="B87" s="185" t="s">
        <v>2336</v>
      </c>
      <c r="C87" s="185" t="s">
        <v>2271</v>
      </c>
      <c r="D87" s="185">
        <v>3</v>
      </c>
      <c r="E87" s="185" t="s">
        <v>1</v>
      </c>
      <c r="F87" s="185" t="s">
        <v>3</v>
      </c>
      <c r="G87" s="185" t="s">
        <v>3</v>
      </c>
      <c r="H87" s="185" t="s">
        <v>1092</v>
      </c>
      <c r="I87" s="185" t="s">
        <v>3</v>
      </c>
      <c r="J87" s="185" t="s">
        <v>2</v>
      </c>
      <c r="K87" s="185" t="s">
        <v>2</v>
      </c>
      <c r="L87" s="185" t="s">
        <v>3</v>
      </c>
      <c r="M87" s="185" t="s">
        <v>2</v>
      </c>
      <c r="N87" s="185" t="s">
        <v>2</v>
      </c>
      <c r="O87" s="185" t="s">
        <v>1</v>
      </c>
      <c r="P87" s="185" t="s">
        <v>1</v>
      </c>
      <c r="Q87" s="185" t="s">
        <v>1</v>
      </c>
      <c r="R87" s="185" t="s">
        <v>1</v>
      </c>
      <c r="S87" s="185" t="s">
        <v>3</v>
      </c>
      <c r="T87" s="185" t="s">
        <v>2</v>
      </c>
      <c r="U87" s="185" t="s">
        <v>1</v>
      </c>
      <c r="V87" s="185" t="s">
        <v>2</v>
      </c>
      <c r="W87" s="185" t="s">
        <v>2</v>
      </c>
      <c r="X87" s="185" t="s">
        <v>3</v>
      </c>
      <c r="Y87" s="185" t="s">
        <v>2</v>
      </c>
      <c r="Z87" s="185" t="s">
        <v>2</v>
      </c>
      <c r="AA87" s="185" t="s">
        <v>2</v>
      </c>
      <c r="AB87" s="185" t="s">
        <v>2</v>
      </c>
      <c r="AC87" s="185" t="s">
        <v>2</v>
      </c>
      <c r="AD87" s="185" t="s">
        <v>3</v>
      </c>
      <c r="AE87" s="185" t="s">
        <v>2</v>
      </c>
      <c r="AF87" s="185" t="s">
        <v>3</v>
      </c>
      <c r="AG87" s="185" t="s">
        <v>2</v>
      </c>
      <c r="AH87" s="185" t="s">
        <v>3</v>
      </c>
      <c r="AI87" s="185" t="s">
        <v>2</v>
      </c>
      <c r="AJ87" s="185" t="s">
        <v>3</v>
      </c>
      <c r="AK87" s="185" t="s">
        <v>2</v>
      </c>
      <c r="AL87" s="185" t="s">
        <v>2</v>
      </c>
      <c r="AM87" s="185" t="s">
        <v>2</v>
      </c>
      <c r="AN87" s="185" t="s">
        <v>2</v>
      </c>
      <c r="AO87" s="185" t="s">
        <v>1</v>
      </c>
      <c r="AP87" s="185" t="s">
        <v>1</v>
      </c>
      <c r="AQ87" s="185" t="s">
        <v>1092</v>
      </c>
      <c r="AR87" s="185" t="s">
        <v>3</v>
      </c>
      <c r="AS87" s="185" t="s">
        <v>1092</v>
      </c>
      <c r="AT87" s="185" t="s">
        <v>1092</v>
      </c>
      <c r="AU87" s="185" t="s">
        <v>3</v>
      </c>
      <c r="AV87" s="185" t="s">
        <v>1</v>
      </c>
      <c r="AW87" s="185" t="s">
        <v>2</v>
      </c>
      <c r="AX87" s="185" t="s">
        <v>1</v>
      </c>
      <c r="AY87" s="185" t="s">
        <v>2</v>
      </c>
      <c r="AZ87" s="185" t="s">
        <v>2</v>
      </c>
      <c r="BA87" s="185" t="s">
        <v>2</v>
      </c>
      <c r="BB87" s="185" t="s">
        <v>2</v>
      </c>
      <c r="BC87" s="185" t="s">
        <v>2</v>
      </c>
      <c r="BD87" s="185" t="s">
        <v>3</v>
      </c>
      <c r="BE87" s="185" t="s">
        <v>2</v>
      </c>
      <c r="BF87" s="185" t="s">
        <v>3</v>
      </c>
      <c r="BG87" s="185" t="s">
        <v>2</v>
      </c>
      <c r="BH87" s="185" t="s">
        <v>2</v>
      </c>
      <c r="BI87" s="185" t="s">
        <v>3</v>
      </c>
      <c r="BJ87" s="185" t="s">
        <v>2</v>
      </c>
      <c r="BK87" s="185" t="s">
        <v>2</v>
      </c>
      <c r="BL87" s="185" t="s">
        <v>2</v>
      </c>
      <c r="BM87" s="185" t="s">
        <v>2</v>
      </c>
      <c r="BN87" s="185" t="s">
        <v>2</v>
      </c>
      <c r="BO87" s="185" t="s">
        <v>3</v>
      </c>
      <c r="BP87" s="185" t="s">
        <v>2</v>
      </c>
      <c r="BQ87" s="185" t="s">
        <v>3</v>
      </c>
      <c r="BR87" s="185" t="s">
        <v>3</v>
      </c>
      <c r="BS87" s="185" t="s">
        <v>2</v>
      </c>
      <c r="BT87" s="185" t="s">
        <v>2</v>
      </c>
      <c r="BU87" s="185" t="s">
        <v>2</v>
      </c>
      <c r="BV87" s="185" t="s">
        <v>3</v>
      </c>
      <c r="BW87" s="185" t="s">
        <v>2</v>
      </c>
      <c r="BX87" s="185" t="s">
        <v>3</v>
      </c>
      <c r="BY87" s="185" t="s">
        <v>2</v>
      </c>
      <c r="BZ87" s="185" t="s">
        <v>3</v>
      </c>
      <c r="CA87" s="185" t="s">
        <v>2</v>
      </c>
      <c r="CB87" s="185" t="s">
        <v>2</v>
      </c>
      <c r="CC87" s="185" t="s">
        <v>3</v>
      </c>
      <c r="CD87" s="185" t="s">
        <v>2</v>
      </c>
      <c r="CE87" s="185" t="s">
        <v>2</v>
      </c>
      <c r="CF87" s="185" t="s">
        <v>2</v>
      </c>
      <c r="CG87" s="185" t="s">
        <v>2</v>
      </c>
      <c r="CH87" s="185" t="s">
        <v>3</v>
      </c>
      <c r="CI87" s="185" t="s">
        <v>2</v>
      </c>
      <c r="CJ87" s="185" t="s">
        <v>2</v>
      </c>
      <c r="CK87" s="185" t="s">
        <v>3</v>
      </c>
      <c r="CL87" s="185" t="s">
        <v>2</v>
      </c>
      <c r="CM87" s="185" t="s">
        <v>2</v>
      </c>
      <c r="CN87" s="185" t="s">
        <v>2</v>
      </c>
      <c r="CO87" s="185" t="s">
        <v>2</v>
      </c>
      <c r="CP87" s="185" t="s">
        <v>3</v>
      </c>
      <c r="CQ87" s="185" t="s">
        <v>2</v>
      </c>
      <c r="CR87" s="185" t="s">
        <v>2</v>
      </c>
      <c r="CS87" s="185" t="s">
        <v>2</v>
      </c>
      <c r="CT87" s="185" t="s">
        <v>2</v>
      </c>
      <c r="CU87" s="185" t="s">
        <v>2</v>
      </c>
      <c r="CV87" s="185" t="s">
        <v>3</v>
      </c>
      <c r="CW87" s="185" t="s">
        <v>2</v>
      </c>
      <c r="CX87" s="186"/>
      <c r="CY87" s="185">
        <v>20161372066</v>
      </c>
    </row>
    <row r="88" spans="1:103" ht="12.75" x14ac:dyDescent="0.2">
      <c r="A88" s="184">
        <v>42877.78571408565</v>
      </c>
      <c r="B88" s="185" t="s">
        <v>2337</v>
      </c>
      <c r="C88" s="185" t="s">
        <v>2271</v>
      </c>
      <c r="D88" s="185">
        <v>3</v>
      </c>
      <c r="E88" s="185" t="s">
        <v>2</v>
      </c>
      <c r="F88" s="185" t="s">
        <v>1092</v>
      </c>
      <c r="G88" s="185" t="s">
        <v>1092</v>
      </c>
      <c r="H88" s="185" t="s">
        <v>1092</v>
      </c>
      <c r="I88" s="185" t="s">
        <v>2</v>
      </c>
      <c r="J88" s="185" t="s">
        <v>2</v>
      </c>
      <c r="K88" s="185" t="s">
        <v>3</v>
      </c>
      <c r="L88" s="185" t="s">
        <v>1092</v>
      </c>
      <c r="M88" s="185" t="s">
        <v>3</v>
      </c>
      <c r="N88" s="185" t="s">
        <v>1092</v>
      </c>
      <c r="O88" s="185" t="s">
        <v>2</v>
      </c>
      <c r="P88" s="185" t="s">
        <v>1093</v>
      </c>
      <c r="Q88" s="185" t="s">
        <v>1</v>
      </c>
      <c r="R88" s="185" t="s">
        <v>1</v>
      </c>
      <c r="S88" s="185" t="s">
        <v>2</v>
      </c>
      <c r="T88" s="185" t="s">
        <v>3</v>
      </c>
      <c r="U88" s="185" t="s">
        <v>3</v>
      </c>
      <c r="V88" s="185" t="s">
        <v>2</v>
      </c>
      <c r="W88" s="185" t="s">
        <v>1092</v>
      </c>
      <c r="X88" s="185" t="s">
        <v>1092</v>
      </c>
      <c r="Y88" s="185" t="s">
        <v>1092</v>
      </c>
      <c r="Z88" s="185" t="s">
        <v>1092</v>
      </c>
      <c r="AA88" s="185" t="s">
        <v>1092</v>
      </c>
      <c r="AB88" s="185" t="s">
        <v>2</v>
      </c>
      <c r="AC88" s="185" t="s">
        <v>1093</v>
      </c>
      <c r="AD88" s="185" t="s">
        <v>1</v>
      </c>
      <c r="AE88" s="185" t="s">
        <v>1</v>
      </c>
      <c r="AF88" s="185" t="s">
        <v>3</v>
      </c>
      <c r="AG88" s="185" t="s">
        <v>1</v>
      </c>
      <c r="AH88" s="185" t="s">
        <v>3</v>
      </c>
      <c r="AI88" s="185" t="s">
        <v>2</v>
      </c>
      <c r="AJ88" s="185" t="s">
        <v>3</v>
      </c>
      <c r="AK88" s="185" t="s">
        <v>3</v>
      </c>
      <c r="AL88" s="185" t="s">
        <v>3</v>
      </c>
      <c r="AM88" s="185" t="s">
        <v>2</v>
      </c>
      <c r="AN88" s="185" t="s">
        <v>3</v>
      </c>
      <c r="AO88" s="185" t="s">
        <v>3</v>
      </c>
      <c r="AP88" s="185" t="s">
        <v>3</v>
      </c>
      <c r="AQ88" s="185" t="s">
        <v>1092</v>
      </c>
      <c r="AR88" s="185" t="s">
        <v>1092</v>
      </c>
      <c r="AS88" s="185" t="s">
        <v>1092</v>
      </c>
      <c r="AT88" s="185" t="s">
        <v>1092</v>
      </c>
      <c r="AU88" s="185" t="s">
        <v>1092</v>
      </c>
      <c r="AV88" s="185" t="s">
        <v>3</v>
      </c>
      <c r="AW88" s="185" t="s">
        <v>3</v>
      </c>
      <c r="AX88" s="185" t="s">
        <v>1092</v>
      </c>
      <c r="AY88" s="185" t="s">
        <v>2</v>
      </c>
      <c r="AZ88" s="185" t="s">
        <v>2</v>
      </c>
      <c r="BA88" s="185" t="s">
        <v>2</v>
      </c>
      <c r="BB88" s="185" t="s">
        <v>1092</v>
      </c>
      <c r="BC88" s="185" t="s">
        <v>1</v>
      </c>
      <c r="BD88" s="185" t="s">
        <v>1</v>
      </c>
      <c r="BE88" s="185" t="s">
        <v>2</v>
      </c>
      <c r="BF88" s="185" t="s">
        <v>3</v>
      </c>
      <c r="BG88" s="185" t="s">
        <v>3</v>
      </c>
      <c r="BH88" s="185" t="s">
        <v>1</v>
      </c>
      <c r="BI88" s="185" t="s">
        <v>2</v>
      </c>
      <c r="BJ88" s="185" t="s">
        <v>1092</v>
      </c>
      <c r="BK88" s="185" t="s">
        <v>3</v>
      </c>
      <c r="BL88" s="185" t="s">
        <v>1</v>
      </c>
      <c r="BM88" s="185" t="s">
        <v>3</v>
      </c>
      <c r="BN88" s="185" t="s">
        <v>1092</v>
      </c>
      <c r="BO88" s="185" t="s">
        <v>2</v>
      </c>
      <c r="BP88" s="185" t="s">
        <v>1092</v>
      </c>
      <c r="BQ88" s="185" t="s">
        <v>1</v>
      </c>
      <c r="BR88" s="185" t="s">
        <v>2</v>
      </c>
      <c r="BS88" s="185" t="s">
        <v>2</v>
      </c>
      <c r="BT88" s="185" t="s">
        <v>3</v>
      </c>
      <c r="BU88" s="185" t="s">
        <v>3</v>
      </c>
      <c r="BV88" s="185" t="s">
        <v>3</v>
      </c>
      <c r="BW88" s="185" t="s">
        <v>1092</v>
      </c>
      <c r="BX88" s="185" t="s">
        <v>2</v>
      </c>
      <c r="BY88" s="185" t="s">
        <v>3</v>
      </c>
      <c r="BZ88" s="185" t="s">
        <v>1093</v>
      </c>
      <c r="CA88" s="185" t="s">
        <v>3</v>
      </c>
      <c r="CB88" s="185" t="s">
        <v>3</v>
      </c>
      <c r="CC88" s="185" t="s">
        <v>3</v>
      </c>
      <c r="CD88" s="185" t="s">
        <v>3</v>
      </c>
      <c r="CE88" s="185" t="s">
        <v>1092</v>
      </c>
      <c r="CF88" s="185" t="s">
        <v>1</v>
      </c>
      <c r="CG88" s="185" t="s">
        <v>3</v>
      </c>
      <c r="CH88" s="185" t="s">
        <v>1092</v>
      </c>
      <c r="CI88" s="185" t="s">
        <v>1092</v>
      </c>
      <c r="CJ88" s="185" t="s">
        <v>3</v>
      </c>
      <c r="CK88" s="185" t="s">
        <v>3</v>
      </c>
      <c r="CL88" s="185" t="s">
        <v>3</v>
      </c>
      <c r="CM88" s="185" t="s">
        <v>3</v>
      </c>
      <c r="CN88" s="185" t="s">
        <v>3</v>
      </c>
      <c r="CO88" s="185" t="s">
        <v>3</v>
      </c>
      <c r="CP88" s="185" t="s">
        <v>1092</v>
      </c>
      <c r="CQ88" s="185" t="s">
        <v>3</v>
      </c>
      <c r="CR88" s="185" t="s">
        <v>3</v>
      </c>
      <c r="CS88" s="185" t="s">
        <v>3</v>
      </c>
      <c r="CT88" s="185" t="s">
        <v>1092</v>
      </c>
      <c r="CU88" s="185" t="s">
        <v>1092</v>
      </c>
      <c r="CV88" s="185" t="s">
        <v>3</v>
      </c>
      <c r="CW88" s="185" t="s">
        <v>3</v>
      </c>
      <c r="CX88" s="186"/>
      <c r="CY88" s="185">
        <v>20161372061</v>
      </c>
    </row>
    <row r="89" spans="1:103" ht="12.75" x14ac:dyDescent="0.2">
      <c r="A89" s="184">
        <v>42877.792869375</v>
      </c>
      <c r="B89" s="185" t="s">
        <v>2338</v>
      </c>
      <c r="C89" s="185" t="s">
        <v>2271</v>
      </c>
      <c r="D89" s="185">
        <v>3</v>
      </c>
      <c r="E89" s="185" t="s">
        <v>3</v>
      </c>
      <c r="F89" s="185" t="s">
        <v>3</v>
      </c>
      <c r="G89" s="185" t="s">
        <v>3</v>
      </c>
      <c r="H89" s="185" t="s">
        <v>5</v>
      </c>
      <c r="I89" s="185" t="s">
        <v>1093</v>
      </c>
      <c r="J89" s="185" t="s">
        <v>2</v>
      </c>
      <c r="K89" s="185" t="s">
        <v>3</v>
      </c>
      <c r="L89" s="185" t="s">
        <v>3</v>
      </c>
      <c r="M89" s="185" t="s">
        <v>2</v>
      </c>
      <c r="N89" s="185" t="s">
        <v>3</v>
      </c>
      <c r="O89" s="185" t="s">
        <v>5</v>
      </c>
      <c r="P89" s="185" t="s">
        <v>2</v>
      </c>
      <c r="Q89" s="185" t="s">
        <v>2</v>
      </c>
      <c r="R89" s="185" t="s">
        <v>3</v>
      </c>
      <c r="S89" s="185" t="s">
        <v>2</v>
      </c>
      <c r="T89" s="185" t="s">
        <v>2</v>
      </c>
      <c r="U89" s="185" t="s">
        <v>3</v>
      </c>
      <c r="V89" s="185" t="s">
        <v>3</v>
      </c>
      <c r="W89" s="185" t="s">
        <v>3</v>
      </c>
      <c r="X89" s="185" t="s">
        <v>3</v>
      </c>
      <c r="Y89" s="185" t="s">
        <v>3</v>
      </c>
      <c r="Z89" s="185" t="s">
        <v>3</v>
      </c>
      <c r="AA89" s="185" t="s">
        <v>3</v>
      </c>
      <c r="AB89" s="185" t="s">
        <v>3</v>
      </c>
      <c r="AC89" s="185" t="s">
        <v>3</v>
      </c>
      <c r="AD89" s="185" t="s">
        <v>5</v>
      </c>
      <c r="AE89" s="185" t="s">
        <v>5</v>
      </c>
      <c r="AF89" s="185" t="s">
        <v>3</v>
      </c>
      <c r="AG89" s="185" t="s">
        <v>5</v>
      </c>
      <c r="AH89" s="185" t="s">
        <v>3</v>
      </c>
      <c r="AI89" s="185" t="s">
        <v>5</v>
      </c>
      <c r="AJ89" s="185" t="s">
        <v>3</v>
      </c>
      <c r="AK89" s="185" t="s">
        <v>3</v>
      </c>
      <c r="AL89" s="185" t="s">
        <v>3</v>
      </c>
      <c r="AM89" s="185" t="s">
        <v>3</v>
      </c>
      <c r="AN89" s="185" t="s">
        <v>3</v>
      </c>
      <c r="AO89" s="185" t="s">
        <v>3</v>
      </c>
      <c r="AP89" s="185" t="s">
        <v>5</v>
      </c>
      <c r="AQ89" s="185" t="s">
        <v>2</v>
      </c>
      <c r="AR89" s="185" t="s">
        <v>3</v>
      </c>
      <c r="AS89" s="185" t="s">
        <v>3</v>
      </c>
      <c r="AT89" s="185" t="s">
        <v>3</v>
      </c>
      <c r="AU89" s="185" t="s">
        <v>3</v>
      </c>
      <c r="AV89" s="185" t="s">
        <v>3</v>
      </c>
      <c r="AW89" s="185" t="s">
        <v>3</v>
      </c>
      <c r="AX89" s="185" t="s">
        <v>3</v>
      </c>
      <c r="AY89" s="185" t="s">
        <v>3</v>
      </c>
      <c r="AZ89" s="185" t="s">
        <v>3</v>
      </c>
      <c r="BA89" s="185" t="s">
        <v>5</v>
      </c>
      <c r="BB89" s="185" t="s">
        <v>2</v>
      </c>
      <c r="BC89" s="185" t="s">
        <v>5</v>
      </c>
      <c r="BD89" s="185" t="s">
        <v>5</v>
      </c>
      <c r="BE89" s="185" t="s">
        <v>3</v>
      </c>
      <c r="BF89" s="185" t="s">
        <v>3</v>
      </c>
      <c r="BG89" s="185" t="s">
        <v>3</v>
      </c>
      <c r="BH89" s="185" t="s">
        <v>3</v>
      </c>
      <c r="BI89" s="185" t="s">
        <v>2</v>
      </c>
      <c r="BJ89" s="185" t="s">
        <v>3</v>
      </c>
      <c r="BK89" s="185" t="s">
        <v>3</v>
      </c>
      <c r="BL89" s="185" t="s">
        <v>2</v>
      </c>
      <c r="BM89" s="185" t="s">
        <v>3</v>
      </c>
      <c r="BN89" s="185" t="s">
        <v>3</v>
      </c>
      <c r="BO89" s="185" t="s">
        <v>3</v>
      </c>
      <c r="BP89" s="185" t="s">
        <v>3</v>
      </c>
      <c r="BQ89" s="185" t="s">
        <v>2</v>
      </c>
      <c r="BR89" s="185" t="s">
        <v>3</v>
      </c>
      <c r="BS89" s="185" t="s">
        <v>2</v>
      </c>
      <c r="BT89" s="185" t="s">
        <v>2</v>
      </c>
      <c r="BU89" s="185" t="s">
        <v>2</v>
      </c>
      <c r="BV89" s="185" t="s">
        <v>2</v>
      </c>
      <c r="BW89" s="185" t="s">
        <v>3</v>
      </c>
      <c r="BX89" s="185" t="s">
        <v>3</v>
      </c>
      <c r="BY89" s="185" t="s">
        <v>2</v>
      </c>
      <c r="BZ89" s="185" t="s">
        <v>5</v>
      </c>
      <c r="CA89" s="185" t="s">
        <v>2</v>
      </c>
      <c r="CB89" s="185" t="s">
        <v>3</v>
      </c>
      <c r="CC89" s="185" t="s">
        <v>2</v>
      </c>
      <c r="CD89" s="185" t="s">
        <v>3</v>
      </c>
      <c r="CE89" s="185" t="s">
        <v>3</v>
      </c>
      <c r="CF89" s="185" t="s">
        <v>1</v>
      </c>
      <c r="CG89" s="185" t="s">
        <v>1</v>
      </c>
      <c r="CH89" s="185" t="s">
        <v>2</v>
      </c>
      <c r="CI89" s="185" t="s">
        <v>2</v>
      </c>
      <c r="CJ89" s="185" t="s">
        <v>2</v>
      </c>
      <c r="CK89" s="185" t="s">
        <v>2</v>
      </c>
      <c r="CL89" s="185" t="s">
        <v>5</v>
      </c>
      <c r="CM89" s="185" t="s">
        <v>5</v>
      </c>
      <c r="CN89" s="185" t="s">
        <v>5</v>
      </c>
      <c r="CO89" s="185" t="s">
        <v>3</v>
      </c>
      <c r="CP89" s="185" t="s">
        <v>3</v>
      </c>
      <c r="CQ89" s="185" t="s">
        <v>3</v>
      </c>
      <c r="CR89" s="185" t="s">
        <v>3</v>
      </c>
      <c r="CS89" s="185" t="s">
        <v>3</v>
      </c>
      <c r="CT89" s="185" t="s">
        <v>3</v>
      </c>
      <c r="CU89" s="185" t="s">
        <v>3</v>
      </c>
      <c r="CV89" s="185" t="s">
        <v>2</v>
      </c>
      <c r="CW89" s="185" t="s">
        <v>3</v>
      </c>
      <c r="CX89" s="186"/>
      <c r="CY89" s="185">
        <v>20161372085</v>
      </c>
    </row>
    <row r="90" spans="1:103" ht="12.75" x14ac:dyDescent="0.2">
      <c r="A90" s="184">
        <v>42877.805965150459</v>
      </c>
      <c r="B90" s="185" t="s">
        <v>2339</v>
      </c>
      <c r="C90" s="185" t="s">
        <v>2271</v>
      </c>
      <c r="D90" s="185">
        <v>2</v>
      </c>
      <c r="E90" s="185" t="s">
        <v>3</v>
      </c>
      <c r="F90" s="185" t="s">
        <v>2</v>
      </c>
      <c r="G90" s="185" t="s">
        <v>3</v>
      </c>
      <c r="H90" s="185" t="s">
        <v>2</v>
      </c>
      <c r="I90" s="185" t="s">
        <v>1</v>
      </c>
      <c r="J90" s="185" t="s">
        <v>1</v>
      </c>
      <c r="K90" s="185" t="s">
        <v>2</v>
      </c>
      <c r="L90" s="185" t="s">
        <v>2</v>
      </c>
      <c r="M90" s="185" t="s">
        <v>2</v>
      </c>
      <c r="N90" s="185" t="s">
        <v>2</v>
      </c>
      <c r="O90" s="185" t="s">
        <v>2</v>
      </c>
      <c r="P90" s="185" t="s">
        <v>2</v>
      </c>
      <c r="Q90" s="185" t="s">
        <v>1093</v>
      </c>
      <c r="R90" s="185" t="s">
        <v>2</v>
      </c>
      <c r="S90" s="185" t="s">
        <v>2</v>
      </c>
      <c r="T90" s="185" t="s">
        <v>2</v>
      </c>
      <c r="U90" s="185" t="s">
        <v>2</v>
      </c>
      <c r="V90" s="185" t="s">
        <v>2</v>
      </c>
      <c r="W90" s="185" t="s">
        <v>2</v>
      </c>
      <c r="X90" s="185" t="s">
        <v>2</v>
      </c>
      <c r="Y90" s="185" t="s">
        <v>3</v>
      </c>
      <c r="Z90" s="185" t="s">
        <v>3</v>
      </c>
      <c r="AA90" s="185" t="s">
        <v>2</v>
      </c>
      <c r="AB90" s="185" t="s">
        <v>2</v>
      </c>
      <c r="AC90" s="185" t="s">
        <v>2</v>
      </c>
      <c r="AD90" s="185" t="s">
        <v>2</v>
      </c>
      <c r="AE90" s="185" t="s">
        <v>2</v>
      </c>
      <c r="AF90" s="185" t="s">
        <v>2</v>
      </c>
      <c r="AG90" s="185" t="s">
        <v>2</v>
      </c>
      <c r="AH90" s="185" t="s">
        <v>2</v>
      </c>
      <c r="AI90" s="185" t="s">
        <v>2</v>
      </c>
      <c r="AJ90" s="185" t="s">
        <v>2</v>
      </c>
      <c r="AK90" s="185" t="s">
        <v>2</v>
      </c>
      <c r="AL90" s="185" t="s">
        <v>2</v>
      </c>
      <c r="AM90" s="185" t="s">
        <v>2</v>
      </c>
      <c r="AN90" s="185" t="s">
        <v>2</v>
      </c>
      <c r="AO90" s="185" t="s">
        <v>2</v>
      </c>
      <c r="AP90" s="185" t="s">
        <v>2</v>
      </c>
      <c r="AQ90" s="185" t="s">
        <v>2</v>
      </c>
      <c r="AR90" s="185" t="s">
        <v>3</v>
      </c>
      <c r="AS90" s="185" t="s">
        <v>3</v>
      </c>
      <c r="AT90" s="185" t="s">
        <v>3</v>
      </c>
      <c r="AU90" s="185" t="s">
        <v>3</v>
      </c>
      <c r="AV90" s="185" t="s">
        <v>2</v>
      </c>
      <c r="AW90" s="185" t="s">
        <v>3</v>
      </c>
      <c r="AX90" s="185" t="s">
        <v>3</v>
      </c>
      <c r="AY90" s="185" t="s">
        <v>2</v>
      </c>
      <c r="AZ90" s="185" t="s">
        <v>2</v>
      </c>
      <c r="BA90" s="185" t="s">
        <v>2</v>
      </c>
      <c r="BB90" s="185" t="s">
        <v>1</v>
      </c>
      <c r="BC90" s="185" t="s">
        <v>2</v>
      </c>
      <c r="BD90" s="185" t="s">
        <v>1</v>
      </c>
      <c r="BE90" s="185" t="s">
        <v>2</v>
      </c>
      <c r="BF90" s="185" t="s">
        <v>2</v>
      </c>
      <c r="BG90" s="185" t="s">
        <v>2</v>
      </c>
      <c r="BH90" s="185" t="s">
        <v>2</v>
      </c>
      <c r="BI90" s="185" t="s">
        <v>2</v>
      </c>
      <c r="BJ90" s="185" t="s">
        <v>2</v>
      </c>
      <c r="BK90" s="185" t="s">
        <v>2</v>
      </c>
      <c r="BL90" s="185" t="s">
        <v>2</v>
      </c>
      <c r="BM90" s="185" t="s">
        <v>2</v>
      </c>
      <c r="BN90" s="185" t="s">
        <v>2</v>
      </c>
      <c r="BO90" s="185" t="s">
        <v>2</v>
      </c>
      <c r="BP90" s="185" t="s">
        <v>2</v>
      </c>
      <c r="BQ90" s="185" t="s">
        <v>2</v>
      </c>
      <c r="BR90" s="185" t="s">
        <v>2</v>
      </c>
      <c r="BS90" s="185" t="s">
        <v>2</v>
      </c>
      <c r="BT90" s="185" t="s">
        <v>2</v>
      </c>
      <c r="BU90" s="185" t="s">
        <v>2</v>
      </c>
      <c r="BV90" s="185" t="s">
        <v>2</v>
      </c>
      <c r="BW90" s="185" t="s">
        <v>2</v>
      </c>
      <c r="BX90" s="185" t="s">
        <v>2</v>
      </c>
      <c r="BY90" s="185" t="s">
        <v>2</v>
      </c>
      <c r="BZ90" s="185" t="s">
        <v>1</v>
      </c>
      <c r="CA90" s="185" t="s">
        <v>2</v>
      </c>
      <c r="CB90" s="185" t="s">
        <v>2</v>
      </c>
      <c r="CC90" s="185" t="s">
        <v>2</v>
      </c>
      <c r="CD90" s="185" t="s">
        <v>2</v>
      </c>
      <c r="CE90" s="185" t="s">
        <v>2</v>
      </c>
      <c r="CF90" s="185" t="s">
        <v>1093</v>
      </c>
      <c r="CG90" s="185" t="s">
        <v>1093</v>
      </c>
      <c r="CH90" s="185" t="s">
        <v>2</v>
      </c>
      <c r="CI90" s="185" t="s">
        <v>2</v>
      </c>
      <c r="CJ90" s="185" t="s">
        <v>2</v>
      </c>
      <c r="CK90" s="185" t="s">
        <v>2</v>
      </c>
      <c r="CL90" s="185" t="s">
        <v>2</v>
      </c>
      <c r="CM90" s="185" t="s">
        <v>2</v>
      </c>
      <c r="CN90" s="185" t="s">
        <v>2</v>
      </c>
      <c r="CO90" s="185" t="s">
        <v>2</v>
      </c>
      <c r="CP90" s="185" t="s">
        <v>2</v>
      </c>
      <c r="CQ90" s="185" t="s">
        <v>2</v>
      </c>
      <c r="CR90" s="185" t="s">
        <v>2</v>
      </c>
      <c r="CS90" s="185" t="s">
        <v>2</v>
      </c>
      <c r="CT90" s="185" t="s">
        <v>2</v>
      </c>
      <c r="CU90" s="185" t="s">
        <v>2</v>
      </c>
      <c r="CV90" s="185" t="s">
        <v>2</v>
      </c>
      <c r="CW90" s="185" t="s">
        <v>2</v>
      </c>
      <c r="CX90" s="186"/>
      <c r="CY90" s="185">
        <v>20102372044</v>
      </c>
    </row>
    <row r="91" spans="1:103" ht="12.75" x14ac:dyDescent="0.2">
      <c r="A91" s="184">
        <v>42877.8518415625</v>
      </c>
      <c r="B91" s="185" t="s">
        <v>2340</v>
      </c>
      <c r="C91" s="185" t="s">
        <v>2271</v>
      </c>
      <c r="D91" s="185">
        <v>1</v>
      </c>
      <c r="E91" s="185" t="s">
        <v>2</v>
      </c>
      <c r="F91" s="185" t="s">
        <v>1092</v>
      </c>
      <c r="G91" s="185" t="s">
        <v>1092</v>
      </c>
      <c r="H91" s="185" t="s">
        <v>3</v>
      </c>
      <c r="I91" s="185" t="s">
        <v>5</v>
      </c>
      <c r="J91" s="185" t="s">
        <v>2</v>
      </c>
      <c r="K91" s="185" t="s">
        <v>3</v>
      </c>
      <c r="L91" s="185" t="s">
        <v>3</v>
      </c>
      <c r="M91" s="185" t="s">
        <v>2</v>
      </c>
      <c r="N91" s="185" t="s">
        <v>3</v>
      </c>
      <c r="O91" s="185" t="s">
        <v>3</v>
      </c>
      <c r="P91" s="185" t="s">
        <v>2</v>
      </c>
      <c r="Q91" s="185" t="s">
        <v>1</v>
      </c>
      <c r="R91" s="185" t="s">
        <v>3</v>
      </c>
      <c r="S91" s="185" t="s">
        <v>2</v>
      </c>
      <c r="T91" s="185" t="s">
        <v>2</v>
      </c>
      <c r="U91" s="185" t="s">
        <v>2</v>
      </c>
      <c r="V91" s="185" t="s">
        <v>3</v>
      </c>
      <c r="W91" s="185" t="s">
        <v>2</v>
      </c>
      <c r="X91" s="185" t="s">
        <v>3</v>
      </c>
      <c r="Y91" s="185" t="s">
        <v>1092</v>
      </c>
      <c r="Z91" s="185" t="s">
        <v>3</v>
      </c>
      <c r="AA91" s="185" t="s">
        <v>3</v>
      </c>
      <c r="AB91" s="185" t="s">
        <v>2</v>
      </c>
      <c r="AC91" s="185" t="s">
        <v>1</v>
      </c>
      <c r="AD91" s="185" t="s">
        <v>2</v>
      </c>
      <c r="AE91" s="185" t="s">
        <v>3</v>
      </c>
      <c r="AF91" s="185" t="s">
        <v>3</v>
      </c>
      <c r="AG91" s="185" t="s">
        <v>1</v>
      </c>
      <c r="AH91" s="185" t="s">
        <v>2</v>
      </c>
      <c r="AI91" s="185" t="s">
        <v>2</v>
      </c>
      <c r="AJ91" s="185" t="s">
        <v>2</v>
      </c>
      <c r="AK91" s="185" t="s">
        <v>3</v>
      </c>
      <c r="AL91" s="185" t="s">
        <v>2</v>
      </c>
      <c r="AM91" s="185" t="s">
        <v>2</v>
      </c>
      <c r="AN91" s="185" t="s">
        <v>2</v>
      </c>
      <c r="AO91" s="185" t="s">
        <v>2</v>
      </c>
      <c r="AP91" s="185" t="s">
        <v>3</v>
      </c>
      <c r="AQ91" s="185" t="s">
        <v>1092</v>
      </c>
      <c r="AR91" s="185" t="s">
        <v>1</v>
      </c>
      <c r="AS91" s="185" t="s">
        <v>3</v>
      </c>
      <c r="AT91" s="185" t="s">
        <v>1092</v>
      </c>
      <c r="AU91" s="185" t="s">
        <v>2</v>
      </c>
      <c r="AV91" s="185" t="s">
        <v>2</v>
      </c>
      <c r="AW91" s="185" t="s">
        <v>2</v>
      </c>
      <c r="AX91" s="185" t="s">
        <v>2</v>
      </c>
      <c r="AY91" s="185" t="s">
        <v>3</v>
      </c>
      <c r="AZ91" s="185" t="s">
        <v>2</v>
      </c>
      <c r="BA91" s="185" t="s">
        <v>2</v>
      </c>
      <c r="BB91" s="185" t="s">
        <v>2</v>
      </c>
      <c r="BC91" s="185" t="s">
        <v>3</v>
      </c>
      <c r="BD91" s="185" t="s">
        <v>2</v>
      </c>
      <c r="BE91" s="185" t="s">
        <v>3</v>
      </c>
      <c r="BF91" s="185" t="s">
        <v>2</v>
      </c>
      <c r="BG91" s="185" t="s">
        <v>2</v>
      </c>
      <c r="BH91" s="185" t="s">
        <v>2</v>
      </c>
      <c r="BI91" s="185" t="s">
        <v>2</v>
      </c>
      <c r="BJ91" s="185" t="s">
        <v>3</v>
      </c>
      <c r="BK91" s="185" t="s">
        <v>3</v>
      </c>
      <c r="BL91" s="185" t="s">
        <v>3</v>
      </c>
      <c r="BM91" s="185" t="s">
        <v>2</v>
      </c>
      <c r="BN91" s="185" t="s">
        <v>3</v>
      </c>
      <c r="BO91" s="185" t="s">
        <v>2</v>
      </c>
      <c r="BP91" s="185" t="s">
        <v>2</v>
      </c>
      <c r="BQ91" s="185" t="s">
        <v>2</v>
      </c>
      <c r="BR91" s="185" t="s">
        <v>3</v>
      </c>
      <c r="BS91" s="185" t="s">
        <v>3</v>
      </c>
      <c r="BT91" s="185" t="s">
        <v>2</v>
      </c>
      <c r="BU91" s="185" t="s">
        <v>2</v>
      </c>
      <c r="BV91" s="185" t="s">
        <v>2</v>
      </c>
      <c r="BW91" s="185" t="s">
        <v>2</v>
      </c>
      <c r="BX91" s="185" t="s">
        <v>2</v>
      </c>
      <c r="BY91" s="185" t="s">
        <v>2</v>
      </c>
      <c r="BZ91" s="185" t="s">
        <v>5</v>
      </c>
      <c r="CA91" s="185" t="s">
        <v>2</v>
      </c>
      <c r="CB91" s="185" t="s">
        <v>2</v>
      </c>
      <c r="CC91" s="185" t="s">
        <v>2</v>
      </c>
      <c r="CD91" s="185" t="s">
        <v>2</v>
      </c>
      <c r="CE91" s="185" t="s">
        <v>3</v>
      </c>
      <c r="CF91" s="185" t="s">
        <v>1093</v>
      </c>
      <c r="CG91" s="185" t="s">
        <v>1093</v>
      </c>
      <c r="CH91" s="185" t="s">
        <v>2</v>
      </c>
      <c r="CI91" s="185" t="s">
        <v>2</v>
      </c>
      <c r="CJ91" s="185" t="s">
        <v>2</v>
      </c>
      <c r="CK91" s="185" t="s">
        <v>2</v>
      </c>
      <c r="CL91" s="185" t="s">
        <v>5</v>
      </c>
      <c r="CM91" s="185" t="s">
        <v>5</v>
      </c>
      <c r="CN91" s="185" t="s">
        <v>5</v>
      </c>
      <c r="CO91" s="185" t="s">
        <v>5</v>
      </c>
      <c r="CP91" s="185" t="s">
        <v>2</v>
      </c>
      <c r="CQ91" s="185" t="s">
        <v>2</v>
      </c>
      <c r="CR91" s="185" t="s">
        <v>2</v>
      </c>
      <c r="CS91" s="185" t="s">
        <v>2</v>
      </c>
      <c r="CT91" s="185" t="s">
        <v>2</v>
      </c>
      <c r="CU91" s="185" t="s">
        <v>2</v>
      </c>
      <c r="CV91" s="185" t="s">
        <v>2</v>
      </c>
      <c r="CW91" s="185" t="s">
        <v>2</v>
      </c>
      <c r="CX91" s="186"/>
      <c r="CY91" s="185">
        <v>20171372010</v>
      </c>
    </row>
    <row r="92" spans="1:103" ht="12.75" x14ac:dyDescent="0.2">
      <c r="A92" s="184">
        <v>42877.852471087965</v>
      </c>
      <c r="B92" s="185" t="s">
        <v>2341</v>
      </c>
      <c r="C92" s="185" t="s">
        <v>2271</v>
      </c>
      <c r="D92" s="185">
        <v>1</v>
      </c>
      <c r="E92" s="185" t="s">
        <v>1</v>
      </c>
      <c r="F92" s="185" t="s">
        <v>1092</v>
      </c>
      <c r="G92" s="185" t="s">
        <v>1092</v>
      </c>
      <c r="H92" s="185" t="s">
        <v>2</v>
      </c>
      <c r="I92" s="185" t="s">
        <v>3</v>
      </c>
      <c r="J92" s="185" t="s">
        <v>1092</v>
      </c>
      <c r="K92" s="185" t="s">
        <v>1092</v>
      </c>
      <c r="L92" s="185" t="s">
        <v>1092</v>
      </c>
      <c r="M92" s="185" t="s">
        <v>1092</v>
      </c>
      <c r="N92" s="185" t="s">
        <v>3</v>
      </c>
      <c r="O92" s="185" t="s">
        <v>1092</v>
      </c>
      <c r="P92" s="185" t="s">
        <v>1092</v>
      </c>
      <c r="Q92" s="185" t="s">
        <v>2</v>
      </c>
      <c r="R92" s="185" t="s">
        <v>3</v>
      </c>
      <c r="S92" s="185" t="s">
        <v>1092</v>
      </c>
      <c r="T92" s="185" t="s">
        <v>2</v>
      </c>
      <c r="U92" s="185" t="s">
        <v>1</v>
      </c>
      <c r="V92" s="185" t="s">
        <v>3</v>
      </c>
      <c r="W92" s="185" t="s">
        <v>3</v>
      </c>
      <c r="X92" s="185" t="s">
        <v>1092</v>
      </c>
      <c r="Y92" s="185" t="s">
        <v>3</v>
      </c>
      <c r="Z92" s="185" t="s">
        <v>3</v>
      </c>
      <c r="AA92" s="185" t="s">
        <v>1092</v>
      </c>
      <c r="AB92" s="185" t="s">
        <v>2</v>
      </c>
      <c r="AC92" s="185" t="s">
        <v>2</v>
      </c>
      <c r="AD92" s="185" t="s">
        <v>2</v>
      </c>
      <c r="AE92" s="185" t="s">
        <v>2</v>
      </c>
      <c r="AF92" s="185" t="s">
        <v>1092</v>
      </c>
      <c r="AG92" s="185" t="s">
        <v>1092</v>
      </c>
      <c r="AH92" s="185" t="s">
        <v>1092</v>
      </c>
      <c r="AI92" s="185" t="s">
        <v>2</v>
      </c>
      <c r="AJ92" s="185" t="s">
        <v>1</v>
      </c>
      <c r="AK92" s="185" t="s">
        <v>3</v>
      </c>
      <c r="AL92" s="185" t="s">
        <v>2</v>
      </c>
      <c r="AM92" s="185" t="s">
        <v>3</v>
      </c>
      <c r="AN92" s="185" t="s">
        <v>1092</v>
      </c>
      <c r="AO92" s="185" t="s">
        <v>3</v>
      </c>
      <c r="AP92" s="185" t="s">
        <v>1092</v>
      </c>
      <c r="AQ92" s="185" t="s">
        <v>1092</v>
      </c>
      <c r="AR92" s="185" t="s">
        <v>1092</v>
      </c>
      <c r="AS92" s="185" t="s">
        <v>1092</v>
      </c>
      <c r="AT92" s="185" t="s">
        <v>1092</v>
      </c>
      <c r="AU92" s="185" t="s">
        <v>1092</v>
      </c>
      <c r="AV92" s="185" t="s">
        <v>3</v>
      </c>
      <c r="AW92" s="185" t="s">
        <v>3</v>
      </c>
      <c r="AX92" s="185" t="s">
        <v>3</v>
      </c>
      <c r="AY92" s="185" t="s">
        <v>3</v>
      </c>
      <c r="AZ92" s="185" t="s">
        <v>3</v>
      </c>
      <c r="BA92" s="185" t="s">
        <v>3</v>
      </c>
      <c r="BB92" s="185" t="s">
        <v>3</v>
      </c>
      <c r="BC92" s="185" t="s">
        <v>1</v>
      </c>
      <c r="BD92" s="185" t="s">
        <v>1</v>
      </c>
      <c r="BE92" s="185" t="s">
        <v>1</v>
      </c>
      <c r="BF92" s="185" t="s">
        <v>1092</v>
      </c>
      <c r="BG92" s="185" t="s">
        <v>1092</v>
      </c>
      <c r="BH92" s="185" t="s">
        <v>1092</v>
      </c>
      <c r="BI92" s="185" t="s">
        <v>3</v>
      </c>
      <c r="BJ92" s="185" t="s">
        <v>1092</v>
      </c>
      <c r="BK92" s="185" t="s">
        <v>1092</v>
      </c>
      <c r="BL92" s="185" t="s">
        <v>1092</v>
      </c>
      <c r="BM92" s="185" t="s">
        <v>1092</v>
      </c>
      <c r="BN92" s="185" t="s">
        <v>1092</v>
      </c>
      <c r="BO92" s="185" t="s">
        <v>1092</v>
      </c>
      <c r="BP92" s="185" t="s">
        <v>1092</v>
      </c>
      <c r="BQ92" s="185" t="s">
        <v>2</v>
      </c>
      <c r="BR92" s="185" t="s">
        <v>1092</v>
      </c>
      <c r="BS92" s="185" t="s">
        <v>1092</v>
      </c>
      <c r="BT92" s="185" t="s">
        <v>3</v>
      </c>
      <c r="BU92" s="185" t="s">
        <v>1092</v>
      </c>
      <c r="BV92" s="185" t="s">
        <v>1092</v>
      </c>
      <c r="BW92" s="185" t="s">
        <v>1092</v>
      </c>
      <c r="BX92" s="185" t="s">
        <v>3</v>
      </c>
      <c r="BY92" s="185" t="s">
        <v>5</v>
      </c>
      <c r="BZ92" s="185" t="s">
        <v>1093</v>
      </c>
      <c r="CA92" s="185" t="s">
        <v>2</v>
      </c>
      <c r="CB92" s="185" t="s">
        <v>1</v>
      </c>
      <c r="CC92" s="185" t="s">
        <v>1</v>
      </c>
      <c r="CD92" s="185" t="s">
        <v>1093</v>
      </c>
      <c r="CE92" s="185" t="s">
        <v>1092</v>
      </c>
      <c r="CF92" s="185" t="s">
        <v>1</v>
      </c>
      <c r="CG92" s="185" t="s">
        <v>2</v>
      </c>
      <c r="CH92" s="185" t="s">
        <v>1092</v>
      </c>
      <c r="CI92" s="185" t="s">
        <v>1092</v>
      </c>
      <c r="CJ92" s="185" t="s">
        <v>3</v>
      </c>
      <c r="CK92" s="185" t="s">
        <v>1</v>
      </c>
      <c r="CL92" s="185" t="s">
        <v>1092</v>
      </c>
      <c r="CM92" s="185" t="s">
        <v>1092</v>
      </c>
      <c r="CN92" s="185" t="s">
        <v>3</v>
      </c>
      <c r="CO92" s="185" t="s">
        <v>2</v>
      </c>
      <c r="CP92" s="185" t="s">
        <v>3</v>
      </c>
      <c r="CQ92" s="185" t="s">
        <v>3</v>
      </c>
      <c r="CR92" s="185" t="s">
        <v>3</v>
      </c>
      <c r="CS92" s="185" t="s">
        <v>1092</v>
      </c>
      <c r="CT92" s="185" t="s">
        <v>1092</v>
      </c>
      <c r="CU92" s="185" t="s">
        <v>1092</v>
      </c>
      <c r="CV92" s="185" t="s">
        <v>2</v>
      </c>
      <c r="CW92" s="185" t="s">
        <v>1092</v>
      </c>
      <c r="CX92" s="186"/>
      <c r="CY92" s="185">
        <v>201372030</v>
      </c>
    </row>
    <row r="93" spans="1:103" ht="12.75" x14ac:dyDescent="0.2">
      <c r="A93" s="184">
        <v>42877.854800405097</v>
      </c>
      <c r="B93" s="185" t="s">
        <v>2342</v>
      </c>
      <c r="C93" s="185" t="s">
        <v>2271</v>
      </c>
      <c r="D93" s="185">
        <v>1</v>
      </c>
      <c r="E93" s="185" t="s">
        <v>2</v>
      </c>
      <c r="F93" s="185" t="s">
        <v>1092</v>
      </c>
      <c r="G93" s="185" t="s">
        <v>1092</v>
      </c>
      <c r="H93" s="185" t="s">
        <v>2</v>
      </c>
      <c r="I93" s="185" t="s">
        <v>1</v>
      </c>
      <c r="J93" s="185" t="s">
        <v>1</v>
      </c>
      <c r="K93" s="185" t="s">
        <v>3</v>
      </c>
      <c r="L93" s="185" t="s">
        <v>1092</v>
      </c>
      <c r="M93" s="185" t="s">
        <v>1092</v>
      </c>
      <c r="N93" s="185" t="s">
        <v>5</v>
      </c>
      <c r="O93" s="185" t="s">
        <v>1093</v>
      </c>
      <c r="P93" s="185" t="s">
        <v>1093</v>
      </c>
      <c r="Q93" s="185" t="s">
        <v>5</v>
      </c>
      <c r="R93" s="185" t="s">
        <v>2</v>
      </c>
      <c r="S93" s="185" t="s">
        <v>1092</v>
      </c>
      <c r="T93" s="185" t="s">
        <v>1092</v>
      </c>
      <c r="U93" s="185" t="s">
        <v>3</v>
      </c>
      <c r="V93" s="185" t="s">
        <v>3</v>
      </c>
      <c r="W93" s="185" t="s">
        <v>3</v>
      </c>
      <c r="X93" s="185" t="s">
        <v>1092</v>
      </c>
      <c r="Y93" s="185" t="s">
        <v>1092</v>
      </c>
      <c r="Z93" s="185" t="s">
        <v>1092</v>
      </c>
      <c r="AA93" s="185" t="s">
        <v>1092</v>
      </c>
      <c r="AB93" s="185" t="s">
        <v>3</v>
      </c>
      <c r="AC93" s="185" t="s">
        <v>3</v>
      </c>
      <c r="AD93" s="185" t="s">
        <v>3</v>
      </c>
      <c r="AE93" s="185" t="s">
        <v>3</v>
      </c>
      <c r="AF93" s="185" t="s">
        <v>1092</v>
      </c>
      <c r="AG93" s="185" t="s">
        <v>5</v>
      </c>
      <c r="AH93" s="185" t="s">
        <v>5</v>
      </c>
      <c r="AI93" s="185" t="s">
        <v>1092</v>
      </c>
      <c r="AJ93" s="185" t="s">
        <v>1092</v>
      </c>
      <c r="AK93" s="185" t="s">
        <v>1092</v>
      </c>
      <c r="AL93" s="185" t="s">
        <v>3</v>
      </c>
      <c r="AM93" s="185" t="s">
        <v>3</v>
      </c>
      <c r="AN93" s="185" t="s">
        <v>3</v>
      </c>
      <c r="AO93" s="185" t="s">
        <v>1092</v>
      </c>
      <c r="AP93" s="185" t="s">
        <v>2</v>
      </c>
      <c r="AQ93" s="185" t="s">
        <v>1</v>
      </c>
      <c r="AR93" s="185" t="s">
        <v>1092</v>
      </c>
      <c r="AS93" s="185" t="s">
        <v>1092</v>
      </c>
      <c r="AT93" s="185" t="s">
        <v>1092</v>
      </c>
      <c r="AU93" s="185" t="s">
        <v>1092</v>
      </c>
      <c r="AV93" s="185" t="s">
        <v>3</v>
      </c>
      <c r="AW93" s="185" t="s">
        <v>5</v>
      </c>
      <c r="AX93" s="185" t="s">
        <v>3</v>
      </c>
      <c r="AY93" s="185" t="s">
        <v>3</v>
      </c>
      <c r="AZ93" s="185" t="s">
        <v>1093</v>
      </c>
      <c r="BA93" s="185" t="s">
        <v>1093</v>
      </c>
      <c r="BB93" s="185" t="s">
        <v>3</v>
      </c>
      <c r="BC93" s="185" t="s">
        <v>1093</v>
      </c>
      <c r="BD93" s="185" t="s">
        <v>2</v>
      </c>
      <c r="BE93" s="185" t="s">
        <v>3</v>
      </c>
      <c r="BF93" s="185" t="s">
        <v>1092</v>
      </c>
      <c r="BG93" s="185" t="s">
        <v>1092</v>
      </c>
      <c r="BH93" s="185" t="s">
        <v>3</v>
      </c>
      <c r="BI93" s="185" t="s">
        <v>2</v>
      </c>
      <c r="BJ93" s="185" t="s">
        <v>3</v>
      </c>
      <c r="BK93" s="185" t="s">
        <v>3</v>
      </c>
      <c r="BL93" s="185" t="s">
        <v>3</v>
      </c>
      <c r="BM93" s="185" t="s">
        <v>3</v>
      </c>
      <c r="BN93" s="185" t="s">
        <v>3</v>
      </c>
      <c r="BO93" s="185" t="s">
        <v>3</v>
      </c>
      <c r="BP93" s="185" t="s">
        <v>3</v>
      </c>
      <c r="BQ93" s="185" t="s">
        <v>3</v>
      </c>
      <c r="BR93" s="185" t="s">
        <v>1092</v>
      </c>
      <c r="BS93" s="185" t="s">
        <v>3</v>
      </c>
      <c r="BT93" s="185" t="s">
        <v>3</v>
      </c>
      <c r="BU93" s="185" t="s">
        <v>3</v>
      </c>
      <c r="BV93" s="185" t="s">
        <v>3</v>
      </c>
      <c r="BW93" s="185" t="s">
        <v>3</v>
      </c>
      <c r="BX93" s="185" t="s">
        <v>1092</v>
      </c>
      <c r="BY93" s="185" t="s">
        <v>2</v>
      </c>
      <c r="BZ93" s="185" t="s">
        <v>1093</v>
      </c>
      <c r="CA93" s="185" t="s">
        <v>3</v>
      </c>
      <c r="CB93" s="185" t="s">
        <v>3</v>
      </c>
      <c r="CC93" s="185" t="s">
        <v>3</v>
      </c>
      <c r="CD93" s="185" t="s">
        <v>3</v>
      </c>
      <c r="CE93" s="185" t="s">
        <v>3</v>
      </c>
      <c r="CF93" s="185" t="s">
        <v>2</v>
      </c>
      <c r="CG93" s="185" t="s">
        <v>1</v>
      </c>
      <c r="CH93" s="185" t="s">
        <v>3</v>
      </c>
      <c r="CI93" s="185" t="s">
        <v>3</v>
      </c>
      <c r="CJ93" s="185" t="s">
        <v>3</v>
      </c>
      <c r="CK93" s="185" t="s">
        <v>3</v>
      </c>
      <c r="CL93" s="185" t="s">
        <v>1093</v>
      </c>
      <c r="CM93" s="185" t="s">
        <v>5</v>
      </c>
      <c r="CN93" s="185" t="s">
        <v>5</v>
      </c>
      <c r="CO93" s="185" t="s">
        <v>3</v>
      </c>
      <c r="CP93" s="185" t="s">
        <v>3</v>
      </c>
      <c r="CQ93" s="185" t="s">
        <v>3</v>
      </c>
      <c r="CR93" s="185" t="s">
        <v>3</v>
      </c>
      <c r="CS93" s="185" t="s">
        <v>3</v>
      </c>
      <c r="CT93" s="185" t="s">
        <v>3</v>
      </c>
      <c r="CU93" s="185" t="s">
        <v>1092</v>
      </c>
      <c r="CV93" s="185" t="s">
        <v>3</v>
      </c>
      <c r="CW93" s="185" t="s">
        <v>3</v>
      </c>
      <c r="CX93" s="186"/>
      <c r="CY93" s="185">
        <v>20171372013</v>
      </c>
    </row>
    <row r="94" spans="1:103" ht="12.75" x14ac:dyDescent="0.2">
      <c r="A94" s="184">
        <v>42877.855647662036</v>
      </c>
      <c r="B94" s="185" t="s">
        <v>2343</v>
      </c>
      <c r="C94" s="185" t="s">
        <v>2271</v>
      </c>
      <c r="D94" s="185">
        <v>1</v>
      </c>
      <c r="E94" s="185" t="s">
        <v>3</v>
      </c>
      <c r="F94" s="185" t="s">
        <v>1092</v>
      </c>
      <c r="G94" s="185" t="s">
        <v>1092</v>
      </c>
      <c r="H94" s="185" t="s">
        <v>3</v>
      </c>
      <c r="I94" s="185" t="s">
        <v>2</v>
      </c>
      <c r="J94" s="185" t="s">
        <v>2</v>
      </c>
      <c r="K94" s="185" t="s">
        <v>1092</v>
      </c>
      <c r="L94" s="185" t="s">
        <v>3</v>
      </c>
      <c r="M94" s="185" t="s">
        <v>3</v>
      </c>
      <c r="N94" s="185" t="s">
        <v>3</v>
      </c>
      <c r="O94" s="185" t="s">
        <v>2</v>
      </c>
      <c r="P94" s="185" t="s">
        <v>3</v>
      </c>
      <c r="Q94" s="185" t="s">
        <v>1093</v>
      </c>
      <c r="R94" s="185" t="s">
        <v>1</v>
      </c>
      <c r="S94" s="185" t="s">
        <v>3</v>
      </c>
      <c r="T94" s="185" t="s">
        <v>2</v>
      </c>
      <c r="U94" s="185" t="s">
        <v>3</v>
      </c>
      <c r="V94" s="185" t="s">
        <v>3</v>
      </c>
      <c r="W94" s="185" t="s">
        <v>2</v>
      </c>
      <c r="X94" s="185" t="s">
        <v>3</v>
      </c>
      <c r="Y94" s="185" t="s">
        <v>3</v>
      </c>
      <c r="Z94" s="185" t="s">
        <v>3</v>
      </c>
      <c r="AA94" s="185" t="s">
        <v>1</v>
      </c>
      <c r="AB94" s="185" t="s">
        <v>2</v>
      </c>
      <c r="AC94" s="185" t="s">
        <v>2</v>
      </c>
      <c r="AD94" s="185" t="s">
        <v>1</v>
      </c>
      <c r="AE94" s="185" t="s">
        <v>3</v>
      </c>
      <c r="AF94" s="185" t="s">
        <v>1092</v>
      </c>
      <c r="AG94" s="185" t="s">
        <v>5</v>
      </c>
      <c r="AH94" s="185" t="s">
        <v>1093</v>
      </c>
      <c r="AI94" s="185" t="s">
        <v>2</v>
      </c>
      <c r="AJ94" s="185" t="s">
        <v>2</v>
      </c>
      <c r="AK94" s="185" t="s">
        <v>3</v>
      </c>
      <c r="AL94" s="185" t="s">
        <v>2</v>
      </c>
      <c r="AM94" s="185" t="s">
        <v>3</v>
      </c>
      <c r="AN94" s="185" t="s">
        <v>1092</v>
      </c>
      <c r="AO94" s="185" t="s">
        <v>1092</v>
      </c>
      <c r="AP94" s="185" t="s">
        <v>1092</v>
      </c>
      <c r="AQ94" s="185" t="s">
        <v>3</v>
      </c>
      <c r="AR94" s="185" t="s">
        <v>1092</v>
      </c>
      <c r="AS94" s="185" t="s">
        <v>1092</v>
      </c>
      <c r="AT94" s="185" t="s">
        <v>1092</v>
      </c>
      <c r="AU94" s="185" t="s">
        <v>2</v>
      </c>
      <c r="AV94" s="185" t="s">
        <v>2</v>
      </c>
      <c r="AW94" s="185" t="s">
        <v>3</v>
      </c>
      <c r="AX94" s="185" t="s">
        <v>3</v>
      </c>
      <c r="AY94" s="185" t="s">
        <v>3</v>
      </c>
      <c r="AZ94" s="185" t="s">
        <v>3</v>
      </c>
      <c r="BA94" s="185" t="s">
        <v>1</v>
      </c>
      <c r="BB94" s="185" t="s">
        <v>2</v>
      </c>
      <c r="BC94" s="185" t="s">
        <v>2</v>
      </c>
      <c r="BD94" s="185" t="s">
        <v>1093</v>
      </c>
      <c r="BE94" s="185" t="s">
        <v>1092</v>
      </c>
      <c r="BF94" s="185" t="s">
        <v>2</v>
      </c>
      <c r="BG94" s="185" t="s">
        <v>2</v>
      </c>
      <c r="BH94" s="185" t="s">
        <v>2</v>
      </c>
      <c r="BI94" s="185" t="s">
        <v>2</v>
      </c>
      <c r="BJ94" s="185" t="s">
        <v>3</v>
      </c>
      <c r="BK94" s="185" t="s">
        <v>2</v>
      </c>
      <c r="BL94" s="185" t="s">
        <v>3</v>
      </c>
      <c r="BM94" s="185" t="s">
        <v>2</v>
      </c>
      <c r="BN94" s="185" t="s">
        <v>3</v>
      </c>
      <c r="BO94" s="185" t="s">
        <v>3</v>
      </c>
      <c r="BP94" s="185" t="s">
        <v>3</v>
      </c>
      <c r="BQ94" s="185" t="s">
        <v>1092</v>
      </c>
      <c r="BR94" s="185" t="s">
        <v>2</v>
      </c>
      <c r="BS94" s="185" t="s">
        <v>1092</v>
      </c>
      <c r="BT94" s="185" t="s">
        <v>2</v>
      </c>
      <c r="BU94" s="185" t="s">
        <v>2</v>
      </c>
      <c r="BV94" s="185" t="s">
        <v>2</v>
      </c>
      <c r="BW94" s="185" t="s">
        <v>2</v>
      </c>
      <c r="BX94" s="185" t="s">
        <v>2</v>
      </c>
      <c r="BY94" s="185" t="s">
        <v>1</v>
      </c>
      <c r="BZ94" s="185" t="s">
        <v>5</v>
      </c>
      <c r="CA94" s="185" t="s">
        <v>3</v>
      </c>
      <c r="CB94" s="185" t="s">
        <v>2</v>
      </c>
      <c r="CC94" s="185" t="s">
        <v>3</v>
      </c>
      <c r="CD94" s="185" t="s">
        <v>2</v>
      </c>
      <c r="CE94" s="185" t="s">
        <v>1092</v>
      </c>
      <c r="CF94" s="185" t="s">
        <v>1093</v>
      </c>
      <c r="CG94" s="185" t="s">
        <v>3</v>
      </c>
      <c r="CH94" s="185" t="s">
        <v>2</v>
      </c>
      <c r="CI94" s="185" t="s">
        <v>2</v>
      </c>
      <c r="CJ94" s="185" t="s">
        <v>3</v>
      </c>
      <c r="CK94" s="185" t="s">
        <v>3</v>
      </c>
      <c r="CL94" s="185" t="s">
        <v>1093</v>
      </c>
      <c r="CM94" s="185" t="s">
        <v>2</v>
      </c>
      <c r="CN94" s="185" t="s">
        <v>5</v>
      </c>
      <c r="CO94" s="185" t="s">
        <v>2</v>
      </c>
      <c r="CP94" s="185" t="s">
        <v>2</v>
      </c>
      <c r="CQ94" s="185" t="s">
        <v>3</v>
      </c>
      <c r="CR94" s="185" t="s">
        <v>3</v>
      </c>
      <c r="CS94" s="185" t="s">
        <v>3</v>
      </c>
      <c r="CT94" s="185" t="s">
        <v>3</v>
      </c>
      <c r="CU94" s="185" t="s">
        <v>2</v>
      </c>
      <c r="CV94" s="185" t="s">
        <v>3</v>
      </c>
      <c r="CW94" s="185" t="s">
        <v>3</v>
      </c>
      <c r="CX94" s="186"/>
      <c r="CY94" s="185">
        <v>20171372002</v>
      </c>
    </row>
    <row r="95" spans="1:103" ht="12.75" x14ac:dyDescent="0.2">
      <c r="A95" s="184">
        <v>42878.357284837963</v>
      </c>
      <c r="B95" s="185" t="s">
        <v>2344</v>
      </c>
      <c r="C95" s="185" t="s">
        <v>2237</v>
      </c>
      <c r="D95" s="185">
        <v>4</v>
      </c>
      <c r="E95" s="185" t="s">
        <v>3</v>
      </c>
      <c r="F95" s="185" t="s">
        <v>3</v>
      </c>
      <c r="G95" s="185" t="s">
        <v>3</v>
      </c>
      <c r="H95" s="185" t="s">
        <v>2</v>
      </c>
      <c r="I95" s="185" t="s">
        <v>5</v>
      </c>
      <c r="J95" s="185" t="s">
        <v>5</v>
      </c>
      <c r="K95" s="185" t="s">
        <v>2</v>
      </c>
      <c r="L95" s="185" t="s">
        <v>2</v>
      </c>
      <c r="M95" s="185" t="s">
        <v>2</v>
      </c>
      <c r="N95" s="185" t="s">
        <v>3</v>
      </c>
      <c r="O95" s="185" t="s">
        <v>5</v>
      </c>
      <c r="P95" s="185" t="s">
        <v>5</v>
      </c>
      <c r="Q95" s="185" t="s">
        <v>3</v>
      </c>
      <c r="R95" s="185" t="s">
        <v>3</v>
      </c>
      <c r="S95" s="185" t="s">
        <v>2</v>
      </c>
      <c r="T95" s="185" t="s">
        <v>2</v>
      </c>
      <c r="U95" s="185" t="s">
        <v>1</v>
      </c>
      <c r="V95" s="185" t="s">
        <v>2</v>
      </c>
      <c r="W95" s="185" t="s">
        <v>2</v>
      </c>
      <c r="X95" s="185" t="s">
        <v>2</v>
      </c>
      <c r="Y95" s="185" t="s">
        <v>3</v>
      </c>
      <c r="Z95" s="185" t="s">
        <v>3</v>
      </c>
      <c r="AA95" s="185" t="s">
        <v>2</v>
      </c>
      <c r="AB95" s="185" t="s">
        <v>1</v>
      </c>
      <c r="AC95" s="185" t="s">
        <v>2</v>
      </c>
      <c r="AD95" s="185" t="s">
        <v>5</v>
      </c>
      <c r="AE95" s="185" t="s">
        <v>5</v>
      </c>
      <c r="AF95" s="185" t="s">
        <v>1</v>
      </c>
      <c r="AG95" s="185" t="s">
        <v>5</v>
      </c>
      <c r="AH95" s="185" t="s">
        <v>2</v>
      </c>
      <c r="AI95" s="185" t="s">
        <v>2</v>
      </c>
      <c r="AJ95" s="185" t="s">
        <v>2</v>
      </c>
      <c r="AK95" s="185" t="s">
        <v>2</v>
      </c>
      <c r="AL95" s="185" t="s">
        <v>2</v>
      </c>
      <c r="AM95" s="185" t="s">
        <v>2</v>
      </c>
      <c r="AN95" s="185" t="s">
        <v>3</v>
      </c>
      <c r="AO95" s="185" t="s">
        <v>2</v>
      </c>
      <c r="AP95" s="185" t="s">
        <v>2</v>
      </c>
      <c r="AQ95" s="185" t="s">
        <v>2</v>
      </c>
      <c r="AR95" s="185" t="s">
        <v>3</v>
      </c>
      <c r="AS95" s="185" t="s">
        <v>3</v>
      </c>
      <c r="AT95" s="185" t="s">
        <v>1</v>
      </c>
      <c r="AU95" s="185" t="s">
        <v>3</v>
      </c>
      <c r="AV95" s="185" t="s">
        <v>2</v>
      </c>
      <c r="AW95" s="185" t="s">
        <v>2</v>
      </c>
      <c r="AX95" s="185" t="s">
        <v>2</v>
      </c>
      <c r="AY95" s="185" t="s">
        <v>3</v>
      </c>
      <c r="AZ95" s="185" t="s">
        <v>2</v>
      </c>
      <c r="BA95" s="185" t="s">
        <v>5</v>
      </c>
      <c r="BB95" s="185" t="s">
        <v>2</v>
      </c>
      <c r="BC95" s="185" t="s">
        <v>5</v>
      </c>
      <c r="BD95" s="185" t="s">
        <v>1</v>
      </c>
      <c r="BE95" s="185" t="s">
        <v>2</v>
      </c>
      <c r="BF95" s="185" t="s">
        <v>5</v>
      </c>
      <c r="BG95" s="185" t="s">
        <v>5</v>
      </c>
      <c r="BH95" s="185" t="s">
        <v>5</v>
      </c>
      <c r="BI95" s="185" t="s">
        <v>2</v>
      </c>
      <c r="BJ95" s="185" t="s">
        <v>3</v>
      </c>
      <c r="BK95" s="185" t="s">
        <v>2</v>
      </c>
      <c r="BL95" s="185" t="s">
        <v>3</v>
      </c>
      <c r="BM95" s="185" t="s">
        <v>2</v>
      </c>
      <c r="BN95" s="185" t="s">
        <v>2</v>
      </c>
      <c r="BO95" s="185" t="s">
        <v>5</v>
      </c>
      <c r="BP95" s="185" t="s">
        <v>5</v>
      </c>
      <c r="BQ95" s="185" t="s">
        <v>2</v>
      </c>
      <c r="BR95" s="185" t="s">
        <v>2</v>
      </c>
      <c r="BS95" s="185" t="s">
        <v>2</v>
      </c>
      <c r="BT95" s="185" t="s">
        <v>2</v>
      </c>
      <c r="BU95" s="185" t="s">
        <v>2</v>
      </c>
      <c r="BV95" s="185" t="s">
        <v>5</v>
      </c>
      <c r="BW95" s="185" t="s">
        <v>5</v>
      </c>
      <c r="BX95" s="185" t="s">
        <v>2</v>
      </c>
      <c r="BY95" s="185" t="s">
        <v>2</v>
      </c>
      <c r="BZ95" s="185" t="s">
        <v>1</v>
      </c>
      <c r="CA95" s="185" t="s">
        <v>2</v>
      </c>
      <c r="CB95" s="185" t="s">
        <v>2</v>
      </c>
      <c r="CC95" s="185" t="s">
        <v>2</v>
      </c>
      <c r="CD95" s="185" t="s">
        <v>3</v>
      </c>
      <c r="CE95" s="185" t="s">
        <v>2</v>
      </c>
      <c r="CF95" s="185" t="s">
        <v>1</v>
      </c>
      <c r="CG95" s="185" t="s">
        <v>1</v>
      </c>
      <c r="CH95" s="185" t="s">
        <v>5</v>
      </c>
      <c r="CI95" s="185" t="s">
        <v>5</v>
      </c>
      <c r="CJ95" s="185" t="s">
        <v>5</v>
      </c>
      <c r="CK95" s="185" t="s">
        <v>2</v>
      </c>
      <c r="CL95" s="185" t="s">
        <v>1093</v>
      </c>
      <c r="CM95" s="185" t="s">
        <v>5</v>
      </c>
      <c r="CN95" s="185" t="s">
        <v>5</v>
      </c>
      <c r="CO95" s="185" t="s">
        <v>2</v>
      </c>
      <c r="CP95" s="185" t="s">
        <v>2</v>
      </c>
      <c r="CQ95" s="185" t="s">
        <v>3</v>
      </c>
      <c r="CR95" s="185" t="s">
        <v>5</v>
      </c>
      <c r="CS95" s="185" t="s">
        <v>3</v>
      </c>
      <c r="CT95" s="185" t="s">
        <v>5</v>
      </c>
      <c r="CU95" s="185" t="s">
        <v>2</v>
      </c>
      <c r="CV95" s="185" t="s">
        <v>2</v>
      </c>
      <c r="CW95" s="185" t="s">
        <v>5</v>
      </c>
      <c r="CX95" s="186"/>
      <c r="CY95" s="185">
        <v>20161772001</v>
      </c>
    </row>
    <row r="96" spans="1:103" ht="12.75" x14ac:dyDescent="0.2">
      <c r="A96" s="184">
        <v>42878.372069016201</v>
      </c>
      <c r="B96" s="185" t="s">
        <v>2345</v>
      </c>
      <c r="C96" s="185" t="s">
        <v>2237</v>
      </c>
      <c r="D96" s="185">
        <v>1</v>
      </c>
      <c r="E96" s="185" t="s">
        <v>3</v>
      </c>
      <c r="F96" s="185" t="s">
        <v>1092</v>
      </c>
      <c r="G96" s="185" t="s">
        <v>1092</v>
      </c>
      <c r="H96" s="185" t="s">
        <v>1</v>
      </c>
      <c r="I96" s="185" t="s">
        <v>1093</v>
      </c>
      <c r="J96" s="185" t="s">
        <v>1</v>
      </c>
      <c r="K96" s="185" t="s">
        <v>2</v>
      </c>
      <c r="L96" s="185" t="s">
        <v>3</v>
      </c>
      <c r="M96" s="185" t="s">
        <v>2</v>
      </c>
      <c r="N96" s="185" t="s">
        <v>3</v>
      </c>
      <c r="O96" s="185" t="s">
        <v>1093</v>
      </c>
      <c r="P96" s="185" t="s">
        <v>1093</v>
      </c>
      <c r="Q96" s="185" t="s">
        <v>1092</v>
      </c>
      <c r="R96" s="185" t="s">
        <v>3</v>
      </c>
      <c r="S96" s="185" t="s">
        <v>3</v>
      </c>
      <c r="T96" s="185" t="s">
        <v>2</v>
      </c>
      <c r="U96" s="185" t="s">
        <v>3</v>
      </c>
      <c r="V96" s="185" t="s">
        <v>3</v>
      </c>
      <c r="W96" s="185" t="s">
        <v>3</v>
      </c>
      <c r="X96" s="185" t="s">
        <v>3</v>
      </c>
      <c r="Y96" s="185" t="s">
        <v>1092</v>
      </c>
      <c r="Z96" s="185" t="s">
        <v>1092</v>
      </c>
      <c r="AA96" s="185" t="s">
        <v>1092</v>
      </c>
      <c r="AB96" s="185" t="s">
        <v>3</v>
      </c>
      <c r="AC96" s="185" t="s">
        <v>3</v>
      </c>
      <c r="AD96" s="185" t="s">
        <v>5</v>
      </c>
      <c r="AE96" s="185" t="s">
        <v>5</v>
      </c>
      <c r="AF96" s="185" t="s">
        <v>5</v>
      </c>
      <c r="AG96" s="185" t="s">
        <v>5</v>
      </c>
      <c r="AH96" s="185" t="s">
        <v>1093</v>
      </c>
      <c r="AI96" s="185" t="s">
        <v>1093</v>
      </c>
      <c r="AJ96" s="185" t="s">
        <v>2</v>
      </c>
      <c r="AK96" s="185" t="s">
        <v>3</v>
      </c>
      <c r="AL96" s="185" t="s">
        <v>3</v>
      </c>
      <c r="AM96" s="185" t="s">
        <v>3</v>
      </c>
      <c r="AN96" s="185" t="s">
        <v>3</v>
      </c>
      <c r="AO96" s="185" t="s">
        <v>3</v>
      </c>
      <c r="AP96" s="185" t="s">
        <v>1092</v>
      </c>
      <c r="AQ96" s="185" t="s">
        <v>3</v>
      </c>
      <c r="AR96" s="185" t="s">
        <v>3</v>
      </c>
      <c r="AS96" s="185" t="s">
        <v>1092</v>
      </c>
      <c r="AT96" s="185" t="s">
        <v>3</v>
      </c>
      <c r="AU96" s="185" t="s">
        <v>1092</v>
      </c>
      <c r="AV96" s="185" t="s">
        <v>3</v>
      </c>
      <c r="AW96" s="185" t="s">
        <v>3</v>
      </c>
      <c r="AX96" s="185" t="s">
        <v>3</v>
      </c>
      <c r="AY96" s="185" t="s">
        <v>1092</v>
      </c>
      <c r="AZ96" s="185" t="s">
        <v>1092</v>
      </c>
      <c r="BA96" s="185" t="s">
        <v>3</v>
      </c>
      <c r="BB96" s="185" t="s">
        <v>1093</v>
      </c>
      <c r="BC96" s="185" t="s">
        <v>1092</v>
      </c>
      <c r="BD96" s="185" t="s">
        <v>3</v>
      </c>
      <c r="BE96" s="185" t="s">
        <v>1092</v>
      </c>
      <c r="BF96" s="185" t="s">
        <v>3</v>
      </c>
      <c r="BG96" s="185" t="s">
        <v>3</v>
      </c>
      <c r="BH96" s="185" t="s">
        <v>3</v>
      </c>
      <c r="BI96" s="185" t="s">
        <v>3</v>
      </c>
      <c r="BJ96" s="185" t="s">
        <v>3</v>
      </c>
      <c r="BK96" s="185" t="s">
        <v>2</v>
      </c>
      <c r="BL96" s="185" t="s">
        <v>1093</v>
      </c>
      <c r="BM96" s="185" t="s">
        <v>2</v>
      </c>
      <c r="BN96" s="185" t="s">
        <v>3</v>
      </c>
      <c r="BO96" s="185" t="s">
        <v>2</v>
      </c>
      <c r="BP96" s="185" t="s">
        <v>3</v>
      </c>
      <c r="BQ96" s="185" t="s">
        <v>3</v>
      </c>
      <c r="BR96" s="185" t="s">
        <v>1092</v>
      </c>
      <c r="BS96" s="185" t="s">
        <v>3</v>
      </c>
      <c r="BT96" s="185" t="s">
        <v>1</v>
      </c>
      <c r="BU96" s="185" t="s">
        <v>1</v>
      </c>
      <c r="BV96" s="185" t="s">
        <v>2</v>
      </c>
      <c r="BW96" s="185" t="s">
        <v>3</v>
      </c>
      <c r="BX96" s="185" t="s">
        <v>3</v>
      </c>
      <c r="BY96" s="185" t="s">
        <v>5</v>
      </c>
      <c r="BZ96" s="185" t="s">
        <v>1093</v>
      </c>
      <c r="CA96" s="185" t="s">
        <v>3</v>
      </c>
      <c r="CB96" s="185" t="s">
        <v>2</v>
      </c>
      <c r="CC96" s="185" t="s">
        <v>2</v>
      </c>
      <c r="CD96" s="185" t="s">
        <v>2</v>
      </c>
      <c r="CE96" s="185" t="s">
        <v>3</v>
      </c>
      <c r="CF96" s="185" t="s">
        <v>1093</v>
      </c>
      <c r="CG96" s="185" t="s">
        <v>2</v>
      </c>
      <c r="CH96" s="185" t="s">
        <v>1092</v>
      </c>
      <c r="CI96" s="185" t="s">
        <v>2</v>
      </c>
      <c r="CJ96" s="185" t="s">
        <v>2</v>
      </c>
      <c r="CK96" s="185" t="s">
        <v>2</v>
      </c>
      <c r="CL96" s="185" t="s">
        <v>2</v>
      </c>
      <c r="CM96" s="185" t="s">
        <v>3</v>
      </c>
      <c r="CN96" s="185" t="s">
        <v>3</v>
      </c>
      <c r="CO96" s="185" t="s">
        <v>2</v>
      </c>
      <c r="CP96" s="185" t="s">
        <v>3</v>
      </c>
      <c r="CQ96" s="185" t="s">
        <v>2</v>
      </c>
      <c r="CR96" s="185" t="s">
        <v>3</v>
      </c>
      <c r="CS96" s="185" t="s">
        <v>3</v>
      </c>
      <c r="CT96" s="185" t="s">
        <v>3</v>
      </c>
      <c r="CU96" s="185" t="s">
        <v>1093</v>
      </c>
      <c r="CV96" s="185" t="s">
        <v>1093</v>
      </c>
      <c r="CW96" s="185" t="s">
        <v>1093</v>
      </c>
      <c r="CX96" s="186"/>
      <c r="CY96" s="185">
        <v>20171772002</v>
      </c>
    </row>
    <row r="97" spans="1:103" ht="12.75" x14ac:dyDescent="0.2">
      <c r="A97" s="184">
        <v>42878.508129374997</v>
      </c>
      <c r="B97" s="185" t="s">
        <v>2346</v>
      </c>
      <c r="C97" s="185" t="s">
        <v>2235</v>
      </c>
      <c r="D97" s="185">
        <v>3</v>
      </c>
      <c r="E97" s="185" t="s">
        <v>2</v>
      </c>
      <c r="F97" s="185" t="s">
        <v>2</v>
      </c>
      <c r="G97" s="185" t="s">
        <v>1092</v>
      </c>
      <c r="H97" s="185" t="s">
        <v>3</v>
      </c>
      <c r="I97" s="185" t="s">
        <v>1</v>
      </c>
      <c r="J97" s="185" t="s">
        <v>1092</v>
      </c>
      <c r="K97" s="185" t="s">
        <v>1092</v>
      </c>
      <c r="L97" s="185" t="s">
        <v>1092</v>
      </c>
      <c r="M97" s="185" t="s">
        <v>1093</v>
      </c>
      <c r="N97" s="185" t="s">
        <v>2</v>
      </c>
      <c r="O97" s="185" t="s">
        <v>3</v>
      </c>
      <c r="P97" s="185" t="s">
        <v>5</v>
      </c>
      <c r="Q97" s="185" t="s">
        <v>1092</v>
      </c>
      <c r="R97" s="185" t="s">
        <v>5</v>
      </c>
      <c r="S97" s="185" t="s">
        <v>1092</v>
      </c>
      <c r="T97" s="185" t="s">
        <v>1092</v>
      </c>
      <c r="U97" s="185" t="s">
        <v>1092</v>
      </c>
      <c r="V97" s="185" t="s">
        <v>1092</v>
      </c>
      <c r="W97" s="185" t="s">
        <v>1092</v>
      </c>
      <c r="X97" s="185" t="s">
        <v>1092</v>
      </c>
      <c r="Y97" s="185" t="s">
        <v>5</v>
      </c>
      <c r="Z97" s="185" t="s">
        <v>5</v>
      </c>
      <c r="AA97" s="185" t="s">
        <v>1092</v>
      </c>
      <c r="AB97" s="185" t="s">
        <v>2</v>
      </c>
      <c r="AC97" s="185" t="s">
        <v>1092</v>
      </c>
      <c r="AD97" s="185" t="s">
        <v>5</v>
      </c>
      <c r="AE97" s="185" t="s">
        <v>5</v>
      </c>
      <c r="AF97" s="185" t="s">
        <v>3</v>
      </c>
      <c r="AG97" s="185" t="s">
        <v>3</v>
      </c>
      <c r="AH97" s="185" t="s">
        <v>3</v>
      </c>
      <c r="AI97" s="185" t="s">
        <v>1092</v>
      </c>
      <c r="AJ97" s="185" t="s">
        <v>1092</v>
      </c>
      <c r="AK97" s="185" t="s">
        <v>2</v>
      </c>
      <c r="AL97" s="185" t="s">
        <v>1092</v>
      </c>
      <c r="AM97" s="185" t="s">
        <v>2</v>
      </c>
      <c r="AN97" s="185" t="s">
        <v>1092</v>
      </c>
      <c r="AO97" s="185" t="s">
        <v>2</v>
      </c>
      <c r="AP97" s="185" t="s">
        <v>3</v>
      </c>
      <c r="AQ97" s="185" t="s">
        <v>1092</v>
      </c>
      <c r="AR97" s="185" t="s">
        <v>1092</v>
      </c>
      <c r="AS97" s="185" t="s">
        <v>1092</v>
      </c>
      <c r="AT97" s="185" t="s">
        <v>1092</v>
      </c>
      <c r="AU97" s="185" t="s">
        <v>1092</v>
      </c>
      <c r="AV97" s="185" t="s">
        <v>1092</v>
      </c>
      <c r="AW97" s="185" t="s">
        <v>1092</v>
      </c>
      <c r="AX97" s="185" t="s">
        <v>1092</v>
      </c>
      <c r="AY97" s="185" t="s">
        <v>1092</v>
      </c>
      <c r="AZ97" s="185" t="s">
        <v>1092</v>
      </c>
      <c r="BA97" s="185" t="s">
        <v>1092</v>
      </c>
      <c r="BB97" s="185" t="s">
        <v>1092</v>
      </c>
      <c r="BC97" s="185" t="s">
        <v>1092</v>
      </c>
      <c r="BD97" s="185" t="s">
        <v>1092</v>
      </c>
      <c r="BE97" s="185" t="s">
        <v>1092</v>
      </c>
      <c r="BF97" s="185" t="s">
        <v>1092</v>
      </c>
      <c r="BG97" s="185" t="s">
        <v>1092</v>
      </c>
      <c r="BH97" s="185" t="s">
        <v>1092</v>
      </c>
      <c r="BI97" s="185" t="s">
        <v>1092</v>
      </c>
      <c r="BJ97" s="185" t="s">
        <v>1092</v>
      </c>
      <c r="BK97" s="185" t="s">
        <v>1092</v>
      </c>
      <c r="BL97" s="185" t="s">
        <v>1092</v>
      </c>
      <c r="BM97" s="185" t="s">
        <v>1092</v>
      </c>
      <c r="BN97" s="185" t="s">
        <v>1092</v>
      </c>
      <c r="BO97" s="185" t="s">
        <v>1092</v>
      </c>
      <c r="BP97" s="185" t="s">
        <v>1092</v>
      </c>
      <c r="BQ97" s="185" t="s">
        <v>1092</v>
      </c>
      <c r="BR97" s="185" t="s">
        <v>1092</v>
      </c>
      <c r="BS97" s="185" t="s">
        <v>1092</v>
      </c>
      <c r="BT97" s="185" t="s">
        <v>1092</v>
      </c>
      <c r="BU97" s="185" t="s">
        <v>1092</v>
      </c>
      <c r="BV97" s="185" t="s">
        <v>1092</v>
      </c>
      <c r="BW97" s="185" t="s">
        <v>1092</v>
      </c>
      <c r="BX97" s="185" t="s">
        <v>1092</v>
      </c>
      <c r="BY97" s="185" t="s">
        <v>1092</v>
      </c>
      <c r="BZ97" s="185" t="s">
        <v>5</v>
      </c>
      <c r="CA97" s="185" t="s">
        <v>1092</v>
      </c>
      <c r="CB97" s="185" t="s">
        <v>1092</v>
      </c>
      <c r="CC97" s="185" t="s">
        <v>1092</v>
      </c>
      <c r="CD97" s="185" t="s">
        <v>1093</v>
      </c>
      <c r="CE97" s="185" t="s">
        <v>3</v>
      </c>
      <c r="CF97" s="185" t="s">
        <v>2</v>
      </c>
      <c r="CG97" s="185" t="s">
        <v>1092</v>
      </c>
      <c r="CH97" s="185" t="s">
        <v>1</v>
      </c>
      <c r="CI97" s="185" t="s">
        <v>1092</v>
      </c>
      <c r="CJ97" s="185" t="s">
        <v>1092</v>
      </c>
      <c r="CK97" s="185" t="s">
        <v>1092</v>
      </c>
      <c r="CL97" s="185" t="s">
        <v>1092</v>
      </c>
      <c r="CM97" s="185" t="s">
        <v>1093</v>
      </c>
      <c r="CN97" s="185" t="s">
        <v>3</v>
      </c>
      <c r="CO97" s="185" t="s">
        <v>1092</v>
      </c>
      <c r="CP97" s="185" t="s">
        <v>1092</v>
      </c>
      <c r="CQ97" s="185" t="s">
        <v>1092</v>
      </c>
      <c r="CR97" s="185" t="s">
        <v>1092</v>
      </c>
      <c r="CS97" s="185" t="s">
        <v>1092</v>
      </c>
      <c r="CT97" s="185" t="s">
        <v>1092</v>
      </c>
      <c r="CU97" s="185" t="s">
        <v>1092</v>
      </c>
      <c r="CV97" s="185" t="s">
        <v>1092</v>
      </c>
      <c r="CW97" s="185" t="s">
        <v>1092</v>
      </c>
      <c r="CX97" s="186"/>
      <c r="CY97" s="185">
        <v>20122072091</v>
      </c>
    </row>
    <row r="98" spans="1:103" ht="12.75" x14ac:dyDescent="0.2">
      <c r="A98" s="184">
        <v>42878.604694756941</v>
      </c>
      <c r="B98" s="185" t="s">
        <v>2347</v>
      </c>
      <c r="C98" s="185" t="s">
        <v>2235</v>
      </c>
      <c r="D98" s="185">
        <v>9</v>
      </c>
      <c r="E98" s="185" t="s">
        <v>1092</v>
      </c>
      <c r="F98" s="185" t="s">
        <v>1092</v>
      </c>
      <c r="G98" s="185" t="s">
        <v>1092</v>
      </c>
      <c r="H98" s="185" t="s">
        <v>1092</v>
      </c>
      <c r="I98" s="185" t="s">
        <v>3</v>
      </c>
      <c r="J98" s="185" t="s">
        <v>2</v>
      </c>
      <c r="K98" s="185" t="s">
        <v>2</v>
      </c>
      <c r="L98" s="185" t="s">
        <v>3</v>
      </c>
      <c r="M98" s="185" t="s">
        <v>3</v>
      </c>
      <c r="N98" s="185" t="s">
        <v>3</v>
      </c>
      <c r="O98" s="185" t="s">
        <v>1</v>
      </c>
      <c r="P98" s="185" t="s">
        <v>2</v>
      </c>
      <c r="Q98" s="185" t="s">
        <v>2</v>
      </c>
      <c r="R98" s="185" t="s">
        <v>1</v>
      </c>
      <c r="S98" s="185" t="s">
        <v>3</v>
      </c>
      <c r="T98" s="185" t="s">
        <v>2</v>
      </c>
      <c r="U98" s="185" t="s">
        <v>2</v>
      </c>
      <c r="V98" s="185" t="s">
        <v>3</v>
      </c>
      <c r="W98" s="185" t="s">
        <v>1</v>
      </c>
      <c r="X98" s="185" t="s">
        <v>3</v>
      </c>
      <c r="Y98" s="185" t="s">
        <v>3</v>
      </c>
      <c r="Z98" s="185" t="s">
        <v>2</v>
      </c>
      <c r="AA98" s="185" t="s">
        <v>3</v>
      </c>
      <c r="AB98" s="185" t="s">
        <v>1</v>
      </c>
      <c r="AC98" s="185" t="s">
        <v>3</v>
      </c>
      <c r="AD98" s="185" t="s">
        <v>3</v>
      </c>
      <c r="AE98" s="185" t="s">
        <v>2</v>
      </c>
      <c r="AF98" s="185" t="s">
        <v>1092</v>
      </c>
      <c r="AG98" s="185" t="s">
        <v>1</v>
      </c>
      <c r="AH98" s="185" t="s">
        <v>3</v>
      </c>
      <c r="AI98" s="185" t="s">
        <v>2</v>
      </c>
      <c r="AJ98" s="185" t="s">
        <v>2</v>
      </c>
      <c r="AK98" s="185" t="s">
        <v>1092</v>
      </c>
      <c r="AL98" s="185" t="s">
        <v>3</v>
      </c>
      <c r="AM98" s="185" t="s">
        <v>3</v>
      </c>
      <c r="AN98" s="185" t="s">
        <v>2</v>
      </c>
      <c r="AO98" s="185" t="s">
        <v>3</v>
      </c>
      <c r="AP98" s="185" t="s">
        <v>3</v>
      </c>
      <c r="AQ98" s="185" t="s">
        <v>3</v>
      </c>
      <c r="AR98" s="185" t="s">
        <v>3</v>
      </c>
      <c r="AS98" s="185" t="s">
        <v>1092</v>
      </c>
      <c r="AT98" s="185" t="s">
        <v>1092</v>
      </c>
      <c r="AU98" s="185" t="s">
        <v>2</v>
      </c>
      <c r="AV98" s="185" t="s">
        <v>2</v>
      </c>
      <c r="AW98" s="185" t="s">
        <v>3</v>
      </c>
      <c r="AX98" s="185" t="s">
        <v>3</v>
      </c>
      <c r="AY98" s="185" t="s">
        <v>3</v>
      </c>
      <c r="AZ98" s="185" t="s">
        <v>3</v>
      </c>
      <c r="BA98" s="185" t="s">
        <v>3</v>
      </c>
      <c r="BB98" s="185" t="s">
        <v>2</v>
      </c>
      <c r="BC98" s="185" t="s">
        <v>1</v>
      </c>
      <c r="BD98" s="185" t="s">
        <v>1</v>
      </c>
      <c r="BE98" s="185" t="s">
        <v>1</v>
      </c>
      <c r="BF98" s="185" t="s">
        <v>3</v>
      </c>
      <c r="BG98" s="185" t="s">
        <v>3</v>
      </c>
      <c r="BH98" s="185" t="s">
        <v>3</v>
      </c>
      <c r="BI98" s="185" t="s">
        <v>2</v>
      </c>
      <c r="BJ98" s="185" t="s">
        <v>2</v>
      </c>
      <c r="BK98" s="185" t="s">
        <v>3</v>
      </c>
      <c r="BL98" s="185" t="s">
        <v>3</v>
      </c>
      <c r="BM98" s="185" t="s">
        <v>3</v>
      </c>
      <c r="BN98" s="185" t="s">
        <v>2</v>
      </c>
      <c r="BO98" s="185" t="s">
        <v>3</v>
      </c>
      <c r="BP98" s="185" t="s">
        <v>3</v>
      </c>
      <c r="BQ98" s="185" t="s">
        <v>2</v>
      </c>
      <c r="BR98" s="185" t="s">
        <v>3</v>
      </c>
      <c r="BS98" s="185" t="s">
        <v>3</v>
      </c>
      <c r="BT98" s="185" t="s">
        <v>2</v>
      </c>
      <c r="BU98" s="185" t="s">
        <v>2</v>
      </c>
      <c r="BV98" s="185" t="s">
        <v>2</v>
      </c>
      <c r="BW98" s="185" t="s">
        <v>3</v>
      </c>
      <c r="BX98" s="185" t="s">
        <v>2</v>
      </c>
      <c r="BY98" s="185" t="s">
        <v>2</v>
      </c>
      <c r="BZ98" s="185" t="s">
        <v>3</v>
      </c>
      <c r="CA98" s="185" t="s">
        <v>3</v>
      </c>
      <c r="CB98" s="185" t="s">
        <v>2</v>
      </c>
      <c r="CC98" s="185" t="s">
        <v>2</v>
      </c>
      <c r="CD98" s="185" t="s">
        <v>3</v>
      </c>
      <c r="CE98" s="185" t="s">
        <v>1</v>
      </c>
      <c r="CF98" s="185" t="s">
        <v>2</v>
      </c>
      <c r="CG98" s="185" t="s">
        <v>1</v>
      </c>
      <c r="CH98" s="185" t="s">
        <v>2</v>
      </c>
      <c r="CI98" s="185" t="s">
        <v>2</v>
      </c>
      <c r="CJ98" s="185" t="s">
        <v>1</v>
      </c>
      <c r="CK98" s="185" t="s">
        <v>2</v>
      </c>
      <c r="CL98" s="185" t="s">
        <v>3</v>
      </c>
      <c r="CM98" s="185" t="s">
        <v>2</v>
      </c>
      <c r="CN98" s="185" t="s">
        <v>2</v>
      </c>
      <c r="CO98" s="185" t="s">
        <v>3</v>
      </c>
      <c r="CP98" s="185" t="s">
        <v>2</v>
      </c>
      <c r="CQ98" s="185" t="s">
        <v>3</v>
      </c>
      <c r="CR98" s="185" t="s">
        <v>3</v>
      </c>
      <c r="CS98" s="185" t="s">
        <v>2</v>
      </c>
      <c r="CT98" s="185" t="s">
        <v>2</v>
      </c>
      <c r="CU98" s="185" t="s">
        <v>3</v>
      </c>
      <c r="CV98" s="185" t="s">
        <v>3</v>
      </c>
      <c r="CW98" s="185" t="s">
        <v>2</v>
      </c>
      <c r="CX98" s="186"/>
      <c r="CY98" s="185">
        <v>20131072043</v>
      </c>
    </row>
    <row r="99" spans="1:103" ht="12.75" x14ac:dyDescent="0.2">
      <c r="A99" s="184">
        <v>42878.649944212964</v>
      </c>
      <c r="B99" s="185" t="s">
        <v>2348</v>
      </c>
      <c r="C99" s="185" t="s">
        <v>2271</v>
      </c>
      <c r="D99" s="185">
        <v>10</v>
      </c>
      <c r="E99" s="185" t="s">
        <v>1092</v>
      </c>
      <c r="F99" s="185" t="s">
        <v>1092</v>
      </c>
      <c r="G99" s="185" t="s">
        <v>1092</v>
      </c>
      <c r="H99" s="185" t="s">
        <v>1092</v>
      </c>
      <c r="I99" s="185" t="s">
        <v>1092</v>
      </c>
      <c r="J99" s="185" t="s">
        <v>3</v>
      </c>
      <c r="K99" s="185" t="s">
        <v>2</v>
      </c>
      <c r="L99" s="185" t="s">
        <v>1092</v>
      </c>
      <c r="M99" s="185" t="s">
        <v>2</v>
      </c>
      <c r="N99" s="185" t="s">
        <v>3</v>
      </c>
      <c r="O99" s="185" t="s">
        <v>1092</v>
      </c>
      <c r="P99" s="185" t="s">
        <v>3</v>
      </c>
      <c r="Q99" s="185" t="s">
        <v>2</v>
      </c>
      <c r="R99" s="185" t="s">
        <v>2</v>
      </c>
      <c r="S99" s="185" t="s">
        <v>2</v>
      </c>
      <c r="T99" s="185" t="s">
        <v>2</v>
      </c>
      <c r="U99" s="185" t="s">
        <v>2</v>
      </c>
      <c r="V99" s="185" t="s">
        <v>3</v>
      </c>
      <c r="W99" s="185" t="s">
        <v>3</v>
      </c>
      <c r="X99" s="185" t="s">
        <v>2</v>
      </c>
      <c r="Y99" s="185" t="s">
        <v>3</v>
      </c>
      <c r="Z99" s="185" t="s">
        <v>3</v>
      </c>
      <c r="AA99" s="185" t="s">
        <v>3</v>
      </c>
      <c r="AB99" s="185" t="s">
        <v>2</v>
      </c>
      <c r="AC99" s="185" t="s">
        <v>3</v>
      </c>
      <c r="AD99" s="185" t="s">
        <v>2</v>
      </c>
      <c r="AE99" s="185" t="s">
        <v>3</v>
      </c>
      <c r="AF99" s="185" t="s">
        <v>2</v>
      </c>
      <c r="AG99" s="185" t="s">
        <v>1093</v>
      </c>
      <c r="AH99" s="185" t="s">
        <v>1093</v>
      </c>
      <c r="AI99" s="185" t="s">
        <v>1</v>
      </c>
      <c r="AJ99" s="185" t="s">
        <v>1</v>
      </c>
      <c r="AK99" s="185" t="s">
        <v>3</v>
      </c>
      <c r="AL99" s="185" t="s">
        <v>3</v>
      </c>
      <c r="AM99" s="185" t="s">
        <v>3</v>
      </c>
      <c r="AN99" s="185" t="s">
        <v>3</v>
      </c>
      <c r="AO99" s="185" t="s">
        <v>3</v>
      </c>
      <c r="AP99" s="185" t="s">
        <v>3</v>
      </c>
      <c r="AQ99" s="185" t="s">
        <v>3</v>
      </c>
      <c r="AR99" s="185" t="s">
        <v>3</v>
      </c>
      <c r="AS99" s="185" t="s">
        <v>3</v>
      </c>
      <c r="AT99" s="185" t="s">
        <v>3</v>
      </c>
      <c r="AU99" s="185" t="s">
        <v>3</v>
      </c>
      <c r="AV99" s="185" t="s">
        <v>1093</v>
      </c>
      <c r="AW99" s="185" t="s">
        <v>1</v>
      </c>
      <c r="AX99" s="185" t="s">
        <v>3</v>
      </c>
      <c r="AY99" s="185" t="s">
        <v>3</v>
      </c>
      <c r="AZ99" s="185" t="s">
        <v>3</v>
      </c>
      <c r="BA99" s="185" t="s">
        <v>3</v>
      </c>
      <c r="BB99" s="185" t="s">
        <v>1092</v>
      </c>
      <c r="BC99" s="185" t="s">
        <v>3</v>
      </c>
      <c r="BD99" s="185" t="s">
        <v>3</v>
      </c>
      <c r="BE99" s="185" t="s">
        <v>3</v>
      </c>
      <c r="BF99" s="185" t="s">
        <v>2</v>
      </c>
      <c r="BG99" s="185" t="s">
        <v>2</v>
      </c>
      <c r="BH99" s="185" t="s">
        <v>1</v>
      </c>
      <c r="BI99" s="185" t="s">
        <v>1</v>
      </c>
      <c r="BJ99" s="185" t="s">
        <v>1</v>
      </c>
      <c r="BK99" s="185" t="s">
        <v>3</v>
      </c>
      <c r="BL99" s="185" t="s">
        <v>3</v>
      </c>
      <c r="BM99" s="185" t="s">
        <v>2</v>
      </c>
      <c r="BN99" s="185" t="s">
        <v>2</v>
      </c>
      <c r="BO99" s="185" t="s">
        <v>3</v>
      </c>
      <c r="BP99" s="185" t="s">
        <v>3</v>
      </c>
      <c r="BQ99" s="185" t="s">
        <v>2</v>
      </c>
      <c r="BR99" s="185" t="s">
        <v>3</v>
      </c>
      <c r="BS99" s="185" t="s">
        <v>2</v>
      </c>
      <c r="BT99" s="185" t="s">
        <v>2</v>
      </c>
      <c r="BU99" s="185" t="s">
        <v>2</v>
      </c>
      <c r="BV99" s="185" t="s">
        <v>2</v>
      </c>
      <c r="BW99" s="185" t="s">
        <v>3</v>
      </c>
      <c r="BX99" s="185" t="s">
        <v>3</v>
      </c>
      <c r="BY99" s="185" t="s">
        <v>3</v>
      </c>
      <c r="BZ99" s="185" t="s">
        <v>1093</v>
      </c>
      <c r="CA99" s="185" t="s">
        <v>3</v>
      </c>
      <c r="CB99" s="185" t="s">
        <v>2</v>
      </c>
      <c r="CC99" s="185" t="s">
        <v>2</v>
      </c>
      <c r="CD99" s="185" t="s">
        <v>2</v>
      </c>
      <c r="CE99" s="185" t="s">
        <v>3</v>
      </c>
      <c r="CF99" s="185" t="s">
        <v>2</v>
      </c>
      <c r="CG99" s="185" t="s">
        <v>2</v>
      </c>
      <c r="CH99" s="185" t="s">
        <v>3</v>
      </c>
      <c r="CI99" s="185" t="s">
        <v>3</v>
      </c>
      <c r="CJ99" s="185" t="s">
        <v>3</v>
      </c>
      <c r="CK99" s="185" t="s">
        <v>3</v>
      </c>
      <c r="CL99" s="185" t="s">
        <v>2</v>
      </c>
      <c r="CM99" s="185" t="s">
        <v>2</v>
      </c>
      <c r="CN99" s="185" t="s">
        <v>2</v>
      </c>
      <c r="CO99" s="185" t="s">
        <v>3</v>
      </c>
      <c r="CP99" s="185" t="s">
        <v>3</v>
      </c>
      <c r="CQ99" s="185" t="s">
        <v>2</v>
      </c>
      <c r="CR99" s="185" t="s">
        <v>2</v>
      </c>
      <c r="CS99" s="185" t="s">
        <v>3</v>
      </c>
      <c r="CT99" s="185" t="s">
        <v>3</v>
      </c>
      <c r="CU99" s="185" t="s">
        <v>3</v>
      </c>
      <c r="CV99" s="185" t="s">
        <v>2</v>
      </c>
      <c r="CW99" s="185" t="s">
        <v>3</v>
      </c>
      <c r="CX99" s="186"/>
      <c r="CY99" s="185">
        <v>20161372094</v>
      </c>
    </row>
    <row r="100" spans="1:103" ht="12.75" x14ac:dyDescent="0.2">
      <c r="A100" s="184">
        <v>42878.792211527776</v>
      </c>
      <c r="B100" s="185" t="s">
        <v>2349</v>
      </c>
      <c r="C100" s="185" t="s">
        <v>2271</v>
      </c>
      <c r="D100" s="185">
        <v>1</v>
      </c>
      <c r="E100" s="185" t="s">
        <v>3</v>
      </c>
      <c r="F100" s="185" t="s">
        <v>1092</v>
      </c>
      <c r="G100" s="185" t="s">
        <v>1092</v>
      </c>
      <c r="H100" s="185" t="s">
        <v>1092</v>
      </c>
      <c r="I100" s="185" t="s">
        <v>2</v>
      </c>
      <c r="J100" s="185" t="s">
        <v>2</v>
      </c>
      <c r="K100" s="185" t="s">
        <v>2</v>
      </c>
      <c r="L100" s="185" t="s">
        <v>2</v>
      </c>
      <c r="M100" s="185" t="s">
        <v>3</v>
      </c>
      <c r="N100" s="185" t="s">
        <v>2</v>
      </c>
      <c r="O100" s="185" t="s">
        <v>2</v>
      </c>
      <c r="P100" s="185" t="s">
        <v>1</v>
      </c>
      <c r="Q100" s="185" t="s">
        <v>1</v>
      </c>
      <c r="R100" s="185" t="s">
        <v>3</v>
      </c>
      <c r="S100" s="185" t="s">
        <v>3</v>
      </c>
      <c r="T100" s="185" t="s">
        <v>3</v>
      </c>
      <c r="U100" s="185" t="s">
        <v>2</v>
      </c>
      <c r="V100" s="185" t="s">
        <v>1092</v>
      </c>
      <c r="W100" s="185" t="s">
        <v>1092</v>
      </c>
      <c r="X100" s="185" t="s">
        <v>3</v>
      </c>
      <c r="Y100" s="185" t="s">
        <v>3</v>
      </c>
      <c r="Z100" s="185" t="s">
        <v>3</v>
      </c>
      <c r="AA100" s="185" t="s">
        <v>3</v>
      </c>
      <c r="AB100" s="185" t="s">
        <v>3</v>
      </c>
      <c r="AC100" s="185" t="s">
        <v>1093</v>
      </c>
      <c r="AD100" s="185" t="s">
        <v>2</v>
      </c>
      <c r="AE100" s="185" t="s">
        <v>3</v>
      </c>
      <c r="AF100" s="185" t="s">
        <v>3</v>
      </c>
      <c r="AG100" s="185" t="s">
        <v>3</v>
      </c>
      <c r="AH100" s="185" t="s">
        <v>3</v>
      </c>
      <c r="AI100" s="185" t="s">
        <v>3</v>
      </c>
      <c r="AJ100" s="185" t="s">
        <v>3</v>
      </c>
      <c r="AK100" s="185" t="s">
        <v>3</v>
      </c>
      <c r="AL100" s="185" t="s">
        <v>3</v>
      </c>
      <c r="AM100" s="185" t="s">
        <v>3</v>
      </c>
      <c r="AN100" s="185" t="s">
        <v>3</v>
      </c>
      <c r="AO100" s="185" t="s">
        <v>3</v>
      </c>
      <c r="AP100" s="185" t="s">
        <v>3</v>
      </c>
      <c r="AQ100" s="185" t="s">
        <v>3</v>
      </c>
      <c r="AR100" s="185" t="s">
        <v>3</v>
      </c>
      <c r="AS100" s="185" t="s">
        <v>3</v>
      </c>
      <c r="AT100" s="185" t="s">
        <v>3</v>
      </c>
      <c r="AU100" s="185" t="s">
        <v>3</v>
      </c>
      <c r="AV100" s="185" t="s">
        <v>3</v>
      </c>
      <c r="AW100" s="185" t="s">
        <v>3</v>
      </c>
      <c r="AX100" s="185" t="s">
        <v>3</v>
      </c>
      <c r="AY100" s="185" t="s">
        <v>3</v>
      </c>
      <c r="AZ100" s="185" t="s">
        <v>3</v>
      </c>
      <c r="BA100" s="185" t="s">
        <v>3</v>
      </c>
      <c r="BB100" s="185" t="s">
        <v>3</v>
      </c>
      <c r="BC100" s="185" t="s">
        <v>3</v>
      </c>
      <c r="BD100" s="185" t="s">
        <v>3</v>
      </c>
      <c r="BE100" s="185" t="s">
        <v>3</v>
      </c>
      <c r="BF100" s="185" t="s">
        <v>3</v>
      </c>
      <c r="BG100" s="185" t="s">
        <v>3</v>
      </c>
      <c r="BH100" s="185" t="s">
        <v>3</v>
      </c>
      <c r="BI100" s="185" t="s">
        <v>3</v>
      </c>
      <c r="BJ100" s="185" t="s">
        <v>3</v>
      </c>
      <c r="BK100" s="185" t="s">
        <v>3</v>
      </c>
      <c r="BL100" s="185" t="s">
        <v>3</v>
      </c>
      <c r="BM100" s="185" t="s">
        <v>3</v>
      </c>
      <c r="BN100" s="185" t="s">
        <v>3</v>
      </c>
      <c r="BO100" s="185" t="s">
        <v>3</v>
      </c>
      <c r="BP100" s="185" t="s">
        <v>3</v>
      </c>
      <c r="BQ100" s="185" t="s">
        <v>3</v>
      </c>
      <c r="BR100" s="185" t="s">
        <v>2</v>
      </c>
      <c r="BS100" s="185" t="s">
        <v>2</v>
      </c>
      <c r="BT100" s="185" t="s">
        <v>3</v>
      </c>
      <c r="BU100" s="185" t="s">
        <v>3</v>
      </c>
      <c r="BV100" s="185" t="s">
        <v>1092</v>
      </c>
      <c r="BW100" s="185" t="s">
        <v>3</v>
      </c>
      <c r="BX100" s="185" t="s">
        <v>2</v>
      </c>
      <c r="BY100" s="185" t="s">
        <v>3</v>
      </c>
      <c r="BZ100" s="185" t="s">
        <v>2</v>
      </c>
      <c r="CA100" s="185" t="s">
        <v>3</v>
      </c>
      <c r="CB100" s="185" t="s">
        <v>3</v>
      </c>
      <c r="CC100" s="185" t="s">
        <v>3</v>
      </c>
      <c r="CD100" s="185" t="s">
        <v>3</v>
      </c>
      <c r="CE100" s="185" t="s">
        <v>3</v>
      </c>
      <c r="CF100" s="185" t="s">
        <v>3</v>
      </c>
      <c r="CG100" s="185" t="s">
        <v>3</v>
      </c>
      <c r="CH100" s="185" t="s">
        <v>3</v>
      </c>
      <c r="CI100" s="185" t="s">
        <v>1092</v>
      </c>
      <c r="CJ100" s="185" t="s">
        <v>1092</v>
      </c>
      <c r="CK100" s="185" t="s">
        <v>1092</v>
      </c>
      <c r="CL100" s="185" t="s">
        <v>3</v>
      </c>
      <c r="CM100" s="185" t="s">
        <v>1092</v>
      </c>
      <c r="CN100" s="185" t="s">
        <v>1092</v>
      </c>
      <c r="CO100" s="185" t="s">
        <v>1092</v>
      </c>
      <c r="CP100" s="185" t="s">
        <v>1092</v>
      </c>
      <c r="CQ100" s="185" t="s">
        <v>3</v>
      </c>
      <c r="CR100" s="185" t="s">
        <v>3</v>
      </c>
      <c r="CS100" s="185" t="s">
        <v>2</v>
      </c>
      <c r="CT100" s="185" t="s">
        <v>3</v>
      </c>
      <c r="CU100" s="185" t="s">
        <v>3</v>
      </c>
      <c r="CV100" s="185" t="s">
        <v>1092</v>
      </c>
      <c r="CW100" s="185" t="s">
        <v>1092</v>
      </c>
      <c r="CX100" s="186"/>
      <c r="CY100" s="185">
        <v>20171372014</v>
      </c>
    </row>
    <row r="101" spans="1:103" ht="12.75" x14ac:dyDescent="0.2">
      <c r="A101" s="184">
        <v>42878.795414340275</v>
      </c>
      <c r="B101" s="185" t="s">
        <v>2350</v>
      </c>
      <c r="C101" s="185" t="s">
        <v>2271</v>
      </c>
      <c r="D101" s="185">
        <v>2</v>
      </c>
      <c r="E101" s="185" t="s">
        <v>1092</v>
      </c>
      <c r="F101" s="185" t="s">
        <v>1092</v>
      </c>
      <c r="G101" s="185" t="s">
        <v>1092</v>
      </c>
      <c r="H101" s="185" t="s">
        <v>3</v>
      </c>
      <c r="I101" s="185" t="s">
        <v>3</v>
      </c>
      <c r="J101" s="185" t="s">
        <v>2</v>
      </c>
      <c r="K101" s="185" t="s">
        <v>3</v>
      </c>
      <c r="L101" s="185" t="s">
        <v>3</v>
      </c>
      <c r="M101" s="185" t="s">
        <v>2</v>
      </c>
      <c r="N101" s="185" t="s">
        <v>3</v>
      </c>
      <c r="O101" s="185" t="s">
        <v>1093</v>
      </c>
      <c r="P101" s="185" t="s">
        <v>1093</v>
      </c>
      <c r="Q101" s="185" t="s">
        <v>1093</v>
      </c>
      <c r="R101" s="185" t="s">
        <v>1093</v>
      </c>
      <c r="S101" s="185" t="s">
        <v>2</v>
      </c>
      <c r="T101" s="185" t="s">
        <v>1093</v>
      </c>
      <c r="U101" s="185" t="s">
        <v>1093</v>
      </c>
      <c r="V101" s="185" t="s">
        <v>3</v>
      </c>
      <c r="W101" s="185" t="s">
        <v>1</v>
      </c>
      <c r="X101" s="185" t="s">
        <v>3</v>
      </c>
      <c r="Y101" s="185" t="s">
        <v>2</v>
      </c>
      <c r="Z101" s="185" t="s">
        <v>3</v>
      </c>
      <c r="AA101" s="185" t="s">
        <v>2</v>
      </c>
      <c r="AB101" s="185" t="s">
        <v>1093</v>
      </c>
      <c r="AC101" s="185" t="s">
        <v>2</v>
      </c>
      <c r="AD101" s="185" t="s">
        <v>1</v>
      </c>
      <c r="AE101" s="185" t="s">
        <v>1</v>
      </c>
      <c r="AF101" s="185" t="s">
        <v>1</v>
      </c>
      <c r="AG101" s="185" t="s">
        <v>1</v>
      </c>
      <c r="AH101" s="185" t="s">
        <v>3</v>
      </c>
      <c r="AI101" s="185" t="s">
        <v>3</v>
      </c>
      <c r="AJ101" s="185" t="s">
        <v>1</v>
      </c>
      <c r="AK101" s="185" t="s">
        <v>1092</v>
      </c>
      <c r="AL101" s="185" t="s">
        <v>2</v>
      </c>
      <c r="AM101" s="185" t="s">
        <v>3</v>
      </c>
      <c r="AN101" s="185" t="s">
        <v>3</v>
      </c>
      <c r="AO101" s="185" t="s">
        <v>3</v>
      </c>
      <c r="AP101" s="185" t="s">
        <v>1092</v>
      </c>
      <c r="AQ101" s="185" t="s">
        <v>3</v>
      </c>
      <c r="AR101" s="185" t="s">
        <v>1092</v>
      </c>
      <c r="AS101" s="185" t="s">
        <v>1092</v>
      </c>
      <c r="AT101" s="185" t="s">
        <v>1092</v>
      </c>
      <c r="AU101" s="185" t="s">
        <v>3</v>
      </c>
      <c r="AV101" s="185" t="s">
        <v>3</v>
      </c>
      <c r="AW101" s="185" t="s">
        <v>3</v>
      </c>
      <c r="AX101" s="185" t="s">
        <v>3</v>
      </c>
      <c r="AY101" s="185" t="s">
        <v>3</v>
      </c>
      <c r="AZ101" s="185" t="s">
        <v>2</v>
      </c>
      <c r="BA101" s="185" t="s">
        <v>2</v>
      </c>
      <c r="BB101" s="185" t="s">
        <v>2</v>
      </c>
      <c r="BC101" s="185" t="s">
        <v>1</v>
      </c>
      <c r="BD101" s="185" t="s">
        <v>1093</v>
      </c>
      <c r="BE101" s="185" t="s">
        <v>1</v>
      </c>
      <c r="BF101" s="185" t="s">
        <v>3</v>
      </c>
      <c r="BG101" s="185" t="s">
        <v>3</v>
      </c>
      <c r="BH101" s="185" t="s">
        <v>1093</v>
      </c>
      <c r="BI101" s="185" t="s">
        <v>1092</v>
      </c>
      <c r="BJ101" s="185" t="s">
        <v>1092</v>
      </c>
      <c r="BK101" s="185" t="s">
        <v>1092</v>
      </c>
      <c r="BL101" s="185" t="s">
        <v>1092</v>
      </c>
      <c r="BM101" s="185" t="s">
        <v>1092</v>
      </c>
      <c r="BN101" s="185" t="s">
        <v>2</v>
      </c>
      <c r="BO101" s="185" t="s">
        <v>1093</v>
      </c>
      <c r="BP101" s="185" t="s">
        <v>2</v>
      </c>
      <c r="BQ101" s="185" t="s">
        <v>1</v>
      </c>
      <c r="BR101" s="185" t="s">
        <v>3</v>
      </c>
      <c r="BS101" s="185" t="s">
        <v>3</v>
      </c>
      <c r="BT101" s="185" t="s">
        <v>2</v>
      </c>
      <c r="BU101" s="185" t="s">
        <v>2</v>
      </c>
      <c r="BV101" s="185" t="s">
        <v>2</v>
      </c>
      <c r="BW101" s="185" t="s">
        <v>2</v>
      </c>
      <c r="BX101" s="185" t="s">
        <v>3</v>
      </c>
      <c r="BY101" s="185" t="s">
        <v>3</v>
      </c>
      <c r="BZ101" s="185" t="s">
        <v>3</v>
      </c>
      <c r="CA101" s="185" t="s">
        <v>2</v>
      </c>
      <c r="CB101" s="185" t="s">
        <v>2</v>
      </c>
      <c r="CC101" s="185" t="s">
        <v>2</v>
      </c>
      <c r="CD101" s="185" t="s">
        <v>1</v>
      </c>
      <c r="CE101" s="185" t="s">
        <v>1092</v>
      </c>
      <c r="CF101" s="185" t="s">
        <v>2</v>
      </c>
      <c r="CG101" s="185" t="s">
        <v>2</v>
      </c>
      <c r="CH101" s="185" t="s">
        <v>1092</v>
      </c>
      <c r="CI101" s="185" t="s">
        <v>3</v>
      </c>
      <c r="CJ101" s="185" t="s">
        <v>3</v>
      </c>
      <c r="CK101" s="185" t="s">
        <v>3</v>
      </c>
      <c r="CL101" s="185" t="s">
        <v>1</v>
      </c>
      <c r="CM101" s="185" t="s">
        <v>2</v>
      </c>
      <c r="CN101" s="185" t="s">
        <v>1</v>
      </c>
      <c r="CO101" s="185" t="s">
        <v>2</v>
      </c>
      <c r="CP101" s="185" t="s">
        <v>3</v>
      </c>
      <c r="CQ101" s="185" t="s">
        <v>3</v>
      </c>
      <c r="CR101" s="185" t="s">
        <v>2</v>
      </c>
      <c r="CS101" s="185" t="s">
        <v>3</v>
      </c>
      <c r="CT101" s="185" t="s">
        <v>1092</v>
      </c>
      <c r="CU101" s="185" t="s">
        <v>3</v>
      </c>
      <c r="CV101" s="185" t="s">
        <v>1</v>
      </c>
      <c r="CW101" s="185" t="s">
        <v>2</v>
      </c>
      <c r="CX101" s="186"/>
      <c r="CY101" s="185">
        <v>20162372127</v>
      </c>
    </row>
    <row r="102" spans="1:103" ht="12.75" x14ac:dyDescent="0.2">
      <c r="A102" s="184">
        <v>42878.795950405096</v>
      </c>
      <c r="B102" s="185" t="s">
        <v>2351</v>
      </c>
      <c r="C102" s="185" t="s">
        <v>2271</v>
      </c>
      <c r="D102" s="185">
        <v>1</v>
      </c>
      <c r="E102" s="185" t="s">
        <v>3</v>
      </c>
      <c r="F102" s="185" t="s">
        <v>1092</v>
      </c>
      <c r="G102" s="185" t="s">
        <v>1092</v>
      </c>
      <c r="H102" s="185" t="s">
        <v>1092</v>
      </c>
      <c r="I102" s="185" t="s">
        <v>1093</v>
      </c>
      <c r="J102" s="185" t="s">
        <v>1093</v>
      </c>
      <c r="K102" s="185" t="s">
        <v>3</v>
      </c>
      <c r="L102" s="185" t="s">
        <v>3</v>
      </c>
      <c r="M102" s="185" t="s">
        <v>2</v>
      </c>
      <c r="N102" s="185" t="s">
        <v>3</v>
      </c>
      <c r="O102" s="185" t="s">
        <v>5</v>
      </c>
      <c r="P102" s="185" t="s">
        <v>1093</v>
      </c>
      <c r="Q102" s="185" t="s">
        <v>2</v>
      </c>
      <c r="R102" s="185" t="s">
        <v>2</v>
      </c>
      <c r="S102" s="185" t="s">
        <v>2</v>
      </c>
      <c r="T102" s="185" t="s">
        <v>1093</v>
      </c>
      <c r="U102" s="185" t="s">
        <v>1093</v>
      </c>
      <c r="V102" s="185" t="s">
        <v>1092</v>
      </c>
      <c r="W102" s="185" t="s">
        <v>1</v>
      </c>
      <c r="X102" s="185" t="s">
        <v>1092</v>
      </c>
      <c r="Y102" s="185" t="s">
        <v>3</v>
      </c>
      <c r="Z102" s="185" t="s">
        <v>1092</v>
      </c>
      <c r="AA102" s="185" t="s">
        <v>3</v>
      </c>
      <c r="AB102" s="185" t="s">
        <v>1093</v>
      </c>
      <c r="AC102" s="185" t="s">
        <v>1093</v>
      </c>
      <c r="AD102" s="185" t="s">
        <v>1093</v>
      </c>
      <c r="AE102" s="185" t="s">
        <v>2</v>
      </c>
      <c r="AF102" s="185" t="s">
        <v>1</v>
      </c>
      <c r="AG102" s="185" t="s">
        <v>2</v>
      </c>
      <c r="AH102" s="185" t="s">
        <v>1093</v>
      </c>
      <c r="AI102" s="185" t="s">
        <v>1093</v>
      </c>
      <c r="AJ102" s="185" t="s">
        <v>1093</v>
      </c>
      <c r="AK102" s="185" t="s">
        <v>1093</v>
      </c>
      <c r="AL102" s="185" t="s">
        <v>1</v>
      </c>
      <c r="AM102" s="185" t="s">
        <v>1</v>
      </c>
      <c r="AN102" s="185" t="s">
        <v>3</v>
      </c>
      <c r="AO102" s="185" t="s">
        <v>1</v>
      </c>
      <c r="AP102" s="185" t="s">
        <v>1093</v>
      </c>
      <c r="AQ102" s="185" t="s">
        <v>2</v>
      </c>
      <c r="AR102" s="185" t="s">
        <v>1092</v>
      </c>
      <c r="AS102" s="185" t="s">
        <v>3</v>
      </c>
      <c r="AT102" s="185" t="s">
        <v>1092</v>
      </c>
      <c r="AU102" s="185" t="s">
        <v>3</v>
      </c>
      <c r="AV102" s="185" t="s">
        <v>3</v>
      </c>
      <c r="AW102" s="185" t="s">
        <v>3</v>
      </c>
      <c r="AX102" s="185" t="s">
        <v>3</v>
      </c>
      <c r="AY102" s="185" t="s">
        <v>3</v>
      </c>
      <c r="AZ102" s="185" t="s">
        <v>1093</v>
      </c>
      <c r="BA102" s="185" t="s">
        <v>1093</v>
      </c>
      <c r="BB102" s="185" t="s">
        <v>1092</v>
      </c>
      <c r="BC102" s="185" t="s">
        <v>1093</v>
      </c>
      <c r="BD102" s="185" t="s">
        <v>1093</v>
      </c>
      <c r="BE102" s="185" t="s">
        <v>3</v>
      </c>
      <c r="BF102" s="185" t="s">
        <v>3</v>
      </c>
      <c r="BG102" s="185" t="s">
        <v>3</v>
      </c>
      <c r="BH102" s="185" t="s">
        <v>2</v>
      </c>
      <c r="BI102" s="185" t="s">
        <v>3</v>
      </c>
      <c r="BJ102" s="185" t="s">
        <v>3</v>
      </c>
      <c r="BK102" s="185" t="s">
        <v>1093</v>
      </c>
      <c r="BL102" s="185" t="s">
        <v>3</v>
      </c>
      <c r="BM102" s="185" t="s">
        <v>3</v>
      </c>
      <c r="BN102" s="185" t="s">
        <v>3</v>
      </c>
      <c r="BO102" s="185" t="s">
        <v>3</v>
      </c>
      <c r="BP102" s="185" t="s">
        <v>3</v>
      </c>
      <c r="BQ102" s="185" t="s">
        <v>2</v>
      </c>
      <c r="BR102" s="185" t="s">
        <v>1093</v>
      </c>
      <c r="BS102" s="185" t="s">
        <v>2</v>
      </c>
      <c r="BT102" s="185" t="s">
        <v>1</v>
      </c>
      <c r="BU102" s="185" t="s">
        <v>1</v>
      </c>
      <c r="BV102" s="185" t="s">
        <v>1</v>
      </c>
      <c r="BW102" s="185" t="s">
        <v>2</v>
      </c>
      <c r="BX102" s="185" t="s">
        <v>1093</v>
      </c>
      <c r="BY102" s="185" t="s">
        <v>1093</v>
      </c>
      <c r="BZ102" s="185" t="s">
        <v>1</v>
      </c>
      <c r="CA102" s="185" t="s">
        <v>1093</v>
      </c>
      <c r="CB102" s="185" t="s">
        <v>1093</v>
      </c>
      <c r="CC102" s="185" t="s">
        <v>1093</v>
      </c>
      <c r="CD102" s="185" t="s">
        <v>1093</v>
      </c>
      <c r="CE102" s="185" t="s">
        <v>1</v>
      </c>
      <c r="CF102" s="185" t="s">
        <v>1093</v>
      </c>
      <c r="CG102" s="185" t="s">
        <v>1093</v>
      </c>
      <c r="CH102" s="185" t="s">
        <v>2</v>
      </c>
      <c r="CI102" s="185" t="s">
        <v>1093</v>
      </c>
      <c r="CJ102" s="185" t="s">
        <v>1093</v>
      </c>
      <c r="CK102" s="185" t="s">
        <v>1093</v>
      </c>
      <c r="CL102" s="185" t="s">
        <v>1093</v>
      </c>
      <c r="CM102" s="185" t="s">
        <v>1093</v>
      </c>
      <c r="CN102" s="185" t="s">
        <v>1093</v>
      </c>
      <c r="CO102" s="185" t="s">
        <v>2</v>
      </c>
      <c r="CP102" s="185" t="s">
        <v>1</v>
      </c>
      <c r="CQ102" s="185" t="s">
        <v>1</v>
      </c>
      <c r="CR102" s="185" t="s">
        <v>1</v>
      </c>
      <c r="CS102" s="185" t="s">
        <v>2</v>
      </c>
      <c r="CT102" s="185" t="s">
        <v>2</v>
      </c>
      <c r="CU102" s="185" t="s">
        <v>3</v>
      </c>
      <c r="CV102" s="185" t="s">
        <v>3</v>
      </c>
      <c r="CW102" s="185" t="s">
        <v>3</v>
      </c>
      <c r="CX102" s="185" t="s">
        <v>2352</v>
      </c>
      <c r="CY102" s="185">
        <v>20171372025</v>
      </c>
    </row>
    <row r="103" spans="1:103" ht="12.75" x14ac:dyDescent="0.2">
      <c r="A103" s="184">
        <v>42878.799918217592</v>
      </c>
      <c r="B103" s="185" t="s">
        <v>2353</v>
      </c>
      <c r="C103" s="185" t="s">
        <v>2271</v>
      </c>
      <c r="D103" s="185">
        <v>1</v>
      </c>
      <c r="E103" s="185" t="s">
        <v>1092</v>
      </c>
      <c r="F103" s="185" t="s">
        <v>1092</v>
      </c>
      <c r="G103" s="185" t="s">
        <v>3</v>
      </c>
      <c r="H103" s="185" t="s">
        <v>1093</v>
      </c>
      <c r="I103" s="185" t="s">
        <v>1092</v>
      </c>
      <c r="J103" s="185" t="s">
        <v>1093</v>
      </c>
      <c r="K103" s="185" t="s">
        <v>1092</v>
      </c>
      <c r="L103" s="185" t="s">
        <v>1092</v>
      </c>
      <c r="M103" s="185" t="s">
        <v>1092</v>
      </c>
      <c r="N103" s="185" t="s">
        <v>2</v>
      </c>
      <c r="O103" s="185" t="s">
        <v>1092</v>
      </c>
      <c r="P103" s="185" t="s">
        <v>2</v>
      </c>
      <c r="Q103" s="185" t="s">
        <v>1093</v>
      </c>
      <c r="R103" s="185" t="s">
        <v>1</v>
      </c>
      <c r="S103" s="185" t="s">
        <v>3</v>
      </c>
      <c r="T103" s="185" t="s">
        <v>3</v>
      </c>
      <c r="U103" s="185" t="s">
        <v>1093</v>
      </c>
      <c r="V103" s="185" t="s">
        <v>1092</v>
      </c>
      <c r="W103" s="185" t="s">
        <v>3</v>
      </c>
      <c r="X103" s="185" t="s">
        <v>1092</v>
      </c>
      <c r="Y103" s="185" t="s">
        <v>2</v>
      </c>
      <c r="Z103" s="185" t="s">
        <v>3</v>
      </c>
      <c r="AA103" s="185" t="s">
        <v>1092</v>
      </c>
      <c r="AB103" s="185" t="s">
        <v>1092</v>
      </c>
      <c r="AC103" s="185" t="s">
        <v>1092</v>
      </c>
      <c r="AD103" s="185" t="s">
        <v>3</v>
      </c>
      <c r="AE103" s="185" t="s">
        <v>5</v>
      </c>
      <c r="AF103" s="185" t="s">
        <v>1092</v>
      </c>
      <c r="AG103" s="185" t="s">
        <v>5</v>
      </c>
      <c r="AH103" s="185" t="s">
        <v>1093</v>
      </c>
      <c r="AI103" s="185" t="s">
        <v>5</v>
      </c>
      <c r="AJ103" s="185" t="s">
        <v>3</v>
      </c>
      <c r="AK103" s="185" t="s">
        <v>1092</v>
      </c>
      <c r="AL103" s="185" t="s">
        <v>3</v>
      </c>
      <c r="AM103" s="185" t="s">
        <v>3</v>
      </c>
      <c r="AN103" s="185" t="s">
        <v>1092</v>
      </c>
      <c r="AO103" s="185" t="s">
        <v>1092</v>
      </c>
      <c r="AP103" s="185" t="s">
        <v>1092</v>
      </c>
      <c r="AQ103" s="185" t="s">
        <v>1092</v>
      </c>
      <c r="AR103" s="185" t="s">
        <v>3</v>
      </c>
      <c r="AS103" s="185" t="s">
        <v>5</v>
      </c>
      <c r="AT103" s="185" t="s">
        <v>1092</v>
      </c>
      <c r="AU103" s="185" t="s">
        <v>1093</v>
      </c>
      <c r="AV103" s="185" t="s">
        <v>1092</v>
      </c>
      <c r="AW103" s="185" t="s">
        <v>2</v>
      </c>
      <c r="AX103" s="185" t="s">
        <v>1092</v>
      </c>
      <c r="AY103" s="185" t="s">
        <v>1092</v>
      </c>
      <c r="AZ103" s="185" t="s">
        <v>5</v>
      </c>
      <c r="BA103" s="185" t="s">
        <v>5</v>
      </c>
      <c r="BB103" s="185" t="s">
        <v>1092</v>
      </c>
      <c r="BC103" s="185" t="s">
        <v>1093</v>
      </c>
      <c r="BD103" s="185" t="s">
        <v>1093</v>
      </c>
      <c r="BE103" s="185" t="s">
        <v>5</v>
      </c>
      <c r="BF103" s="185" t="s">
        <v>3</v>
      </c>
      <c r="BG103" s="185" t="s">
        <v>1092</v>
      </c>
      <c r="BH103" s="185" t="s">
        <v>5</v>
      </c>
      <c r="BI103" s="185" t="s">
        <v>2</v>
      </c>
      <c r="BJ103" s="185" t="s">
        <v>1092</v>
      </c>
      <c r="BK103" s="185" t="s">
        <v>1092</v>
      </c>
      <c r="BL103" s="185" t="s">
        <v>1092</v>
      </c>
      <c r="BM103" s="185" t="s">
        <v>2</v>
      </c>
      <c r="BN103" s="185" t="s">
        <v>2</v>
      </c>
      <c r="BO103" s="185" t="s">
        <v>2</v>
      </c>
      <c r="BP103" s="185" t="s">
        <v>1092</v>
      </c>
      <c r="BQ103" s="185" t="s">
        <v>2</v>
      </c>
      <c r="BR103" s="185" t="s">
        <v>1092</v>
      </c>
      <c r="BS103" s="185" t="s">
        <v>5</v>
      </c>
      <c r="BT103" s="185" t="s">
        <v>2</v>
      </c>
      <c r="BU103" s="185" t="s">
        <v>2</v>
      </c>
      <c r="BV103" s="185" t="s">
        <v>2</v>
      </c>
      <c r="BW103" s="185" t="s">
        <v>1092</v>
      </c>
      <c r="BX103" s="185" t="s">
        <v>2</v>
      </c>
      <c r="BY103" s="185" t="s">
        <v>2</v>
      </c>
      <c r="BZ103" s="185" t="s">
        <v>1093</v>
      </c>
      <c r="CA103" s="185" t="s">
        <v>3</v>
      </c>
      <c r="CB103" s="185" t="s">
        <v>3</v>
      </c>
      <c r="CC103" s="185" t="s">
        <v>3</v>
      </c>
      <c r="CD103" s="185" t="s">
        <v>3</v>
      </c>
      <c r="CE103" s="185" t="s">
        <v>1092</v>
      </c>
      <c r="CF103" s="185" t="s">
        <v>1093</v>
      </c>
      <c r="CG103" s="185" t="s">
        <v>3</v>
      </c>
      <c r="CH103" s="185" t="s">
        <v>1092</v>
      </c>
      <c r="CI103" s="185" t="s">
        <v>1092</v>
      </c>
      <c r="CJ103" s="185" t="s">
        <v>2</v>
      </c>
      <c r="CK103" s="185" t="s">
        <v>1</v>
      </c>
      <c r="CL103" s="185" t="s">
        <v>1092</v>
      </c>
      <c r="CM103" s="185" t="s">
        <v>1092</v>
      </c>
      <c r="CN103" s="185" t="s">
        <v>5</v>
      </c>
      <c r="CO103" s="185" t="s">
        <v>5</v>
      </c>
      <c r="CP103" s="185" t="s">
        <v>5</v>
      </c>
      <c r="CQ103" s="185" t="s">
        <v>3</v>
      </c>
      <c r="CR103" s="185" t="s">
        <v>3</v>
      </c>
      <c r="CS103" s="185" t="s">
        <v>1092</v>
      </c>
      <c r="CT103" s="185" t="s">
        <v>3</v>
      </c>
      <c r="CU103" s="185" t="s">
        <v>1092</v>
      </c>
      <c r="CV103" s="185" t="s">
        <v>2</v>
      </c>
      <c r="CW103" s="185" t="s">
        <v>5</v>
      </c>
      <c r="CX103" s="186"/>
      <c r="CY103" s="185">
        <v>20171372019</v>
      </c>
    </row>
    <row r="104" spans="1:103" ht="12.75" x14ac:dyDescent="0.2">
      <c r="A104" s="184">
        <v>42878.80024459491</v>
      </c>
      <c r="B104" s="185" t="s">
        <v>2354</v>
      </c>
      <c r="C104" s="185" t="s">
        <v>2271</v>
      </c>
      <c r="D104" s="185">
        <v>1</v>
      </c>
      <c r="E104" s="185" t="s">
        <v>1092</v>
      </c>
      <c r="F104" s="185" t="s">
        <v>1092</v>
      </c>
      <c r="G104" s="185" t="s">
        <v>3</v>
      </c>
      <c r="H104" s="185" t="s">
        <v>3</v>
      </c>
      <c r="I104" s="185" t="s">
        <v>2</v>
      </c>
      <c r="J104" s="185" t="s">
        <v>3</v>
      </c>
      <c r="K104" s="185" t="s">
        <v>3</v>
      </c>
      <c r="L104" s="185" t="s">
        <v>3</v>
      </c>
      <c r="M104" s="185" t="s">
        <v>2</v>
      </c>
      <c r="N104" s="185" t="s">
        <v>1</v>
      </c>
      <c r="O104" s="185" t="s">
        <v>2</v>
      </c>
      <c r="P104" s="185" t="s">
        <v>2</v>
      </c>
      <c r="Q104" s="185" t="s">
        <v>1093</v>
      </c>
      <c r="R104" s="185" t="s">
        <v>1093</v>
      </c>
      <c r="S104" s="185" t="s">
        <v>1</v>
      </c>
      <c r="T104" s="185" t="s">
        <v>1</v>
      </c>
      <c r="U104" s="185" t="s">
        <v>2</v>
      </c>
      <c r="V104" s="185" t="s">
        <v>3</v>
      </c>
      <c r="W104" s="185" t="s">
        <v>2</v>
      </c>
      <c r="X104" s="185" t="s">
        <v>3</v>
      </c>
      <c r="Y104" s="185" t="s">
        <v>3</v>
      </c>
      <c r="Z104" s="185" t="s">
        <v>3</v>
      </c>
      <c r="AA104" s="185" t="s">
        <v>3</v>
      </c>
      <c r="AB104" s="185" t="s">
        <v>1</v>
      </c>
      <c r="AC104" s="185" t="s">
        <v>1</v>
      </c>
      <c r="AD104" s="185" t="s">
        <v>3</v>
      </c>
      <c r="AE104" s="185" t="s">
        <v>1</v>
      </c>
      <c r="AF104" s="185" t="s">
        <v>1093</v>
      </c>
      <c r="AG104" s="185" t="s">
        <v>1093</v>
      </c>
      <c r="AH104" s="185" t="s">
        <v>1093</v>
      </c>
      <c r="AI104" s="185" t="s">
        <v>1</v>
      </c>
      <c r="AJ104" s="185" t="s">
        <v>1</v>
      </c>
      <c r="AK104" s="185" t="s">
        <v>2</v>
      </c>
      <c r="AL104" s="185" t="s">
        <v>2</v>
      </c>
      <c r="AM104" s="185" t="s">
        <v>2</v>
      </c>
      <c r="AN104" s="185" t="s">
        <v>3</v>
      </c>
      <c r="AO104" s="185" t="s">
        <v>2</v>
      </c>
      <c r="AP104" s="185" t="s">
        <v>1092</v>
      </c>
      <c r="AQ104" s="185" t="s">
        <v>2</v>
      </c>
      <c r="AR104" s="185" t="s">
        <v>1092</v>
      </c>
      <c r="AS104" s="185" t="s">
        <v>1092</v>
      </c>
      <c r="AT104" s="185" t="s">
        <v>1092</v>
      </c>
      <c r="AU104" s="185" t="s">
        <v>1092</v>
      </c>
      <c r="AV104" s="185" t="s">
        <v>1</v>
      </c>
      <c r="AW104" s="185" t="s">
        <v>1</v>
      </c>
      <c r="AX104" s="185" t="s">
        <v>3</v>
      </c>
      <c r="AY104" s="185" t="s">
        <v>2</v>
      </c>
      <c r="AZ104" s="185" t="s">
        <v>3</v>
      </c>
      <c r="BA104" s="185" t="s">
        <v>3</v>
      </c>
      <c r="BB104" s="185" t="s">
        <v>3</v>
      </c>
      <c r="BC104" s="185" t="s">
        <v>3</v>
      </c>
      <c r="BD104" s="185" t="s">
        <v>3</v>
      </c>
      <c r="BE104" s="185" t="s">
        <v>3</v>
      </c>
      <c r="BF104" s="185" t="s">
        <v>3</v>
      </c>
      <c r="BG104" s="185" t="s">
        <v>3</v>
      </c>
      <c r="BH104" s="185" t="s">
        <v>2</v>
      </c>
      <c r="BI104" s="185" t="s">
        <v>2</v>
      </c>
      <c r="BJ104" s="185" t="s">
        <v>2</v>
      </c>
      <c r="BK104" s="185" t="s">
        <v>1</v>
      </c>
      <c r="BL104" s="185" t="s">
        <v>3</v>
      </c>
      <c r="BM104" s="185" t="s">
        <v>1</v>
      </c>
      <c r="BN104" s="185" t="s">
        <v>1</v>
      </c>
      <c r="BO104" s="185" t="s">
        <v>1</v>
      </c>
      <c r="BP104" s="185" t="s">
        <v>2</v>
      </c>
      <c r="BQ104" s="185" t="s">
        <v>1093</v>
      </c>
      <c r="BR104" s="185" t="s">
        <v>1093</v>
      </c>
      <c r="BS104" s="185" t="s">
        <v>1</v>
      </c>
      <c r="BT104" s="185" t="s">
        <v>2</v>
      </c>
      <c r="BU104" s="185" t="s">
        <v>2</v>
      </c>
      <c r="BV104" s="185" t="s">
        <v>2</v>
      </c>
      <c r="BW104" s="185" t="s">
        <v>2</v>
      </c>
      <c r="BX104" s="185" t="s">
        <v>3</v>
      </c>
      <c r="BY104" s="185" t="s">
        <v>2</v>
      </c>
      <c r="BZ104" s="185" t="s">
        <v>2</v>
      </c>
      <c r="CA104" s="185" t="s">
        <v>2</v>
      </c>
      <c r="CB104" s="185" t="s">
        <v>2</v>
      </c>
      <c r="CC104" s="185" t="s">
        <v>2</v>
      </c>
      <c r="CD104" s="185" t="s">
        <v>3</v>
      </c>
      <c r="CE104" s="185" t="s">
        <v>3</v>
      </c>
      <c r="CF104" s="185" t="s">
        <v>1093</v>
      </c>
      <c r="CG104" s="185" t="s">
        <v>1</v>
      </c>
      <c r="CH104" s="185" t="s">
        <v>3</v>
      </c>
      <c r="CI104" s="185" t="s">
        <v>2</v>
      </c>
      <c r="CJ104" s="185" t="s">
        <v>3</v>
      </c>
      <c r="CK104" s="185" t="s">
        <v>3</v>
      </c>
      <c r="CL104" s="185" t="s">
        <v>1</v>
      </c>
      <c r="CM104" s="185" t="s">
        <v>1</v>
      </c>
      <c r="CN104" s="185" t="s">
        <v>1</v>
      </c>
      <c r="CO104" s="185" t="s">
        <v>2</v>
      </c>
      <c r="CP104" s="185" t="s">
        <v>2</v>
      </c>
      <c r="CQ104" s="185" t="s">
        <v>2</v>
      </c>
      <c r="CR104" s="185" t="s">
        <v>2</v>
      </c>
      <c r="CS104" s="185" t="s">
        <v>2</v>
      </c>
      <c r="CT104" s="185" t="s">
        <v>2</v>
      </c>
      <c r="CU104" s="185" t="s">
        <v>2</v>
      </c>
      <c r="CV104" s="185" t="s">
        <v>1</v>
      </c>
      <c r="CW104" s="185" t="s">
        <v>2</v>
      </c>
      <c r="CX104" s="186"/>
      <c r="CY104" s="185">
        <v>20171372073</v>
      </c>
    </row>
    <row r="105" spans="1:103" ht="12.75" x14ac:dyDescent="0.2">
      <c r="A105" s="184">
        <v>42878.808419895839</v>
      </c>
      <c r="B105" s="185" t="s">
        <v>2355</v>
      </c>
      <c r="C105" s="185" t="s">
        <v>2271</v>
      </c>
      <c r="D105" s="185">
        <v>7</v>
      </c>
      <c r="E105" s="185" t="s">
        <v>3</v>
      </c>
      <c r="F105" s="185" t="s">
        <v>1092</v>
      </c>
      <c r="G105" s="185" t="s">
        <v>1092</v>
      </c>
      <c r="H105" s="185" t="s">
        <v>5</v>
      </c>
      <c r="I105" s="185" t="s">
        <v>1093</v>
      </c>
      <c r="J105" s="185" t="s">
        <v>2</v>
      </c>
      <c r="K105" s="185" t="s">
        <v>1092</v>
      </c>
      <c r="L105" s="185" t="s">
        <v>1092</v>
      </c>
      <c r="M105" s="185" t="s">
        <v>1092</v>
      </c>
      <c r="N105" s="185" t="s">
        <v>1092</v>
      </c>
      <c r="O105" s="185" t="s">
        <v>1093</v>
      </c>
      <c r="P105" s="185" t="s">
        <v>1093</v>
      </c>
      <c r="Q105" s="185" t="s">
        <v>1</v>
      </c>
      <c r="R105" s="185" t="s">
        <v>1093</v>
      </c>
      <c r="S105" s="185" t="s">
        <v>1</v>
      </c>
      <c r="T105" s="185" t="s">
        <v>1093</v>
      </c>
      <c r="U105" s="185" t="s">
        <v>1</v>
      </c>
      <c r="V105" s="185" t="s">
        <v>2</v>
      </c>
      <c r="W105" s="185" t="s">
        <v>2</v>
      </c>
      <c r="X105" s="185" t="s">
        <v>3</v>
      </c>
      <c r="Y105" s="185" t="s">
        <v>3</v>
      </c>
      <c r="Z105" s="185" t="s">
        <v>3</v>
      </c>
      <c r="AA105" s="185" t="s">
        <v>3</v>
      </c>
      <c r="AB105" s="185" t="s">
        <v>2</v>
      </c>
      <c r="AC105" s="185" t="s">
        <v>1</v>
      </c>
      <c r="AD105" s="185" t="s">
        <v>2</v>
      </c>
      <c r="AE105" s="185" t="s">
        <v>2</v>
      </c>
      <c r="AF105" s="185" t="s">
        <v>2</v>
      </c>
      <c r="AG105" s="185" t="s">
        <v>1092</v>
      </c>
      <c r="AH105" s="185" t="s">
        <v>1092</v>
      </c>
      <c r="AI105" s="185" t="s">
        <v>3</v>
      </c>
      <c r="AJ105" s="185" t="s">
        <v>2</v>
      </c>
      <c r="AK105" s="185" t="s">
        <v>3</v>
      </c>
      <c r="AL105" s="185" t="s">
        <v>2</v>
      </c>
      <c r="AM105" s="185" t="s">
        <v>3</v>
      </c>
      <c r="AN105" s="185" t="s">
        <v>3</v>
      </c>
      <c r="AO105" s="185" t="s">
        <v>3</v>
      </c>
      <c r="AP105" s="185" t="s">
        <v>1092</v>
      </c>
      <c r="AQ105" s="185" t="s">
        <v>1092</v>
      </c>
      <c r="AR105" s="185" t="s">
        <v>1092</v>
      </c>
      <c r="AS105" s="185" t="s">
        <v>1092</v>
      </c>
      <c r="AT105" s="185" t="s">
        <v>1092</v>
      </c>
      <c r="AU105" s="185" t="s">
        <v>1093</v>
      </c>
      <c r="AV105" s="185" t="s">
        <v>2</v>
      </c>
      <c r="AW105" s="185" t="s">
        <v>1092</v>
      </c>
      <c r="AX105" s="185" t="s">
        <v>3</v>
      </c>
      <c r="AY105" s="185" t="s">
        <v>3</v>
      </c>
      <c r="AZ105" s="185" t="s">
        <v>1093</v>
      </c>
      <c r="BA105" s="185" t="s">
        <v>1093</v>
      </c>
      <c r="BB105" s="185" t="s">
        <v>1093</v>
      </c>
      <c r="BC105" s="185" t="s">
        <v>1093</v>
      </c>
      <c r="BD105" s="185" t="s">
        <v>1093</v>
      </c>
      <c r="BE105" s="185" t="s">
        <v>1</v>
      </c>
      <c r="BF105" s="185" t="s">
        <v>3</v>
      </c>
      <c r="BG105" s="185" t="s">
        <v>3</v>
      </c>
      <c r="BH105" s="185" t="s">
        <v>3</v>
      </c>
      <c r="BI105" s="185" t="s">
        <v>1093</v>
      </c>
      <c r="BJ105" s="185" t="s">
        <v>1093</v>
      </c>
      <c r="BK105" s="185" t="s">
        <v>1093</v>
      </c>
      <c r="BL105" s="185" t="s">
        <v>3</v>
      </c>
      <c r="BM105" s="185" t="s">
        <v>3</v>
      </c>
      <c r="BN105" s="185" t="s">
        <v>3</v>
      </c>
      <c r="BO105" s="185" t="s">
        <v>3</v>
      </c>
      <c r="BP105" s="185" t="s">
        <v>1093</v>
      </c>
      <c r="BQ105" s="185" t="s">
        <v>1093</v>
      </c>
      <c r="BR105" s="185" t="s">
        <v>1</v>
      </c>
      <c r="BS105" s="185" t="s">
        <v>1</v>
      </c>
      <c r="BT105" s="185" t="s">
        <v>1</v>
      </c>
      <c r="BU105" s="185" t="s">
        <v>1</v>
      </c>
      <c r="BV105" s="185" t="s">
        <v>1</v>
      </c>
      <c r="BW105" s="185" t="s">
        <v>2</v>
      </c>
      <c r="BX105" s="185" t="s">
        <v>2</v>
      </c>
      <c r="BY105" s="185" t="s">
        <v>2</v>
      </c>
      <c r="BZ105" s="185" t="s">
        <v>1093</v>
      </c>
      <c r="CA105" s="185" t="s">
        <v>3</v>
      </c>
      <c r="CB105" s="185" t="s">
        <v>2</v>
      </c>
      <c r="CC105" s="185" t="s">
        <v>2</v>
      </c>
      <c r="CD105" s="185" t="s">
        <v>1</v>
      </c>
      <c r="CE105" s="185" t="s">
        <v>2</v>
      </c>
      <c r="CF105" s="185" t="s">
        <v>1093</v>
      </c>
      <c r="CG105" s="185" t="s">
        <v>1</v>
      </c>
      <c r="CH105" s="185" t="s">
        <v>2</v>
      </c>
      <c r="CI105" s="185" t="s">
        <v>2</v>
      </c>
      <c r="CJ105" s="185" t="s">
        <v>2</v>
      </c>
      <c r="CK105" s="185" t="s">
        <v>2</v>
      </c>
      <c r="CL105" s="185" t="s">
        <v>1093</v>
      </c>
      <c r="CM105" s="185" t="s">
        <v>1093</v>
      </c>
      <c r="CN105" s="185" t="s">
        <v>1093</v>
      </c>
      <c r="CO105" s="185" t="s">
        <v>2</v>
      </c>
      <c r="CP105" s="185" t="s">
        <v>2</v>
      </c>
      <c r="CQ105" s="185" t="s">
        <v>2</v>
      </c>
      <c r="CR105" s="185" t="s">
        <v>2</v>
      </c>
      <c r="CS105" s="185" t="s">
        <v>2</v>
      </c>
      <c r="CT105" s="185" t="s">
        <v>2</v>
      </c>
      <c r="CU105" s="185" t="s">
        <v>2</v>
      </c>
      <c r="CV105" s="185" t="s">
        <v>2</v>
      </c>
      <c r="CW105" s="185" t="s">
        <v>2</v>
      </c>
      <c r="CX105" s="186"/>
      <c r="CY105" s="185">
        <v>20141372121</v>
      </c>
    </row>
    <row r="106" spans="1:103" ht="12.75" x14ac:dyDescent="0.2">
      <c r="A106" s="184">
        <v>42878.813779398144</v>
      </c>
      <c r="B106" s="185" t="s">
        <v>2356</v>
      </c>
      <c r="C106" s="185" t="s">
        <v>2271</v>
      </c>
      <c r="D106" s="185">
        <v>1</v>
      </c>
      <c r="E106" s="185" t="s">
        <v>2</v>
      </c>
      <c r="F106" s="185" t="s">
        <v>1092</v>
      </c>
      <c r="G106" s="185" t="s">
        <v>1092</v>
      </c>
      <c r="H106" s="185" t="s">
        <v>5</v>
      </c>
      <c r="I106" s="185" t="s">
        <v>1093</v>
      </c>
      <c r="J106" s="185" t="s">
        <v>2</v>
      </c>
      <c r="K106" s="185" t="s">
        <v>1092</v>
      </c>
      <c r="L106" s="185" t="s">
        <v>2</v>
      </c>
      <c r="M106" s="185" t="s">
        <v>3</v>
      </c>
      <c r="N106" s="185" t="s">
        <v>3</v>
      </c>
      <c r="O106" s="185" t="s">
        <v>2</v>
      </c>
      <c r="P106" s="185" t="s">
        <v>1093</v>
      </c>
      <c r="Q106" s="185" t="s">
        <v>1093</v>
      </c>
      <c r="R106" s="185" t="s">
        <v>2</v>
      </c>
      <c r="S106" s="185" t="s">
        <v>1092</v>
      </c>
      <c r="T106" s="185" t="s">
        <v>1093</v>
      </c>
      <c r="U106" s="185" t="s">
        <v>3</v>
      </c>
      <c r="V106" s="185" t="s">
        <v>1092</v>
      </c>
      <c r="W106" s="185" t="s">
        <v>1</v>
      </c>
      <c r="X106" s="185" t="s">
        <v>1092</v>
      </c>
      <c r="Y106" s="185" t="s">
        <v>1092</v>
      </c>
      <c r="Z106" s="185" t="s">
        <v>1092</v>
      </c>
      <c r="AA106" s="185" t="s">
        <v>1092</v>
      </c>
      <c r="AB106" s="185" t="s">
        <v>2</v>
      </c>
      <c r="AC106" s="185" t="s">
        <v>1092</v>
      </c>
      <c r="AD106" s="185" t="s">
        <v>1092</v>
      </c>
      <c r="AE106" s="185" t="s">
        <v>2</v>
      </c>
      <c r="AF106" s="185" t="s">
        <v>1092</v>
      </c>
      <c r="AG106" s="185" t="s">
        <v>1093</v>
      </c>
      <c r="AH106" s="185" t="s">
        <v>1092</v>
      </c>
      <c r="AI106" s="185" t="s">
        <v>1093</v>
      </c>
      <c r="AJ106" s="185" t="s">
        <v>3</v>
      </c>
      <c r="AK106" s="185" t="s">
        <v>1092</v>
      </c>
      <c r="AL106" s="185" t="s">
        <v>1092</v>
      </c>
      <c r="AM106" s="185" t="s">
        <v>1092</v>
      </c>
      <c r="AN106" s="185" t="s">
        <v>2</v>
      </c>
      <c r="AO106" s="185" t="s">
        <v>3</v>
      </c>
      <c r="AP106" s="185" t="s">
        <v>2</v>
      </c>
      <c r="AQ106" s="185" t="s">
        <v>1092</v>
      </c>
      <c r="AR106" s="185" t="s">
        <v>1092</v>
      </c>
      <c r="AS106" s="185" t="s">
        <v>1092</v>
      </c>
      <c r="AT106" s="185" t="s">
        <v>1092</v>
      </c>
      <c r="AU106" s="185" t="s">
        <v>1092</v>
      </c>
      <c r="AV106" s="185" t="s">
        <v>2</v>
      </c>
      <c r="AW106" s="185" t="s">
        <v>1092</v>
      </c>
      <c r="AX106" s="185" t="s">
        <v>1092</v>
      </c>
      <c r="AY106" s="185" t="s">
        <v>2</v>
      </c>
      <c r="AZ106" s="185" t="s">
        <v>1092</v>
      </c>
      <c r="BA106" s="185" t="s">
        <v>2</v>
      </c>
      <c r="BB106" s="185" t="s">
        <v>1092</v>
      </c>
      <c r="BC106" s="185" t="s">
        <v>1093</v>
      </c>
      <c r="BD106" s="185" t="s">
        <v>1093</v>
      </c>
      <c r="BE106" s="185" t="s">
        <v>3</v>
      </c>
      <c r="BF106" s="185" t="s">
        <v>1093</v>
      </c>
      <c r="BG106" s="185" t="s">
        <v>1093</v>
      </c>
      <c r="BH106" s="185" t="s">
        <v>1093</v>
      </c>
      <c r="BI106" s="185" t="s">
        <v>1</v>
      </c>
      <c r="BJ106" s="185" t="s">
        <v>1092</v>
      </c>
      <c r="BK106" s="185" t="s">
        <v>1092</v>
      </c>
      <c r="BL106" s="185" t="s">
        <v>1092</v>
      </c>
      <c r="BM106" s="185" t="s">
        <v>1093</v>
      </c>
      <c r="BN106" s="185" t="s">
        <v>5</v>
      </c>
      <c r="BO106" s="185" t="s">
        <v>1093</v>
      </c>
      <c r="BP106" s="185" t="s">
        <v>1092</v>
      </c>
      <c r="BQ106" s="185" t="s">
        <v>1092</v>
      </c>
      <c r="BR106" s="185" t="s">
        <v>1092</v>
      </c>
      <c r="BS106" s="185" t="s">
        <v>2</v>
      </c>
      <c r="BT106" s="185" t="s">
        <v>1092</v>
      </c>
      <c r="BU106" s="185" t="s">
        <v>2</v>
      </c>
      <c r="BV106" s="185" t="s">
        <v>1092</v>
      </c>
      <c r="BW106" s="185" t="s">
        <v>1092</v>
      </c>
      <c r="BX106" s="185" t="s">
        <v>1093</v>
      </c>
      <c r="BY106" s="185" t="s">
        <v>5</v>
      </c>
      <c r="BZ106" s="185" t="s">
        <v>1093</v>
      </c>
      <c r="CA106" s="185" t="s">
        <v>1092</v>
      </c>
      <c r="CB106" s="185" t="s">
        <v>1093</v>
      </c>
      <c r="CC106" s="185" t="s">
        <v>2</v>
      </c>
      <c r="CD106" s="185" t="s">
        <v>1092</v>
      </c>
      <c r="CE106" s="185" t="s">
        <v>1092</v>
      </c>
      <c r="CF106" s="185" t="s">
        <v>1093</v>
      </c>
      <c r="CG106" s="185" t="s">
        <v>1093</v>
      </c>
      <c r="CH106" s="185" t="s">
        <v>1092</v>
      </c>
      <c r="CI106" s="185" t="s">
        <v>2</v>
      </c>
      <c r="CJ106" s="185" t="s">
        <v>1092</v>
      </c>
      <c r="CK106" s="185" t="s">
        <v>2</v>
      </c>
      <c r="CL106" s="185" t="s">
        <v>1093</v>
      </c>
      <c r="CM106" s="185" t="s">
        <v>1093</v>
      </c>
      <c r="CN106" s="185" t="s">
        <v>5</v>
      </c>
      <c r="CO106" s="185" t="s">
        <v>5</v>
      </c>
      <c r="CP106" s="185" t="s">
        <v>1093</v>
      </c>
      <c r="CQ106" s="185" t="s">
        <v>1092</v>
      </c>
      <c r="CR106" s="185" t="s">
        <v>1093</v>
      </c>
      <c r="CS106" s="185" t="s">
        <v>1092</v>
      </c>
      <c r="CT106" s="185" t="s">
        <v>1092</v>
      </c>
      <c r="CU106" s="185" t="s">
        <v>1092</v>
      </c>
      <c r="CV106" s="185" t="s">
        <v>1093</v>
      </c>
      <c r="CW106" s="185" t="s">
        <v>1092</v>
      </c>
      <c r="CX106" s="185" t="s">
        <v>2357</v>
      </c>
      <c r="CY106" s="185">
        <v>20091372008</v>
      </c>
    </row>
    <row r="107" spans="1:103" ht="12.75" x14ac:dyDescent="0.2">
      <c r="A107" s="184">
        <v>42878.818981331016</v>
      </c>
      <c r="B107" s="185" t="s">
        <v>2358</v>
      </c>
      <c r="C107" s="185" t="s">
        <v>2271</v>
      </c>
      <c r="D107" s="185">
        <v>7</v>
      </c>
      <c r="E107" s="185" t="s">
        <v>3</v>
      </c>
      <c r="F107" s="185" t="s">
        <v>3</v>
      </c>
      <c r="G107" s="185" t="s">
        <v>1092</v>
      </c>
      <c r="H107" s="185" t="s">
        <v>3</v>
      </c>
      <c r="I107" s="185" t="s">
        <v>3</v>
      </c>
      <c r="J107" s="185" t="s">
        <v>2</v>
      </c>
      <c r="K107" s="185" t="s">
        <v>3</v>
      </c>
      <c r="L107" s="185" t="s">
        <v>3</v>
      </c>
      <c r="M107" s="185" t="s">
        <v>2</v>
      </c>
      <c r="N107" s="185" t="s">
        <v>2</v>
      </c>
      <c r="O107" s="185" t="s">
        <v>2</v>
      </c>
      <c r="P107" s="185" t="s">
        <v>1</v>
      </c>
      <c r="Q107" s="185" t="s">
        <v>1</v>
      </c>
      <c r="R107" s="185" t="s">
        <v>1</v>
      </c>
      <c r="S107" s="185" t="s">
        <v>3</v>
      </c>
      <c r="T107" s="185" t="s">
        <v>1</v>
      </c>
      <c r="U107" s="185" t="s">
        <v>1</v>
      </c>
      <c r="V107" s="185" t="s">
        <v>1</v>
      </c>
      <c r="W107" s="185" t="s">
        <v>2</v>
      </c>
      <c r="X107" s="185" t="s">
        <v>2</v>
      </c>
      <c r="Y107" s="185" t="s">
        <v>1</v>
      </c>
      <c r="Z107" s="185" t="s">
        <v>1</v>
      </c>
      <c r="AA107" s="185" t="s">
        <v>2</v>
      </c>
      <c r="AB107" s="185" t="s">
        <v>1093</v>
      </c>
      <c r="AC107" s="185" t="s">
        <v>1093</v>
      </c>
      <c r="AD107" s="185" t="s">
        <v>1</v>
      </c>
      <c r="AE107" s="185" t="s">
        <v>1</v>
      </c>
      <c r="AF107" s="185" t="s">
        <v>1093</v>
      </c>
      <c r="AG107" s="185" t="s">
        <v>1093</v>
      </c>
      <c r="AH107" s="185" t="s">
        <v>1093</v>
      </c>
      <c r="AI107" s="185" t="s">
        <v>1</v>
      </c>
      <c r="AJ107" s="185" t="s">
        <v>1</v>
      </c>
      <c r="AK107" s="185" t="s">
        <v>1</v>
      </c>
      <c r="AL107" s="185" t="s">
        <v>1</v>
      </c>
      <c r="AM107" s="185" t="s">
        <v>1</v>
      </c>
      <c r="AN107" s="185" t="s">
        <v>1093</v>
      </c>
      <c r="AO107" s="185" t="s">
        <v>1093</v>
      </c>
      <c r="AP107" s="185" t="s">
        <v>3</v>
      </c>
      <c r="AQ107" s="185" t="s">
        <v>3</v>
      </c>
      <c r="AR107" s="185" t="s">
        <v>3</v>
      </c>
      <c r="AS107" s="185" t="s">
        <v>1093</v>
      </c>
      <c r="AT107" s="185" t="s">
        <v>1092</v>
      </c>
      <c r="AU107" s="185" t="s">
        <v>3</v>
      </c>
      <c r="AV107" s="185" t="s">
        <v>2</v>
      </c>
      <c r="AW107" s="185" t="s">
        <v>1</v>
      </c>
      <c r="AX107" s="185" t="s">
        <v>1</v>
      </c>
      <c r="AY107" s="185" t="s">
        <v>2</v>
      </c>
      <c r="AZ107" s="185" t="s">
        <v>1</v>
      </c>
      <c r="BA107" s="185" t="s">
        <v>2</v>
      </c>
      <c r="BB107" s="185" t="s">
        <v>3</v>
      </c>
      <c r="BC107" s="185" t="s">
        <v>1</v>
      </c>
      <c r="BD107" s="185" t="s">
        <v>1093</v>
      </c>
      <c r="BE107" s="185" t="s">
        <v>1092</v>
      </c>
      <c r="BF107" s="185" t="s">
        <v>2</v>
      </c>
      <c r="BG107" s="185" t="s">
        <v>2</v>
      </c>
      <c r="BH107" s="185" t="s">
        <v>2</v>
      </c>
      <c r="BI107" s="185" t="s">
        <v>2</v>
      </c>
      <c r="BJ107" s="185" t="s">
        <v>1</v>
      </c>
      <c r="BK107" s="185" t="s">
        <v>1</v>
      </c>
      <c r="BL107" s="185" t="s">
        <v>1</v>
      </c>
      <c r="BM107" s="185" t="s">
        <v>1</v>
      </c>
      <c r="BN107" s="185" t="s">
        <v>1</v>
      </c>
      <c r="BO107" s="185" t="s">
        <v>2</v>
      </c>
      <c r="BP107" s="185" t="s">
        <v>2</v>
      </c>
      <c r="BQ107" s="185" t="s">
        <v>1</v>
      </c>
      <c r="BR107" s="185" t="s">
        <v>2</v>
      </c>
      <c r="BS107" s="185" t="s">
        <v>1</v>
      </c>
      <c r="BT107" s="185" t="s">
        <v>1</v>
      </c>
      <c r="BU107" s="185" t="s">
        <v>1</v>
      </c>
      <c r="BV107" s="185" t="s">
        <v>1</v>
      </c>
      <c r="BW107" s="185" t="s">
        <v>1</v>
      </c>
      <c r="BX107" s="185" t="s">
        <v>1</v>
      </c>
      <c r="BY107" s="185" t="s">
        <v>1</v>
      </c>
      <c r="BZ107" s="185" t="s">
        <v>1</v>
      </c>
      <c r="CA107" s="185" t="s">
        <v>1</v>
      </c>
      <c r="CB107" s="185" t="s">
        <v>2</v>
      </c>
      <c r="CC107" s="185" t="s">
        <v>2</v>
      </c>
      <c r="CD107" s="185" t="s">
        <v>1</v>
      </c>
      <c r="CE107" s="185" t="s">
        <v>3</v>
      </c>
      <c r="CF107" s="185" t="s">
        <v>1</v>
      </c>
      <c r="CG107" s="185" t="s">
        <v>1</v>
      </c>
      <c r="CH107" s="185" t="s">
        <v>2</v>
      </c>
      <c r="CI107" s="185" t="s">
        <v>2</v>
      </c>
      <c r="CJ107" s="185" t="s">
        <v>1</v>
      </c>
      <c r="CK107" s="185" t="s">
        <v>1</v>
      </c>
      <c r="CL107" s="185" t="s">
        <v>2</v>
      </c>
      <c r="CM107" s="185" t="s">
        <v>1093</v>
      </c>
      <c r="CN107" s="185" t="s">
        <v>1093</v>
      </c>
      <c r="CO107" s="185" t="s">
        <v>2</v>
      </c>
      <c r="CP107" s="185" t="s">
        <v>1</v>
      </c>
      <c r="CQ107" s="185" t="s">
        <v>1</v>
      </c>
      <c r="CR107" s="185" t="s">
        <v>1</v>
      </c>
      <c r="CS107" s="185" t="s">
        <v>1</v>
      </c>
      <c r="CT107" s="185" t="s">
        <v>1093</v>
      </c>
      <c r="CU107" s="185" t="s">
        <v>1</v>
      </c>
      <c r="CV107" s="185" t="s">
        <v>1</v>
      </c>
      <c r="CW107" s="185" t="s">
        <v>2</v>
      </c>
      <c r="CX107" s="186"/>
      <c r="CY107" s="185">
        <v>20141372086</v>
      </c>
    </row>
    <row r="108" spans="1:103" ht="12.75" x14ac:dyDescent="0.2">
      <c r="A108" s="184">
        <v>42878.820681319441</v>
      </c>
      <c r="B108" s="185" t="s">
        <v>2359</v>
      </c>
      <c r="C108" s="185" t="s">
        <v>2271</v>
      </c>
      <c r="D108" s="185">
        <v>1</v>
      </c>
      <c r="E108" s="185" t="s">
        <v>1092</v>
      </c>
      <c r="F108" s="185" t="s">
        <v>1092</v>
      </c>
      <c r="G108" s="185" t="s">
        <v>1092</v>
      </c>
      <c r="H108" s="185" t="s">
        <v>1092</v>
      </c>
      <c r="I108" s="185" t="s">
        <v>2</v>
      </c>
      <c r="J108" s="185" t="s">
        <v>3</v>
      </c>
      <c r="K108" s="185" t="s">
        <v>3</v>
      </c>
      <c r="L108" s="185" t="s">
        <v>3</v>
      </c>
      <c r="M108" s="185" t="s">
        <v>1092</v>
      </c>
      <c r="N108" s="185" t="s">
        <v>3</v>
      </c>
      <c r="O108" s="185" t="s">
        <v>3</v>
      </c>
      <c r="P108" s="185" t="s">
        <v>5</v>
      </c>
      <c r="Q108" s="185" t="s">
        <v>1</v>
      </c>
      <c r="R108" s="185" t="s">
        <v>2</v>
      </c>
      <c r="S108" s="185" t="s">
        <v>1092</v>
      </c>
      <c r="T108" s="185" t="s">
        <v>1</v>
      </c>
      <c r="U108" s="185" t="s">
        <v>1</v>
      </c>
      <c r="V108" s="185" t="s">
        <v>3</v>
      </c>
      <c r="W108" s="185" t="s">
        <v>2</v>
      </c>
      <c r="X108" s="185" t="s">
        <v>1092</v>
      </c>
      <c r="Y108" s="185" t="s">
        <v>3</v>
      </c>
      <c r="Z108" s="185" t="s">
        <v>3</v>
      </c>
      <c r="AA108" s="185" t="s">
        <v>2</v>
      </c>
      <c r="AB108" s="185" t="s">
        <v>1</v>
      </c>
      <c r="AC108" s="185" t="s">
        <v>1</v>
      </c>
      <c r="AD108" s="185" t="s">
        <v>2</v>
      </c>
      <c r="AE108" s="185" t="s">
        <v>5</v>
      </c>
      <c r="AF108" s="185" t="s">
        <v>3</v>
      </c>
      <c r="AG108" s="185" t="s">
        <v>5</v>
      </c>
      <c r="AH108" s="185" t="s">
        <v>5</v>
      </c>
      <c r="AI108" s="185" t="s">
        <v>5</v>
      </c>
      <c r="AJ108" s="185" t="s">
        <v>2</v>
      </c>
      <c r="AK108" s="185" t="s">
        <v>3</v>
      </c>
      <c r="AL108" s="185" t="s">
        <v>2</v>
      </c>
      <c r="AM108" s="185" t="s">
        <v>2</v>
      </c>
      <c r="AN108" s="185" t="s">
        <v>3</v>
      </c>
      <c r="AO108" s="185" t="s">
        <v>3</v>
      </c>
      <c r="AP108" s="185" t="s">
        <v>5</v>
      </c>
      <c r="AQ108" s="185" t="s">
        <v>5</v>
      </c>
      <c r="AR108" s="185" t="s">
        <v>3</v>
      </c>
      <c r="AS108" s="185" t="s">
        <v>3</v>
      </c>
      <c r="AT108" s="185" t="s">
        <v>1092</v>
      </c>
      <c r="AU108" s="185" t="s">
        <v>1092</v>
      </c>
      <c r="AV108" s="185" t="s">
        <v>2</v>
      </c>
      <c r="AW108" s="185" t="s">
        <v>5</v>
      </c>
      <c r="AX108" s="185" t="s">
        <v>2</v>
      </c>
      <c r="AY108" s="185" t="s">
        <v>3</v>
      </c>
      <c r="AZ108" s="185" t="s">
        <v>3</v>
      </c>
      <c r="BA108" s="185" t="s">
        <v>2</v>
      </c>
      <c r="BB108" s="185" t="s">
        <v>2</v>
      </c>
      <c r="BC108" s="185" t="s">
        <v>5</v>
      </c>
      <c r="BD108" s="185" t="s">
        <v>1</v>
      </c>
      <c r="BE108" s="185" t="s">
        <v>1</v>
      </c>
      <c r="BF108" s="185" t="s">
        <v>2</v>
      </c>
      <c r="BG108" s="185" t="s">
        <v>2</v>
      </c>
      <c r="BH108" s="185" t="s">
        <v>2</v>
      </c>
      <c r="BI108" s="185" t="s">
        <v>2</v>
      </c>
      <c r="BJ108" s="185" t="s">
        <v>2</v>
      </c>
      <c r="BK108" s="185" t="s">
        <v>2</v>
      </c>
      <c r="BL108" s="185" t="s">
        <v>3</v>
      </c>
      <c r="BM108" s="185" t="s">
        <v>1093</v>
      </c>
      <c r="BN108" s="185" t="s">
        <v>1</v>
      </c>
      <c r="BO108" s="185" t="s">
        <v>1</v>
      </c>
      <c r="BP108" s="185" t="s">
        <v>2</v>
      </c>
      <c r="BQ108" s="185" t="s">
        <v>1</v>
      </c>
      <c r="BR108" s="185" t="s">
        <v>2</v>
      </c>
      <c r="BS108" s="185" t="s">
        <v>2</v>
      </c>
      <c r="BT108" s="185" t="s">
        <v>2</v>
      </c>
      <c r="BU108" s="185" t="s">
        <v>2</v>
      </c>
      <c r="BV108" s="185" t="s">
        <v>2</v>
      </c>
      <c r="BW108" s="185" t="s">
        <v>2</v>
      </c>
      <c r="BX108" s="185" t="s">
        <v>2</v>
      </c>
      <c r="BY108" s="185" t="s">
        <v>1</v>
      </c>
      <c r="BZ108" s="185" t="s">
        <v>2</v>
      </c>
      <c r="CA108" s="185" t="s">
        <v>1</v>
      </c>
      <c r="CB108" s="185" t="s">
        <v>1</v>
      </c>
      <c r="CC108" s="185" t="s">
        <v>1</v>
      </c>
      <c r="CD108" s="185" t="s">
        <v>1</v>
      </c>
      <c r="CE108" s="185" t="s">
        <v>3</v>
      </c>
      <c r="CF108" s="185" t="s">
        <v>1093</v>
      </c>
      <c r="CG108" s="185" t="s">
        <v>1093</v>
      </c>
      <c r="CH108" s="185" t="s">
        <v>2</v>
      </c>
      <c r="CI108" s="185" t="s">
        <v>2</v>
      </c>
      <c r="CJ108" s="185" t="s">
        <v>2</v>
      </c>
      <c r="CK108" s="185" t="s">
        <v>1</v>
      </c>
      <c r="CL108" s="185" t="s">
        <v>5</v>
      </c>
      <c r="CM108" s="185" t="s">
        <v>5</v>
      </c>
      <c r="CN108" s="185" t="s">
        <v>5</v>
      </c>
      <c r="CO108" s="185" t="s">
        <v>1</v>
      </c>
      <c r="CP108" s="185" t="s">
        <v>2</v>
      </c>
      <c r="CQ108" s="185" t="s">
        <v>2</v>
      </c>
      <c r="CR108" s="185" t="s">
        <v>2</v>
      </c>
      <c r="CS108" s="185" t="s">
        <v>2</v>
      </c>
      <c r="CT108" s="185" t="s">
        <v>1</v>
      </c>
      <c r="CU108" s="185" t="s">
        <v>1</v>
      </c>
      <c r="CV108" s="185" t="s">
        <v>1093</v>
      </c>
      <c r="CW108" s="185" t="s">
        <v>2</v>
      </c>
      <c r="CX108" s="186"/>
      <c r="CY108" s="185">
        <v>20171372005</v>
      </c>
    </row>
    <row r="109" spans="1:103" ht="12.75" x14ac:dyDescent="0.2">
      <c r="A109" s="184">
        <v>42878.822227245371</v>
      </c>
      <c r="B109" s="185" t="s">
        <v>2360</v>
      </c>
      <c r="C109" s="185" t="s">
        <v>2271</v>
      </c>
      <c r="D109" s="185">
        <v>1</v>
      </c>
      <c r="E109" s="185" t="s">
        <v>3</v>
      </c>
      <c r="F109" s="185" t="s">
        <v>3</v>
      </c>
      <c r="G109" s="185" t="s">
        <v>3</v>
      </c>
      <c r="H109" s="185" t="s">
        <v>1092</v>
      </c>
      <c r="I109" s="185" t="s">
        <v>2</v>
      </c>
      <c r="J109" s="185" t="s">
        <v>2</v>
      </c>
      <c r="K109" s="185" t="s">
        <v>1092</v>
      </c>
      <c r="L109" s="185" t="s">
        <v>1092</v>
      </c>
      <c r="M109" s="185" t="s">
        <v>3</v>
      </c>
      <c r="N109" s="185" t="s">
        <v>1092</v>
      </c>
      <c r="O109" s="185" t="s">
        <v>1</v>
      </c>
      <c r="P109" s="185" t="s">
        <v>1</v>
      </c>
      <c r="Q109" s="185" t="s">
        <v>1</v>
      </c>
      <c r="R109" s="185" t="s">
        <v>2</v>
      </c>
      <c r="S109" s="185" t="s">
        <v>1</v>
      </c>
      <c r="T109" s="185" t="s">
        <v>2</v>
      </c>
      <c r="U109" s="185" t="s">
        <v>2</v>
      </c>
      <c r="V109" s="185" t="s">
        <v>2</v>
      </c>
      <c r="W109" s="185" t="s">
        <v>1</v>
      </c>
      <c r="X109" s="185" t="s">
        <v>3</v>
      </c>
      <c r="Y109" s="185" t="s">
        <v>3</v>
      </c>
      <c r="Z109" s="185" t="s">
        <v>3</v>
      </c>
      <c r="AA109" s="185" t="s">
        <v>3</v>
      </c>
      <c r="AB109" s="185" t="s">
        <v>1</v>
      </c>
      <c r="AC109" s="185" t="s">
        <v>2</v>
      </c>
      <c r="AD109" s="185" t="s">
        <v>2</v>
      </c>
      <c r="AE109" s="185" t="s">
        <v>2</v>
      </c>
      <c r="AF109" s="185" t="s">
        <v>2</v>
      </c>
      <c r="AG109" s="185" t="s">
        <v>1</v>
      </c>
      <c r="AH109" s="185" t="s">
        <v>2</v>
      </c>
      <c r="AI109" s="185" t="s">
        <v>2</v>
      </c>
      <c r="AJ109" s="185" t="s">
        <v>1</v>
      </c>
      <c r="AK109" s="185" t="s">
        <v>1092</v>
      </c>
      <c r="AL109" s="185" t="s">
        <v>2</v>
      </c>
      <c r="AM109" s="185" t="s">
        <v>3</v>
      </c>
      <c r="AN109" s="185" t="s">
        <v>1092</v>
      </c>
      <c r="AO109" s="185" t="s">
        <v>2</v>
      </c>
      <c r="AP109" s="185" t="s">
        <v>3</v>
      </c>
      <c r="AQ109" s="185" t="s">
        <v>3</v>
      </c>
      <c r="AR109" s="185" t="s">
        <v>3</v>
      </c>
      <c r="AS109" s="185" t="s">
        <v>1092</v>
      </c>
      <c r="AT109" s="185" t="s">
        <v>1092</v>
      </c>
      <c r="AU109" s="185" t="s">
        <v>3</v>
      </c>
      <c r="AV109" s="185" t="s">
        <v>2</v>
      </c>
      <c r="AW109" s="185" t="s">
        <v>3</v>
      </c>
      <c r="AX109" s="185" t="s">
        <v>3</v>
      </c>
      <c r="AY109" s="185" t="s">
        <v>3</v>
      </c>
      <c r="AZ109" s="185" t="s">
        <v>3</v>
      </c>
      <c r="BA109" s="185" t="s">
        <v>3</v>
      </c>
      <c r="BB109" s="185" t="s">
        <v>2</v>
      </c>
      <c r="BC109" s="185" t="s">
        <v>2</v>
      </c>
      <c r="BD109" s="185" t="s">
        <v>2</v>
      </c>
      <c r="BE109" s="185" t="s">
        <v>3</v>
      </c>
      <c r="BF109" s="185" t="s">
        <v>2</v>
      </c>
      <c r="BG109" s="185" t="s">
        <v>2</v>
      </c>
      <c r="BH109" s="185" t="s">
        <v>1</v>
      </c>
      <c r="BI109" s="185" t="s">
        <v>1</v>
      </c>
      <c r="BJ109" s="185" t="s">
        <v>3</v>
      </c>
      <c r="BK109" s="185" t="s">
        <v>3</v>
      </c>
      <c r="BL109" s="185" t="s">
        <v>2</v>
      </c>
      <c r="BM109" s="185" t="s">
        <v>2</v>
      </c>
      <c r="BN109" s="185" t="s">
        <v>2</v>
      </c>
      <c r="BO109" s="185" t="s">
        <v>2</v>
      </c>
      <c r="BP109" s="185" t="s">
        <v>2</v>
      </c>
      <c r="BQ109" s="185" t="s">
        <v>3</v>
      </c>
      <c r="BR109" s="185" t="s">
        <v>3</v>
      </c>
      <c r="BS109" s="185" t="s">
        <v>2</v>
      </c>
      <c r="BT109" s="185" t="s">
        <v>2</v>
      </c>
      <c r="BU109" s="185" t="s">
        <v>2</v>
      </c>
      <c r="BV109" s="185" t="s">
        <v>2</v>
      </c>
      <c r="BW109" s="185" t="s">
        <v>3</v>
      </c>
      <c r="BX109" s="185" t="s">
        <v>1</v>
      </c>
      <c r="BY109" s="185" t="s">
        <v>2</v>
      </c>
      <c r="BZ109" s="185" t="s">
        <v>1</v>
      </c>
      <c r="CA109" s="185" t="s">
        <v>1</v>
      </c>
      <c r="CB109" s="185" t="s">
        <v>1</v>
      </c>
      <c r="CC109" s="185" t="s">
        <v>2</v>
      </c>
      <c r="CD109" s="185" t="s">
        <v>1</v>
      </c>
      <c r="CE109" s="185" t="s">
        <v>3</v>
      </c>
      <c r="CF109" s="185" t="s">
        <v>1</v>
      </c>
      <c r="CG109" s="185" t="s">
        <v>1093</v>
      </c>
      <c r="CH109" s="185" t="s">
        <v>2</v>
      </c>
      <c r="CI109" s="185" t="s">
        <v>2</v>
      </c>
      <c r="CJ109" s="185" t="s">
        <v>2</v>
      </c>
      <c r="CK109" s="185" t="s">
        <v>3</v>
      </c>
      <c r="CL109" s="185" t="s">
        <v>2</v>
      </c>
      <c r="CM109" s="185" t="s">
        <v>2</v>
      </c>
      <c r="CN109" s="185" t="s">
        <v>2</v>
      </c>
      <c r="CO109" s="185" t="s">
        <v>2</v>
      </c>
      <c r="CP109" s="185" t="s">
        <v>2</v>
      </c>
      <c r="CQ109" s="185" t="s">
        <v>2</v>
      </c>
      <c r="CR109" s="185" t="s">
        <v>2</v>
      </c>
      <c r="CS109" s="185" t="s">
        <v>2</v>
      </c>
      <c r="CT109" s="185" t="s">
        <v>3</v>
      </c>
      <c r="CU109" s="185" t="s">
        <v>3</v>
      </c>
      <c r="CV109" s="185" t="s">
        <v>3</v>
      </c>
      <c r="CW109" s="185" t="s">
        <v>3</v>
      </c>
      <c r="CX109" s="186"/>
      <c r="CY109" s="185">
        <v>20171372001</v>
      </c>
    </row>
    <row r="110" spans="1:103" ht="12.75" x14ac:dyDescent="0.2">
      <c r="A110" s="184">
        <v>42878.822403321756</v>
      </c>
      <c r="B110" s="185" t="s">
        <v>2361</v>
      </c>
      <c r="C110" s="185" t="s">
        <v>2271</v>
      </c>
      <c r="D110" s="185">
        <v>1</v>
      </c>
      <c r="E110" s="185" t="s">
        <v>2</v>
      </c>
      <c r="F110" s="185" t="s">
        <v>1092</v>
      </c>
      <c r="G110" s="185" t="s">
        <v>3</v>
      </c>
      <c r="H110" s="185" t="s">
        <v>3</v>
      </c>
      <c r="I110" s="185" t="s">
        <v>1093</v>
      </c>
      <c r="J110" s="185" t="s">
        <v>1093</v>
      </c>
      <c r="K110" s="185" t="s">
        <v>3</v>
      </c>
      <c r="L110" s="185" t="s">
        <v>3</v>
      </c>
      <c r="M110" s="185" t="s">
        <v>2</v>
      </c>
      <c r="N110" s="185" t="s">
        <v>2</v>
      </c>
      <c r="O110" s="185" t="s">
        <v>1093</v>
      </c>
      <c r="P110" s="185" t="s">
        <v>1093</v>
      </c>
      <c r="Q110" s="185" t="s">
        <v>2</v>
      </c>
      <c r="R110" s="185" t="s">
        <v>2</v>
      </c>
      <c r="S110" s="185" t="s">
        <v>2</v>
      </c>
      <c r="T110" s="185" t="s">
        <v>1093</v>
      </c>
      <c r="U110" s="185" t="s">
        <v>1093</v>
      </c>
      <c r="V110" s="185" t="s">
        <v>2</v>
      </c>
      <c r="W110" s="185" t="s">
        <v>1</v>
      </c>
      <c r="X110" s="185" t="s">
        <v>2</v>
      </c>
      <c r="Y110" s="185" t="s">
        <v>2</v>
      </c>
      <c r="Z110" s="185" t="s">
        <v>2</v>
      </c>
      <c r="AA110" s="185" t="s">
        <v>1093</v>
      </c>
      <c r="AB110" s="185" t="s">
        <v>2</v>
      </c>
      <c r="AC110" s="185" t="s">
        <v>2</v>
      </c>
      <c r="AD110" s="185" t="s">
        <v>1093</v>
      </c>
      <c r="AE110" s="185" t="s">
        <v>1093</v>
      </c>
      <c r="AF110" s="185" t="s">
        <v>2</v>
      </c>
      <c r="AG110" s="185" t="s">
        <v>1093</v>
      </c>
      <c r="AH110" s="185" t="s">
        <v>2</v>
      </c>
      <c r="AI110" s="185" t="s">
        <v>2</v>
      </c>
      <c r="AJ110" s="185" t="s">
        <v>2</v>
      </c>
      <c r="AK110" s="185" t="s">
        <v>1</v>
      </c>
      <c r="AL110" s="185" t="s">
        <v>2</v>
      </c>
      <c r="AM110" s="185" t="s">
        <v>1</v>
      </c>
      <c r="AN110" s="185" t="s">
        <v>2</v>
      </c>
      <c r="AO110" s="185" t="s">
        <v>1</v>
      </c>
      <c r="AP110" s="185" t="s">
        <v>1093</v>
      </c>
      <c r="AQ110" s="185" t="s">
        <v>1093</v>
      </c>
      <c r="AR110" s="185" t="s">
        <v>2</v>
      </c>
      <c r="AS110" s="185" t="s">
        <v>2</v>
      </c>
      <c r="AT110" s="185" t="s">
        <v>3</v>
      </c>
      <c r="AU110" s="185" t="s">
        <v>3</v>
      </c>
      <c r="AV110" s="185" t="s">
        <v>2</v>
      </c>
      <c r="AW110" s="185" t="s">
        <v>2</v>
      </c>
      <c r="AX110" s="185" t="s">
        <v>2</v>
      </c>
      <c r="AY110" s="185" t="s">
        <v>2</v>
      </c>
      <c r="AZ110" s="185" t="s">
        <v>2</v>
      </c>
      <c r="BA110" s="185" t="s">
        <v>1093</v>
      </c>
      <c r="BB110" s="185" t="s">
        <v>1093</v>
      </c>
      <c r="BC110" s="185" t="s">
        <v>1093</v>
      </c>
      <c r="BD110" s="185" t="s">
        <v>1093</v>
      </c>
      <c r="BE110" s="185" t="s">
        <v>1093</v>
      </c>
      <c r="BF110" s="185" t="s">
        <v>2</v>
      </c>
      <c r="BG110" s="185" t="s">
        <v>2</v>
      </c>
      <c r="BH110" s="185" t="s">
        <v>2</v>
      </c>
      <c r="BI110" s="185" t="s">
        <v>2</v>
      </c>
      <c r="BJ110" s="185" t="s">
        <v>2</v>
      </c>
      <c r="BK110" s="185" t="s">
        <v>2</v>
      </c>
      <c r="BL110" s="185" t="s">
        <v>1</v>
      </c>
      <c r="BM110" s="185" t="s">
        <v>1</v>
      </c>
      <c r="BN110" s="185" t="s">
        <v>1</v>
      </c>
      <c r="BO110" s="185" t="s">
        <v>1</v>
      </c>
      <c r="BP110" s="185" t="s">
        <v>2</v>
      </c>
      <c r="BQ110" s="185" t="s">
        <v>2</v>
      </c>
      <c r="BR110" s="185" t="s">
        <v>3</v>
      </c>
      <c r="BS110" s="185" t="s">
        <v>2</v>
      </c>
      <c r="BT110" s="185" t="s">
        <v>2</v>
      </c>
      <c r="BU110" s="185" t="s">
        <v>2</v>
      </c>
      <c r="BV110" s="185" t="s">
        <v>2</v>
      </c>
      <c r="BW110" s="185" t="s">
        <v>2</v>
      </c>
      <c r="BX110" s="185" t="s">
        <v>2</v>
      </c>
      <c r="BY110" s="185" t="s">
        <v>1</v>
      </c>
      <c r="BZ110" s="185" t="s">
        <v>1093</v>
      </c>
      <c r="CA110" s="185" t="s">
        <v>2</v>
      </c>
      <c r="CB110" s="185" t="s">
        <v>1</v>
      </c>
      <c r="CC110" s="185" t="s">
        <v>1</v>
      </c>
      <c r="CD110" s="185" t="s">
        <v>1</v>
      </c>
      <c r="CE110" s="185" t="s">
        <v>2</v>
      </c>
      <c r="CF110" s="185" t="s">
        <v>3</v>
      </c>
      <c r="CG110" s="185" t="s">
        <v>2</v>
      </c>
      <c r="CH110" s="185" t="s">
        <v>1</v>
      </c>
      <c r="CI110" s="185" t="s">
        <v>1</v>
      </c>
      <c r="CJ110" s="185" t="s">
        <v>1</v>
      </c>
      <c r="CK110" s="185" t="s">
        <v>1</v>
      </c>
      <c r="CL110" s="185" t="s">
        <v>1</v>
      </c>
      <c r="CM110" s="185" t="s">
        <v>1</v>
      </c>
      <c r="CN110" s="185" t="s">
        <v>1093</v>
      </c>
      <c r="CO110" s="185" t="s">
        <v>1093</v>
      </c>
      <c r="CP110" s="185" t="s">
        <v>2</v>
      </c>
      <c r="CQ110" s="185" t="s">
        <v>2</v>
      </c>
      <c r="CR110" s="185" t="s">
        <v>2</v>
      </c>
      <c r="CS110" s="185" t="s">
        <v>2</v>
      </c>
      <c r="CT110" s="185" t="s">
        <v>1</v>
      </c>
      <c r="CU110" s="185" t="s">
        <v>1</v>
      </c>
      <c r="CV110" s="185" t="s">
        <v>1</v>
      </c>
      <c r="CW110" s="185" t="s">
        <v>1</v>
      </c>
      <c r="CX110" s="186"/>
      <c r="CY110" s="185">
        <v>20162372058</v>
      </c>
    </row>
    <row r="111" spans="1:103" ht="12.75" x14ac:dyDescent="0.2">
      <c r="A111" s="184">
        <v>42878.822507881945</v>
      </c>
      <c r="B111" s="185" t="s">
        <v>2362</v>
      </c>
      <c r="C111" s="185" t="s">
        <v>2235</v>
      </c>
      <c r="D111" s="185">
        <v>1</v>
      </c>
      <c r="E111" s="185" t="s">
        <v>1</v>
      </c>
      <c r="F111" s="185" t="s">
        <v>1092</v>
      </c>
      <c r="G111" s="185" t="s">
        <v>1092</v>
      </c>
      <c r="H111" s="185" t="s">
        <v>1092</v>
      </c>
      <c r="I111" s="185" t="s">
        <v>3</v>
      </c>
      <c r="J111" s="185" t="s">
        <v>3</v>
      </c>
      <c r="K111" s="185" t="s">
        <v>2</v>
      </c>
      <c r="L111" s="185" t="s">
        <v>1092</v>
      </c>
      <c r="M111" s="185" t="s">
        <v>1092</v>
      </c>
      <c r="N111" s="185" t="s">
        <v>3</v>
      </c>
      <c r="O111" s="185" t="s">
        <v>2</v>
      </c>
      <c r="P111" s="185" t="s">
        <v>2</v>
      </c>
      <c r="Q111" s="185" t="s">
        <v>2</v>
      </c>
      <c r="R111" s="185" t="s">
        <v>3</v>
      </c>
      <c r="S111" s="185" t="s">
        <v>1092</v>
      </c>
      <c r="T111" s="185" t="s">
        <v>1092</v>
      </c>
      <c r="U111" s="185" t="s">
        <v>3</v>
      </c>
      <c r="V111" s="185" t="s">
        <v>1092</v>
      </c>
      <c r="W111" s="185" t="s">
        <v>1092</v>
      </c>
      <c r="X111" s="185" t="s">
        <v>1092</v>
      </c>
      <c r="Y111" s="185" t="s">
        <v>1092</v>
      </c>
      <c r="Z111" s="185" t="s">
        <v>1092</v>
      </c>
      <c r="AA111" s="185" t="s">
        <v>1092</v>
      </c>
      <c r="AB111" s="185" t="s">
        <v>2</v>
      </c>
      <c r="AC111" s="185" t="s">
        <v>3</v>
      </c>
      <c r="AD111" s="185" t="s">
        <v>3</v>
      </c>
      <c r="AE111" s="185" t="s">
        <v>2</v>
      </c>
      <c r="AF111" s="185" t="s">
        <v>1092</v>
      </c>
      <c r="AG111" s="185" t="s">
        <v>1092</v>
      </c>
      <c r="AH111" s="185" t="s">
        <v>3</v>
      </c>
      <c r="AI111" s="185" t="s">
        <v>2</v>
      </c>
      <c r="AJ111" s="185" t="s">
        <v>3</v>
      </c>
      <c r="AK111" s="185" t="s">
        <v>1092</v>
      </c>
      <c r="AL111" s="185" t="s">
        <v>1092</v>
      </c>
      <c r="AM111" s="185" t="s">
        <v>1092</v>
      </c>
      <c r="AN111" s="185" t="s">
        <v>1092</v>
      </c>
      <c r="AO111" s="185" t="s">
        <v>1092</v>
      </c>
      <c r="AP111" s="185" t="s">
        <v>1092</v>
      </c>
      <c r="AQ111" s="185" t="s">
        <v>1092</v>
      </c>
      <c r="AR111" s="185" t="s">
        <v>1092</v>
      </c>
      <c r="AS111" s="185" t="s">
        <v>1092</v>
      </c>
      <c r="AT111" s="185" t="s">
        <v>1092</v>
      </c>
      <c r="AU111" s="185" t="s">
        <v>1092</v>
      </c>
      <c r="AV111" s="185" t="s">
        <v>3</v>
      </c>
      <c r="AW111" s="185" t="s">
        <v>3</v>
      </c>
      <c r="AX111" s="185" t="s">
        <v>1092</v>
      </c>
      <c r="AY111" s="185" t="s">
        <v>1092</v>
      </c>
      <c r="AZ111" s="185" t="s">
        <v>3</v>
      </c>
      <c r="BA111" s="185" t="s">
        <v>2</v>
      </c>
      <c r="BB111" s="185" t="s">
        <v>2</v>
      </c>
      <c r="BC111" s="185" t="s">
        <v>1092</v>
      </c>
      <c r="BD111" s="185" t="s">
        <v>1</v>
      </c>
      <c r="BE111" s="185" t="s">
        <v>1092</v>
      </c>
      <c r="BF111" s="185" t="s">
        <v>1092</v>
      </c>
      <c r="BG111" s="185" t="s">
        <v>1092</v>
      </c>
      <c r="BH111" s="185" t="s">
        <v>1092</v>
      </c>
      <c r="BI111" s="185" t="s">
        <v>1092</v>
      </c>
      <c r="BJ111" s="185" t="s">
        <v>1092</v>
      </c>
      <c r="BK111" s="185" t="s">
        <v>1092</v>
      </c>
      <c r="BL111" s="185" t="s">
        <v>1092</v>
      </c>
      <c r="BM111" s="185" t="s">
        <v>3</v>
      </c>
      <c r="BN111" s="185" t="s">
        <v>1092</v>
      </c>
      <c r="BO111" s="185" t="s">
        <v>3</v>
      </c>
      <c r="BP111" s="185" t="s">
        <v>3</v>
      </c>
      <c r="BQ111" s="185" t="s">
        <v>3</v>
      </c>
      <c r="BR111" s="185" t="s">
        <v>1092</v>
      </c>
      <c r="BS111" s="185" t="s">
        <v>3</v>
      </c>
      <c r="BT111" s="185" t="s">
        <v>3</v>
      </c>
      <c r="BU111" s="185" t="s">
        <v>1092</v>
      </c>
      <c r="BV111" s="185" t="s">
        <v>1092</v>
      </c>
      <c r="BW111" s="185" t="s">
        <v>1092</v>
      </c>
      <c r="BX111" s="185" t="s">
        <v>3</v>
      </c>
      <c r="BY111" s="185" t="s">
        <v>3</v>
      </c>
      <c r="BZ111" s="185" t="s">
        <v>1093</v>
      </c>
      <c r="CA111" s="185" t="s">
        <v>3</v>
      </c>
      <c r="CB111" s="185" t="s">
        <v>3</v>
      </c>
      <c r="CC111" s="185" t="s">
        <v>2</v>
      </c>
      <c r="CD111" s="185" t="s">
        <v>1092</v>
      </c>
      <c r="CE111" s="185" t="s">
        <v>1092</v>
      </c>
      <c r="CF111" s="185" t="s">
        <v>2</v>
      </c>
      <c r="CG111" s="185" t="s">
        <v>2</v>
      </c>
      <c r="CH111" s="185" t="s">
        <v>3</v>
      </c>
      <c r="CI111" s="185" t="s">
        <v>3</v>
      </c>
      <c r="CJ111" s="185" t="s">
        <v>1092</v>
      </c>
      <c r="CK111" s="185" t="s">
        <v>1092</v>
      </c>
      <c r="CL111" s="185" t="s">
        <v>3</v>
      </c>
      <c r="CM111" s="185" t="s">
        <v>3</v>
      </c>
      <c r="CN111" s="185" t="s">
        <v>3</v>
      </c>
      <c r="CO111" s="185" t="s">
        <v>3</v>
      </c>
      <c r="CP111" s="185" t="s">
        <v>3</v>
      </c>
      <c r="CQ111" s="185" t="s">
        <v>3</v>
      </c>
      <c r="CR111" s="185" t="s">
        <v>3</v>
      </c>
      <c r="CS111" s="185" t="s">
        <v>3</v>
      </c>
      <c r="CT111" s="185" t="s">
        <v>3</v>
      </c>
      <c r="CU111" s="185" t="s">
        <v>3</v>
      </c>
      <c r="CV111" s="185" t="s">
        <v>3</v>
      </c>
      <c r="CW111" s="185" t="s">
        <v>3</v>
      </c>
      <c r="CX111" s="186"/>
      <c r="CY111" s="185">
        <v>20171372003</v>
      </c>
    </row>
    <row r="112" spans="1:103" ht="12.75" x14ac:dyDescent="0.2">
      <c r="A112" s="184">
        <v>42878.824829675927</v>
      </c>
      <c r="B112" s="185" t="s">
        <v>2363</v>
      </c>
      <c r="C112" s="185" t="s">
        <v>2271</v>
      </c>
      <c r="D112" s="185">
        <v>1</v>
      </c>
      <c r="E112" s="185" t="s">
        <v>2</v>
      </c>
      <c r="F112" s="185" t="s">
        <v>1092</v>
      </c>
      <c r="G112" s="185" t="s">
        <v>1092</v>
      </c>
      <c r="H112" s="185" t="s">
        <v>1092</v>
      </c>
      <c r="I112" s="185" t="s">
        <v>1092</v>
      </c>
      <c r="J112" s="185" t="s">
        <v>3</v>
      </c>
      <c r="K112" s="185" t="s">
        <v>1092</v>
      </c>
      <c r="L112" s="185" t="s">
        <v>1092</v>
      </c>
      <c r="M112" s="185" t="s">
        <v>3</v>
      </c>
      <c r="N112" s="185" t="s">
        <v>1092</v>
      </c>
      <c r="O112" s="185" t="s">
        <v>1</v>
      </c>
      <c r="P112" s="185" t="s">
        <v>1093</v>
      </c>
      <c r="Q112" s="185" t="s">
        <v>1093</v>
      </c>
      <c r="R112" s="185" t="s">
        <v>3</v>
      </c>
      <c r="S112" s="185" t="s">
        <v>3</v>
      </c>
      <c r="T112" s="185" t="s">
        <v>1</v>
      </c>
      <c r="U112" s="185" t="s">
        <v>1</v>
      </c>
      <c r="V112" s="185" t="s">
        <v>3</v>
      </c>
      <c r="W112" s="185" t="s">
        <v>3</v>
      </c>
      <c r="X112" s="185" t="s">
        <v>3</v>
      </c>
      <c r="Y112" s="185" t="s">
        <v>3</v>
      </c>
      <c r="Z112" s="185" t="s">
        <v>1092</v>
      </c>
      <c r="AA112" s="185" t="s">
        <v>3</v>
      </c>
      <c r="AB112" s="185" t="s">
        <v>1</v>
      </c>
      <c r="AC112" s="185" t="s">
        <v>1</v>
      </c>
      <c r="AD112" s="185" t="s">
        <v>3</v>
      </c>
      <c r="AE112" s="185" t="s">
        <v>5</v>
      </c>
      <c r="AF112" s="185" t="s">
        <v>1092</v>
      </c>
      <c r="AG112" s="185" t="s">
        <v>2</v>
      </c>
      <c r="AH112" s="185" t="s">
        <v>1092</v>
      </c>
      <c r="AI112" s="185" t="s">
        <v>3</v>
      </c>
      <c r="AJ112" s="185" t="s">
        <v>1</v>
      </c>
      <c r="AK112" s="185" t="s">
        <v>3</v>
      </c>
      <c r="AL112" s="185" t="s">
        <v>2</v>
      </c>
      <c r="AM112" s="185" t="s">
        <v>3</v>
      </c>
      <c r="AN112" s="185" t="s">
        <v>3</v>
      </c>
      <c r="AO112" s="185" t="s">
        <v>2</v>
      </c>
      <c r="AP112" s="185" t="s">
        <v>3</v>
      </c>
      <c r="AQ112" s="185" t="s">
        <v>1092</v>
      </c>
      <c r="AR112" s="185" t="s">
        <v>3</v>
      </c>
      <c r="AS112" s="185" t="s">
        <v>1092</v>
      </c>
      <c r="AT112" s="185" t="s">
        <v>1092</v>
      </c>
      <c r="AU112" s="185" t="s">
        <v>1</v>
      </c>
      <c r="AV112" s="185" t="s">
        <v>3</v>
      </c>
      <c r="AW112" s="185" t="s">
        <v>3</v>
      </c>
      <c r="AX112" s="185" t="s">
        <v>3</v>
      </c>
      <c r="AY112" s="185" t="s">
        <v>3</v>
      </c>
      <c r="AZ112" s="185" t="s">
        <v>3</v>
      </c>
      <c r="BA112" s="185" t="s">
        <v>3</v>
      </c>
      <c r="BB112" s="185" t="s">
        <v>3</v>
      </c>
      <c r="BC112" s="185" t="s">
        <v>1093</v>
      </c>
      <c r="BD112" s="185" t="s">
        <v>1093</v>
      </c>
      <c r="BE112" s="185" t="s">
        <v>1093</v>
      </c>
      <c r="BF112" s="185" t="s">
        <v>3</v>
      </c>
      <c r="BG112" s="185" t="s">
        <v>3</v>
      </c>
      <c r="BH112" s="185" t="s">
        <v>2</v>
      </c>
      <c r="BI112" s="185" t="s">
        <v>1092</v>
      </c>
      <c r="BJ112" s="185" t="s">
        <v>3</v>
      </c>
      <c r="BK112" s="185" t="s">
        <v>3</v>
      </c>
      <c r="BL112" s="185" t="s">
        <v>3</v>
      </c>
      <c r="BM112" s="185" t="s">
        <v>2</v>
      </c>
      <c r="BN112" s="185" t="s">
        <v>3</v>
      </c>
      <c r="BO112" s="185" t="s">
        <v>2</v>
      </c>
      <c r="BP112" s="185" t="s">
        <v>1092</v>
      </c>
      <c r="BQ112" s="185" t="s">
        <v>1092</v>
      </c>
      <c r="BR112" s="185" t="s">
        <v>1092</v>
      </c>
      <c r="BS112" s="185" t="s">
        <v>1092</v>
      </c>
      <c r="BT112" s="185" t="s">
        <v>3</v>
      </c>
      <c r="BU112" s="185" t="s">
        <v>3</v>
      </c>
      <c r="BV112" s="185" t="s">
        <v>3</v>
      </c>
      <c r="BW112" s="185" t="s">
        <v>2</v>
      </c>
      <c r="BX112" s="185" t="s">
        <v>1093</v>
      </c>
      <c r="BY112" s="185" t="s">
        <v>2</v>
      </c>
      <c r="BZ112" s="185" t="s">
        <v>1093</v>
      </c>
      <c r="CA112" s="185" t="s">
        <v>1093</v>
      </c>
      <c r="CB112" s="185" t="s">
        <v>2</v>
      </c>
      <c r="CC112" s="185" t="s">
        <v>2</v>
      </c>
      <c r="CD112" s="185" t="s">
        <v>1</v>
      </c>
      <c r="CE112" s="185" t="s">
        <v>1093</v>
      </c>
      <c r="CF112" s="185" t="s">
        <v>1093</v>
      </c>
      <c r="CG112" s="185" t="s">
        <v>1092</v>
      </c>
      <c r="CH112" s="185" t="s">
        <v>2</v>
      </c>
      <c r="CI112" s="185" t="s">
        <v>2</v>
      </c>
      <c r="CJ112" s="185" t="s">
        <v>2</v>
      </c>
      <c r="CK112" s="185" t="s">
        <v>1</v>
      </c>
      <c r="CL112" s="185" t="s">
        <v>1093</v>
      </c>
      <c r="CM112" s="185" t="s">
        <v>1</v>
      </c>
      <c r="CN112" s="185" t="s">
        <v>2</v>
      </c>
      <c r="CO112" s="185" t="s">
        <v>2</v>
      </c>
      <c r="CP112" s="185" t="s">
        <v>2</v>
      </c>
      <c r="CQ112" s="185" t="s">
        <v>2</v>
      </c>
      <c r="CR112" s="185" t="s">
        <v>2</v>
      </c>
      <c r="CS112" s="185" t="s">
        <v>2</v>
      </c>
      <c r="CT112" s="185" t="s">
        <v>3</v>
      </c>
      <c r="CU112" s="185" t="s">
        <v>2</v>
      </c>
      <c r="CV112" s="185" t="s">
        <v>2</v>
      </c>
      <c r="CW112" s="185" t="s">
        <v>2</v>
      </c>
      <c r="CX112" s="186"/>
      <c r="CY112" s="185">
        <v>20171372007</v>
      </c>
    </row>
    <row r="113" spans="1:103" ht="12.75" x14ac:dyDescent="0.2">
      <c r="A113" s="184">
        <v>42878.825153923608</v>
      </c>
      <c r="B113" s="185" t="s">
        <v>2364</v>
      </c>
      <c r="C113" s="185" t="s">
        <v>2271</v>
      </c>
      <c r="D113" s="185">
        <v>1</v>
      </c>
      <c r="E113" s="185" t="s">
        <v>1092</v>
      </c>
      <c r="F113" s="185" t="s">
        <v>1092</v>
      </c>
      <c r="G113" s="185" t="s">
        <v>2</v>
      </c>
      <c r="H113" s="185" t="s">
        <v>3</v>
      </c>
      <c r="I113" s="185" t="s">
        <v>1093</v>
      </c>
      <c r="J113" s="185" t="s">
        <v>1093</v>
      </c>
      <c r="K113" s="185" t="s">
        <v>1092</v>
      </c>
      <c r="L113" s="185" t="s">
        <v>1092</v>
      </c>
      <c r="M113" s="185" t="s">
        <v>1092</v>
      </c>
      <c r="N113" s="185" t="s">
        <v>1092</v>
      </c>
      <c r="O113" s="185" t="s">
        <v>1093</v>
      </c>
      <c r="P113" s="185" t="s">
        <v>1093</v>
      </c>
      <c r="Q113" s="185" t="s">
        <v>1092</v>
      </c>
      <c r="R113" s="185" t="s">
        <v>1093</v>
      </c>
      <c r="S113" s="185" t="s">
        <v>3</v>
      </c>
      <c r="T113" s="185" t="s">
        <v>2</v>
      </c>
      <c r="U113" s="185" t="s">
        <v>1093</v>
      </c>
      <c r="V113" s="185" t="s">
        <v>3</v>
      </c>
      <c r="W113" s="185" t="s">
        <v>1092</v>
      </c>
      <c r="X113" s="185" t="s">
        <v>1</v>
      </c>
      <c r="Y113" s="185" t="s">
        <v>1093</v>
      </c>
      <c r="Z113" s="185" t="s">
        <v>1093</v>
      </c>
      <c r="AA113" s="185" t="s">
        <v>1093</v>
      </c>
      <c r="AB113" s="185" t="s">
        <v>3</v>
      </c>
      <c r="AC113" s="185" t="s">
        <v>1</v>
      </c>
      <c r="AD113" s="185" t="s">
        <v>1</v>
      </c>
      <c r="AE113" s="185" t="s">
        <v>1</v>
      </c>
      <c r="AF113" s="185" t="s">
        <v>1092</v>
      </c>
      <c r="AG113" s="185" t="s">
        <v>1</v>
      </c>
      <c r="AH113" s="185" t="s">
        <v>3</v>
      </c>
      <c r="AI113" s="185" t="s">
        <v>1</v>
      </c>
      <c r="AJ113" s="185" t="s">
        <v>2</v>
      </c>
      <c r="AK113" s="185" t="s">
        <v>3</v>
      </c>
      <c r="AL113" s="185" t="s">
        <v>2</v>
      </c>
      <c r="AM113" s="185" t="s">
        <v>2</v>
      </c>
      <c r="AN113" s="185" t="s">
        <v>2</v>
      </c>
      <c r="AO113" s="185" t="s">
        <v>2</v>
      </c>
      <c r="AP113" s="185" t="s">
        <v>1</v>
      </c>
      <c r="AQ113" s="185" t="s">
        <v>2</v>
      </c>
      <c r="AR113" s="185" t="s">
        <v>1092</v>
      </c>
      <c r="AS113" s="185" t="s">
        <v>1092</v>
      </c>
      <c r="AT113" s="185" t="s">
        <v>1092</v>
      </c>
      <c r="AU113" s="185" t="s">
        <v>1</v>
      </c>
      <c r="AV113" s="185" t="s">
        <v>2</v>
      </c>
      <c r="AW113" s="185" t="s">
        <v>3</v>
      </c>
      <c r="AX113" s="185" t="s">
        <v>3</v>
      </c>
      <c r="AY113" s="185" t="s">
        <v>3</v>
      </c>
      <c r="AZ113" s="185" t="s">
        <v>2</v>
      </c>
      <c r="BA113" s="185" t="s">
        <v>2</v>
      </c>
      <c r="BB113" s="185" t="s">
        <v>2</v>
      </c>
      <c r="BC113" s="185" t="s">
        <v>1</v>
      </c>
      <c r="BD113" s="185" t="s">
        <v>1093</v>
      </c>
      <c r="BE113" s="185" t="s">
        <v>3</v>
      </c>
      <c r="BF113" s="185" t="s">
        <v>1</v>
      </c>
      <c r="BG113" s="185" t="s">
        <v>3</v>
      </c>
      <c r="BH113" s="185" t="s">
        <v>2</v>
      </c>
      <c r="BI113" s="185" t="s">
        <v>2</v>
      </c>
      <c r="BJ113" s="185" t="s">
        <v>2</v>
      </c>
      <c r="BK113" s="185" t="s">
        <v>2</v>
      </c>
      <c r="BL113" s="185" t="s">
        <v>2</v>
      </c>
      <c r="BM113" s="185" t="s">
        <v>3</v>
      </c>
      <c r="BN113" s="185" t="s">
        <v>3</v>
      </c>
      <c r="BO113" s="185" t="s">
        <v>1</v>
      </c>
      <c r="BP113" s="185" t="s">
        <v>2</v>
      </c>
      <c r="BQ113" s="185" t="s">
        <v>1</v>
      </c>
      <c r="BR113" s="185" t="s">
        <v>2</v>
      </c>
      <c r="BS113" s="185" t="s">
        <v>1</v>
      </c>
      <c r="BT113" s="185" t="s">
        <v>2</v>
      </c>
      <c r="BU113" s="185" t="s">
        <v>3</v>
      </c>
      <c r="BV113" s="185" t="s">
        <v>2</v>
      </c>
      <c r="BW113" s="185" t="s">
        <v>3</v>
      </c>
      <c r="BX113" s="185" t="s">
        <v>2</v>
      </c>
      <c r="BY113" s="185" t="s">
        <v>2</v>
      </c>
      <c r="BZ113" s="185" t="s">
        <v>1</v>
      </c>
      <c r="CA113" s="185" t="s">
        <v>3</v>
      </c>
      <c r="CB113" s="185" t="s">
        <v>3</v>
      </c>
      <c r="CC113" s="185" t="s">
        <v>1</v>
      </c>
      <c r="CD113" s="185" t="s">
        <v>1</v>
      </c>
      <c r="CE113" s="185" t="s">
        <v>1092</v>
      </c>
      <c r="CF113" s="185" t="s">
        <v>2</v>
      </c>
      <c r="CG113" s="185" t="s">
        <v>3</v>
      </c>
      <c r="CH113" s="185" t="s">
        <v>3</v>
      </c>
      <c r="CI113" s="185" t="s">
        <v>3</v>
      </c>
      <c r="CJ113" s="185" t="s">
        <v>1</v>
      </c>
      <c r="CK113" s="185" t="s">
        <v>1</v>
      </c>
      <c r="CL113" s="185" t="s">
        <v>1</v>
      </c>
      <c r="CM113" s="185" t="s">
        <v>1</v>
      </c>
      <c r="CN113" s="185" t="s">
        <v>2</v>
      </c>
      <c r="CO113" s="185" t="s">
        <v>1093</v>
      </c>
      <c r="CP113" s="185" t="s">
        <v>1093</v>
      </c>
      <c r="CQ113" s="185" t="s">
        <v>1093</v>
      </c>
      <c r="CR113" s="185" t="s">
        <v>1</v>
      </c>
      <c r="CS113" s="185" t="s">
        <v>3</v>
      </c>
      <c r="CT113" s="185" t="s">
        <v>2</v>
      </c>
      <c r="CU113" s="185" t="s">
        <v>3</v>
      </c>
      <c r="CV113" s="185" t="s">
        <v>3</v>
      </c>
      <c r="CW113" s="185" t="s">
        <v>3</v>
      </c>
      <c r="CX113" s="186"/>
      <c r="CY113" s="185">
        <v>20141372008</v>
      </c>
    </row>
    <row r="114" spans="1:103" ht="12.75" x14ac:dyDescent="0.2">
      <c r="A114" s="184">
        <v>42878.826563680559</v>
      </c>
      <c r="B114" s="185" t="s">
        <v>2365</v>
      </c>
      <c r="C114" s="185" t="s">
        <v>2271</v>
      </c>
      <c r="D114" s="185">
        <v>2</v>
      </c>
      <c r="E114" s="185" t="s">
        <v>3</v>
      </c>
      <c r="F114" s="185" t="s">
        <v>1092</v>
      </c>
      <c r="G114" s="185" t="s">
        <v>3</v>
      </c>
      <c r="H114" s="185" t="s">
        <v>1</v>
      </c>
      <c r="I114" s="185" t="s">
        <v>1092</v>
      </c>
      <c r="J114" s="185" t="s">
        <v>2</v>
      </c>
      <c r="K114" s="185" t="s">
        <v>3</v>
      </c>
      <c r="L114" s="185" t="s">
        <v>3</v>
      </c>
      <c r="M114" s="185" t="s">
        <v>2</v>
      </c>
      <c r="N114" s="185" t="s">
        <v>2</v>
      </c>
      <c r="O114" s="185" t="s">
        <v>2</v>
      </c>
      <c r="P114" s="185" t="s">
        <v>1093</v>
      </c>
      <c r="Q114" s="185" t="s">
        <v>1093</v>
      </c>
      <c r="R114" s="185" t="s">
        <v>1</v>
      </c>
      <c r="S114" s="185" t="s">
        <v>1093</v>
      </c>
      <c r="T114" s="185" t="s">
        <v>1</v>
      </c>
      <c r="U114" s="185" t="s">
        <v>1</v>
      </c>
      <c r="V114" s="185" t="s">
        <v>2</v>
      </c>
      <c r="W114" s="185" t="s">
        <v>1</v>
      </c>
      <c r="X114" s="185" t="s">
        <v>1</v>
      </c>
      <c r="Y114" s="185" t="s">
        <v>2</v>
      </c>
      <c r="Z114" s="185" t="s">
        <v>1093</v>
      </c>
      <c r="AA114" s="185" t="s">
        <v>2</v>
      </c>
      <c r="AB114" s="185" t="s">
        <v>2</v>
      </c>
      <c r="AC114" s="185" t="s">
        <v>1</v>
      </c>
      <c r="AD114" s="185" t="s">
        <v>1</v>
      </c>
      <c r="AE114" s="185" t="s">
        <v>2</v>
      </c>
      <c r="AF114" s="185" t="s">
        <v>2</v>
      </c>
      <c r="AG114" s="185" t="s">
        <v>2</v>
      </c>
      <c r="AH114" s="185" t="s">
        <v>3</v>
      </c>
      <c r="AI114" s="185" t="s">
        <v>3</v>
      </c>
      <c r="AJ114" s="185" t="s">
        <v>1</v>
      </c>
      <c r="AK114" s="185" t="s">
        <v>1</v>
      </c>
      <c r="AL114" s="185" t="s">
        <v>2</v>
      </c>
      <c r="AM114" s="185" t="s">
        <v>1093</v>
      </c>
      <c r="AN114" s="185" t="s">
        <v>1</v>
      </c>
      <c r="AO114" s="185" t="s">
        <v>2</v>
      </c>
      <c r="AP114" s="185" t="s">
        <v>1</v>
      </c>
      <c r="AQ114" s="185" t="s">
        <v>1</v>
      </c>
      <c r="AR114" s="185" t="s">
        <v>3</v>
      </c>
      <c r="AS114" s="185" t="s">
        <v>3</v>
      </c>
      <c r="AT114" s="185" t="s">
        <v>3</v>
      </c>
      <c r="AU114" s="185" t="s">
        <v>3</v>
      </c>
      <c r="AV114" s="185" t="s">
        <v>1093</v>
      </c>
      <c r="AW114" s="185" t="s">
        <v>2</v>
      </c>
      <c r="AX114" s="185" t="s">
        <v>2</v>
      </c>
      <c r="AY114" s="185" t="s">
        <v>2</v>
      </c>
      <c r="AZ114" s="185" t="s">
        <v>1</v>
      </c>
      <c r="BA114" s="185" t="s">
        <v>2</v>
      </c>
      <c r="BB114" s="185" t="s">
        <v>1</v>
      </c>
      <c r="BC114" s="185" t="s">
        <v>1</v>
      </c>
      <c r="BD114" s="185" t="s">
        <v>2</v>
      </c>
      <c r="BE114" s="185" t="s">
        <v>2</v>
      </c>
      <c r="BF114" s="185" t="s">
        <v>2</v>
      </c>
      <c r="BG114" s="185" t="s">
        <v>2</v>
      </c>
      <c r="BH114" s="185" t="s">
        <v>2</v>
      </c>
      <c r="BI114" s="185" t="s">
        <v>2</v>
      </c>
      <c r="BJ114" s="185" t="s">
        <v>3</v>
      </c>
      <c r="BK114" s="185" t="s">
        <v>3</v>
      </c>
      <c r="BL114" s="185" t="s">
        <v>3</v>
      </c>
      <c r="BM114" s="185" t="s">
        <v>1</v>
      </c>
      <c r="BN114" s="185" t="s">
        <v>2</v>
      </c>
      <c r="BO114" s="185" t="s">
        <v>2</v>
      </c>
      <c r="BP114" s="185" t="s">
        <v>2</v>
      </c>
      <c r="BQ114" s="185" t="s">
        <v>2</v>
      </c>
      <c r="BR114" s="185" t="s">
        <v>2</v>
      </c>
      <c r="BS114" s="185" t="s">
        <v>2</v>
      </c>
      <c r="BT114" s="185" t="s">
        <v>2</v>
      </c>
      <c r="BU114" s="185" t="s">
        <v>1</v>
      </c>
      <c r="BV114" s="185" t="s">
        <v>2</v>
      </c>
      <c r="BW114" s="185" t="s">
        <v>2</v>
      </c>
      <c r="BX114" s="185" t="s">
        <v>2</v>
      </c>
      <c r="BY114" s="185" t="s">
        <v>1</v>
      </c>
      <c r="BZ114" s="185" t="s">
        <v>1</v>
      </c>
      <c r="CA114" s="185" t="s">
        <v>2</v>
      </c>
      <c r="CB114" s="185" t="s">
        <v>1</v>
      </c>
      <c r="CC114" s="185" t="s">
        <v>1</v>
      </c>
      <c r="CD114" s="185" t="s">
        <v>2</v>
      </c>
      <c r="CE114" s="185" t="s">
        <v>1093</v>
      </c>
      <c r="CF114" s="185" t="s">
        <v>1093</v>
      </c>
      <c r="CG114" s="185" t="s">
        <v>1</v>
      </c>
      <c r="CH114" s="185" t="s">
        <v>2</v>
      </c>
      <c r="CI114" s="185" t="s">
        <v>2</v>
      </c>
      <c r="CJ114" s="185" t="s">
        <v>2</v>
      </c>
      <c r="CK114" s="185" t="s">
        <v>1</v>
      </c>
      <c r="CL114" s="185" t="s">
        <v>2</v>
      </c>
      <c r="CM114" s="185" t="s">
        <v>2</v>
      </c>
      <c r="CN114" s="185" t="s">
        <v>2</v>
      </c>
      <c r="CO114" s="185" t="s">
        <v>2</v>
      </c>
      <c r="CP114" s="185" t="s">
        <v>2</v>
      </c>
      <c r="CQ114" s="185" t="s">
        <v>2</v>
      </c>
      <c r="CR114" s="185" t="s">
        <v>2</v>
      </c>
      <c r="CS114" s="185" t="s">
        <v>2</v>
      </c>
      <c r="CT114" s="185" t="s">
        <v>2</v>
      </c>
      <c r="CU114" s="185" t="s">
        <v>2</v>
      </c>
      <c r="CV114" s="185" t="s">
        <v>2</v>
      </c>
      <c r="CW114" s="185" t="s">
        <v>2</v>
      </c>
      <c r="CX114" s="186"/>
      <c r="CY114" s="185">
        <v>20172372054</v>
      </c>
    </row>
    <row r="115" spans="1:103" ht="12.75" x14ac:dyDescent="0.2">
      <c r="A115" s="184">
        <v>42878.827654074077</v>
      </c>
      <c r="B115" s="185" t="s">
        <v>2366</v>
      </c>
      <c r="C115" s="185" t="s">
        <v>2271</v>
      </c>
      <c r="D115" s="185">
        <v>1</v>
      </c>
      <c r="E115" s="185" t="s">
        <v>1092</v>
      </c>
      <c r="F115" s="185" t="s">
        <v>1092</v>
      </c>
      <c r="G115" s="185" t="s">
        <v>1092</v>
      </c>
      <c r="H115" s="185" t="s">
        <v>3</v>
      </c>
      <c r="I115" s="185" t="s">
        <v>3</v>
      </c>
      <c r="J115" s="185" t="s">
        <v>2</v>
      </c>
      <c r="K115" s="185" t="s">
        <v>1092</v>
      </c>
      <c r="L115" s="185" t="s">
        <v>3</v>
      </c>
      <c r="M115" s="185" t="s">
        <v>2</v>
      </c>
      <c r="N115" s="185" t="s">
        <v>3</v>
      </c>
      <c r="O115" s="185" t="s">
        <v>3</v>
      </c>
      <c r="P115" s="185" t="s">
        <v>2</v>
      </c>
      <c r="Q115" s="185" t="s">
        <v>2</v>
      </c>
      <c r="R115" s="185" t="s">
        <v>1</v>
      </c>
      <c r="S115" s="185" t="s">
        <v>3</v>
      </c>
      <c r="T115" s="185" t="s">
        <v>2</v>
      </c>
      <c r="U115" s="185" t="s">
        <v>2</v>
      </c>
      <c r="V115" s="185" t="s">
        <v>3</v>
      </c>
      <c r="W115" s="185" t="s">
        <v>2</v>
      </c>
      <c r="X115" s="185" t="s">
        <v>1092</v>
      </c>
      <c r="Y115" s="185" t="s">
        <v>1092</v>
      </c>
      <c r="Z115" s="185" t="s">
        <v>1092</v>
      </c>
      <c r="AA115" s="185" t="s">
        <v>1092</v>
      </c>
      <c r="AB115" s="185" t="s">
        <v>1092</v>
      </c>
      <c r="AC115" s="185" t="s">
        <v>3</v>
      </c>
      <c r="AD115" s="185" t="s">
        <v>1</v>
      </c>
      <c r="AE115" s="185" t="s">
        <v>1</v>
      </c>
      <c r="AF115" s="185" t="s">
        <v>2</v>
      </c>
      <c r="AG115" s="185" t="s">
        <v>2</v>
      </c>
      <c r="AH115" s="185" t="s">
        <v>3</v>
      </c>
      <c r="AI115" s="185" t="s">
        <v>1</v>
      </c>
      <c r="AJ115" s="185" t="s">
        <v>2</v>
      </c>
      <c r="AK115" s="185" t="s">
        <v>3</v>
      </c>
      <c r="AL115" s="185" t="s">
        <v>2</v>
      </c>
      <c r="AM115" s="185" t="s">
        <v>3</v>
      </c>
      <c r="AN115" s="185" t="s">
        <v>1092</v>
      </c>
      <c r="AO115" s="185" t="s">
        <v>3</v>
      </c>
      <c r="AP115" s="185" t="s">
        <v>1092</v>
      </c>
      <c r="AQ115" s="185" t="s">
        <v>3</v>
      </c>
      <c r="AR115" s="185" t="s">
        <v>1092</v>
      </c>
      <c r="AS115" s="185" t="s">
        <v>1092</v>
      </c>
      <c r="AT115" s="185" t="s">
        <v>1092</v>
      </c>
      <c r="AU115" s="185" t="s">
        <v>3</v>
      </c>
      <c r="AV115" s="185" t="s">
        <v>3</v>
      </c>
      <c r="AW115" s="185" t="s">
        <v>2</v>
      </c>
      <c r="AX115" s="185" t="s">
        <v>3</v>
      </c>
      <c r="AY115" s="185" t="s">
        <v>3</v>
      </c>
      <c r="AZ115" s="185" t="s">
        <v>3</v>
      </c>
      <c r="BA115" s="185" t="s">
        <v>3</v>
      </c>
      <c r="BB115" s="185" t="s">
        <v>1092</v>
      </c>
      <c r="BC115" s="185" t="s">
        <v>1</v>
      </c>
      <c r="BD115" s="185" t="s">
        <v>1</v>
      </c>
      <c r="BE115" s="185" t="s">
        <v>1</v>
      </c>
      <c r="BF115" s="185" t="s">
        <v>1</v>
      </c>
      <c r="BG115" s="185" t="s">
        <v>2</v>
      </c>
      <c r="BH115" s="185" t="s">
        <v>2</v>
      </c>
      <c r="BI115" s="185" t="s">
        <v>3</v>
      </c>
      <c r="BJ115" s="185" t="s">
        <v>2</v>
      </c>
      <c r="BK115" s="185" t="s">
        <v>2</v>
      </c>
      <c r="BL115" s="185" t="s">
        <v>2</v>
      </c>
      <c r="BM115" s="185" t="s">
        <v>2</v>
      </c>
      <c r="BN115" s="185" t="s">
        <v>3</v>
      </c>
      <c r="BO115" s="185" t="s">
        <v>2</v>
      </c>
      <c r="BP115" s="185" t="s">
        <v>1092</v>
      </c>
      <c r="BQ115" s="185" t="s">
        <v>1092</v>
      </c>
      <c r="BR115" s="185" t="s">
        <v>1092</v>
      </c>
      <c r="BS115" s="185" t="s">
        <v>3</v>
      </c>
      <c r="BT115" s="185" t="s">
        <v>2</v>
      </c>
      <c r="BU115" s="185" t="s">
        <v>2</v>
      </c>
      <c r="BV115" s="185" t="s">
        <v>2</v>
      </c>
      <c r="BW115" s="185" t="s">
        <v>3</v>
      </c>
      <c r="BX115" s="185" t="s">
        <v>1</v>
      </c>
      <c r="BY115" s="185" t="s">
        <v>1</v>
      </c>
      <c r="BZ115" s="185" t="s">
        <v>3</v>
      </c>
      <c r="CA115" s="185" t="s">
        <v>2</v>
      </c>
      <c r="CB115" s="185" t="s">
        <v>1</v>
      </c>
      <c r="CC115" s="185" t="s">
        <v>2</v>
      </c>
      <c r="CD115" s="185" t="s">
        <v>3</v>
      </c>
      <c r="CE115" s="185" t="s">
        <v>1092</v>
      </c>
      <c r="CF115" s="185" t="s">
        <v>2</v>
      </c>
      <c r="CG115" s="185" t="s">
        <v>3</v>
      </c>
      <c r="CH115" s="185" t="s">
        <v>3</v>
      </c>
      <c r="CI115" s="185" t="s">
        <v>3</v>
      </c>
      <c r="CJ115" s="185" t="s">
        <v>1</v>
      </c>
      <c r="CK115" s="185" t="s">
        <v>2</v>
      </c>
      <c r="CL115" s="185" t="s">
        <v>2</v>
      </c>
      <c r="CM115" s="185" t="s">
        <v>1</v>
      </c>
      <c r="CN115" s="185" t="s">
        <v>2</v>
      </c>
      <c r="CO115" s="185" t="s">
        <v>3</v>
      </c>
      <c r="CP115" s="185" t="s">
        <v>3</v>
      </c>
      <c r="CQ115" s="185" t="s">
        <v>3</v>
      </c>
      <c r="CR115" s="185" t="s">
        <v>3</v>
      </c>
      <c r="CS115" s="185" t="s">
        <v>3</v>
      </c>
      <c r="CT115" s="185" t="s">
        <v>3</v>
      </c>
      <c r="CU115" s="185" t="s">
        <v>1092</v>
      </c>
      <c r="CV115" s="185" t="s">
        <v>1</v>
      </c>
      <c r="CW115" s="185" t="s">
        <v>2</v>
      </c>
      <c r="CX115" s="185" t="s">
        <v>2367</v>
      </c>
      <c r="CY115" s="185">
        <v>20171372004</v>
      </c>
    </row>
    <row r="116" spans="1:103" ht="12.75" x14ac:dyDescent="0.2">
      <c r="A116" s="184">
        <v>42879.42300998843</v>
      </c>
      <c r="B116" s="185" t="s">
        <v>2368</v>
      </c>
      <c r="C116" s="185" t="s">
        <v>2271</v>
      </c>
      <c r="D116" s="185">
        <v>1</v>
      </c>
      <c r="E116" s="185" t="s">
        <v>3</v>
      </c>
      <c r="F116" s="185" t="s">
        <v>1092</v>
      </c>
      <c r="G116" s="185" t="s">
        <v>3</v>
      </c>
      <c r="H116" s="185" t="s">
        <v>1092</v>
      </c>
      <c r="I116" s="185" t="s">
        <v>2</v>
      </c>
      <c r="J116" s="185" t="s">
        <v>2</v>
      </c>
      <c r="K116" s="185" t="s">
        <v>3</v>
      </c>
      <c r="L116" s="185" t="s">
        <v>3</v>
      </c>
      <c r="M116" s="185" t="s">
        <v>3</v>
      </c>
      <c r="N116" s="185" t="s">
        <v>3</v>
      </c>
      <c r="O116" s="185" t="s">
        <v>1093</v>
      </c>
      <c r="P116" s="185" t="s">
        <v>1093</v>
      </c>
      <c r="Q116" s="185" t="s">
        <v>1093</v>
      </c>
      <c r="R116" s="185" t="s">
        <v>1093</v>
      </c>
      <c r="S116" s="185" t="s">
        <v>2</v>
      </c>
      <c r="T116" s="185" t="s">
        <v>1</v>
      </c>
      <c r="U116" s="185" t="s">
        <v>1</v>
      </c>
      <c r="V116" s="185" t="s">
        <v>1</v>
      </c>
      <c r="W116" s="185" t="s">
        <v>1</v>
      </c>
      <c r="X116" s="185" t="s">
        <v>2</v>
      </c>
      <c r="Y116" s="185" t="s">
        <v>2</v>
      </c>
      <c r="Z116" s="185" t="s">
        <v>2</v>
      </c>
      <c r="AA116" s="185" t="s">
        <v>2</v>
      </c>
      <c r="AB116" s="185" t="s">
        <v>1093</v>
      </c>
      <c r="AC116" s="185" t="s">
        <v>1093</v>
      </c>
      <c r="AD116" s="185" t="s">
        <v>2</v>
      </c>
      <c r="AE116" s="185" t="s">
        <v>1</v>
      </c>
      <c r="AF116" s="185" t="s">
        <v>2</v>
      </c>
      <c r="AG116" s="185" t="s">
        <v>5</v>
      </c>
      <c r="AH116" s="185" t="s">
        <v>2</v>
      </c>
      <c r="AI116" s="185" t="s">
        <v>5</v>
      </c>
      <c r="AJ116" s="185" t="s">
        <v>2</v>
      </c>
      <c r="AK116" s="185" t="s">
        <v>1</v>
      </c>
      <c r="AL116" s="185" t="s">
        <v>1</v>
      </c>
      <c r="AM116" s="185" t="s">
        <v>1</v>
      </c>
      <c r="AN116" s="185" t="s">
        <v>1</v>
      </c>
      <c r="AO116" s="185" t="s">
        <v>1</v>
      </c>
      <c r="AP116" s="185" t="s">
        <v>2</v>
      </c>
      <c r="AQ116" s="185" t="s">
        <v>3</v>
      </c>
      <c r="AR116" s="185" t="s">
        <v>2</v>
      </c>
      <c r="AS116" s="185" t="s">
        <v>1092</v>
      </c>
      <c r="AT116" s="185" t="s">
        <v>1092</v>
      </c>
      <c r="AU116" s="185" t="s">
        <v>3</v>
      </c>
      <c r="AV116" s="185" t="s">
        <v>1093</v>
      </c>
      <c r="AW116" s="185" t="s">
        <v>1093</v>
      </c>
      <c r="AX116" s="185" t="s">
        <v>2</v>
      </c>
      <c r="AY116" s="185" t="s">
        <v>1</v>
      </c>
      <c r="AZ116" s="185" t="s">
        <v>2</v>
      </c>
      <c r="BA116" s="185" t="s">
        <v>2</v>
      </c>
      <c r="BB116" s="185" t="s">
        <v>1</v>
      </c>
      <c r="BC116" s="185" t="s">
        <v>1</v>
      </c>
      <c r="BD116" s="185" t="s">
        <v>1093</v>
      </c>
      <c r="BE116" s="185" t="s">
        <v>1</v>
      </c>
      <c r="BF116" s="185" t="s">
        <v>1</v>
      </c>
      <c r="BG116" s="185" t="s">
        <v>2</v>
      </c>
      <c r="BH116" s="185" t="s">
        <v>2</v>
      </c>
      <c r="BI116" s="185" t="s">
        <v>1093</v>
      </c>
      <c r="BJ116" s="185" t="s">
        <v>3</v>
      </c>
      <c r="BK116" s="185" t="s">
        <v>3</v>
      </c>
      <c r="BL116" s="185" t="s">
        <v>2</v>
      </c>
      <c r="BM116" s="185" t="s">
        <v>1093</v>
      </c>
      <c r="BN116" s="185" t="s">
        <v>1093</v>
      </c>
      <c r="BO116" s="185" t="s">
        <v>1093</v>
      </c>
      <c r="BP116" s="185" t="s">
        <v>1093</v>
      </c>
      <c r="BQ116" s="185" t="s">
        <v>1093</v>
      </c>
      <c r="BR116" s="185" t="s">
        <v>1093</v>
      </c>
      <c r="BS116" s="185" t="s">
        <v>3</v>
      </c>
      <c r="BT116" s="185" t="s">
        <v>1</v>
      </c>
      <c r="BU116" s="185" t="s">
        <v>1</v>
      </c>
      <c r="BV116" s="185" t="s">
        <v>1</v>
      </c>
      <c r="BW116" s="185" t="s">
        <v>1093</v>
      </c>
      <c r="BX116" s="185" t="s">
        <v>2</v>
      </c>
      <c r="BY116" s="185" t="s">
        <v>1093</v>
      </c>
      <c r="BZ116" s="185" t="s">
        <v>2</v>
      </c>
      <c r="CA116" s="185" t="s">
        <v>1093</v>
      </c>
      <c r="CB116" s="185" t="s">
        <v>1093</v>
      </c>
      <c r="CC116" s="185" t="s">
        <v>1093</v>
      </c>
      <c r="CD116" s="185" t="s">
        <v>1093</v>
      </c>
      <c r="CE116" s="185" t="s">
        <v>1092</v>
      </c>
      <c r="CF116" s="185" t="s">
        <v>1093</v>
      </c>
      <c r="CG116" s="185" t="s">
        <v>2</v>
      </c>
      <c r="CH116" s="185" t="s">
        <v>3</v>
      </c>
      <c r="CI116" s="185" t="s">
        <v>2</v>
      </c>
      <c r="CJ116" s="185" t="s">
        <v>2</v>
      </c>
      <c r="CK116" s="185" t="s">
        <v>2</v>
      </c>
      <c r="CL116" s="185" t="s">
        <v>1</v>
      </c>
      <c r="CM116" s="185" t="s">
        <v>1093</v>
      </c>
      <c r="CN116" s="185" t="s">
        <v>1093</v>
      </c>
      <c r="CO116" s="185" t="s">
        <v>2</v>
      </c>
      <c r="CP116" s="185" t="s">
        <v>2</v>
      </c>
      <c r="CQ116" s="185" t="s">
        <v>2</v>
      </c>
      <c r="CR116" s="185" t="s">
        <v>2</v>
      </c>
      <c r="CS116" s="185" t="s">
        <v>1093</v>
      </c>
      <c r="CT116" s="185" t="s">
        <v>1093</v>
      </c>
      <c r="CU116" s="185" t="s">
        <v>1093</v>
      </c>
      <c r="CV116" s="185" t="s">
        <v>1093</v>
      </c>
      <c r="CW116" s="185" t="s">
        <v>2</v>
      </c>
      <c r="CX116" s="186"/>
      <c r="CY116" s="185">
        <v>20171372016</v>
      </c>
    </row>
    <row r="117" spans="1:103" ht="12.75" x14ac:dyDescent="0.2">
      <c r="A117" s="184">
        <v>42879.770445891205</v>
      </c>
      <c r="B117" s="185" t="s">
        <v>2369</v>
      </c>
      <c r="C117" s="185" t="s">
        <v>2271</v>
      </c>
      <c r="D117" s="185">
        <v>6</v>
      </c>
      <c r="E117" s="185" t="s">
        <v>3</v>
      </c>
      <c r="F117" s="185" t="s">
        <v>3</v>
      </c>
      <c r="G117" s="185" t="s">
        <v>1092</v>
      </c>
      <c r="H117" s="185" t="s">
        <v>3</v>
      </c>
      <c r="I117" s="185" t="s">
        <v>1</v>
      </c>
      <c r="J117" s="185" t="s">
        <v>2</v>
      </c>
      <c r="K117" s="185" t="s">
        <v>3</v>
      </c>
      <c r="L117" s="185" t="s">
        <v>2</v>
      </c>
      <c r="M117" s="185" t="s">
        <v>3</v>
      </c>
      <c r="N117" s="185" t="s">
        <v>3</v>
      </c>
      <c r="O117" s="185" t="s">
        <v>2</v>
      </c>
      <c r="P117" s="185" t="s">
        <v>1</v>
      </c>
      <c r="Q117" s="185" t="s">
        <v>1</v>
      </c>
      <c r="R117" s="185" t="s">
        <v>1</v>
      </c>
      <c r="S117" s="185" t="s">
        <v>3</v>
      </c>
      <c r="T117" s="185" t="s">
        <v>5</v>
      </c>
      <c r="U117" s="185" t="s">
        <v>5</v>
      </c>
      <c r="V117" s="185" t="s">
        <v>2</v>
      </c>
      <c r="W117" s="185" t="s">
        <v>5</v>
      </c>
      <c r="X117" s="185" t="s">
        <v>3</v>
      </c>
      <c r="Y117" s="185" t="s">
        <v>3</v>
      </c>
      <c r="Z117" s="185" t="s">
        <v>3</v>
      </c>
      <c r="AA117" s="185" t="s">
        <v>3</v>
      </c>
      <c r="AB117" s="185" t="s">
        <v>2</v>
      </c>
      <c r="AC117" s="185" t="s">
        <v>1092</v>
      </c>
      <c r="AD117" s="185" t="s">
        <v>5</v>
      </c>
      <c r="AE117" s="185" t="s">
        <v>5</v>
      </c>
      <c r="AF117" s="185" t="s">
        <v>1092</v>
      </c>
      <c r="AG117" s="185" t="s">
        <v>2</v>
      </c>
      <c r="AH117" s="185" t="s">
        <v>1092</v>
      </c>
      <c r="AI117" s="185" t="s">
        <v>3</v>
      </c>
      <c r="AJ117" s="185" t="s">
        <v>3</v>
      </c>
      <c r="AK117" s="185" t="s">
        <v>3</v>
      </c>
      <c r="AL117" s="185" t="s">
        <v>3</v>
      </c>
      <c r="AM117" s="185" t="s">
        <v>3</v>
      </c>
      <c r="AN117" s="185" t="s">
        <v>3</v>
      </c>
      <c r="AO117" s="185" t="s">
        <v>2</v>
      </c>
      <c r="AP117" s="185" t="s">
        <v>3</v>
      </c>
      <c r="AQ117" s="185" t="s">
        <v>3</v>
      </c>
      <c r="AR117" s="185" t="s">
        <v>1092</v>
      </c>
      <c r="AS117" s="185" t="s">
        <v>1092</v>
      </c>
      <c r="AT117" s="185" t="s">
        <v>1092</v>
      </c>
      <c r="AU117" s="185" t="s">
        <v>1093</v>
      </c>
      <c r="AV117" s="185" t="s">
        <v>2</v>
      </c>
      <c r="AW117" s="185" t="s">
        <v>2</v>
      </c>
      <c r="AX117" s="185" t="s">
        <v>3</v>
      </c>
      <c r="AY117" s="185" t="s">
        <v>3</v>
      </c>
      <c r="AZ117" s="185" t="s">
        <v>3</v>
      </c>
      <c r="BA117" s="185" t="s">
        <v>1092</v>
      </c>
      <c r="BB117" s="185" t="s">
        <v>3</v>
      </c>
      <c r="BC117" s="185" t="s">
        <v>5</v>
      </c>
      <c r="BD117" s="185" t="s">
        <v>1093</v>
      </c>
      <c r="BE117" s="185" t="s">
        <v>5</v>
      </c>
      <c r="BF117" s="185" t="s">
        <v>3</v>
      </c>
      <c r="BG117" s="185" t="s">
        <v>3</v>
      </c>
      <c r="BH117" s="185" t="s">
        <v>3</v>
      </c>
      <c r="BI117" s="185" t="s">
        <v>3</v>
      </c>
      <c r="BJ117" s="185" t="s">
        <v>3</v>
      </c>
      <c r="BK117" s="185" t="s">
        <v>3</v>
      </c>
      <c r="BL117" s="185" t="s">
        <v>3</v>
      </c>
      <c r="BM117" s="185" t="s">
        <v>2</v>
      </c>
      <c r="BN117" s="185" t="s">
        <v>2</v>
      </c>
      <c r="BO117" s="185" t="s">
        <v>2</v>
      </c>
      <c r="BP117" s="185" t="s">
        <v>3</v>
      </c>
      <c r="BQ117" s="185" t="s">
        <v>2</v>
      </c>
      <c r="BR117" s="185" t="s">
        <v>3</v>
      </c>
      <c r="BS117" s="185" t="s">
        <v>2</v>
      </c>
      <c r="BT117" s="185" t="s">
        <v>3</v>
      </c>
      <c r="BU117" s="185" t="s">
        <v>3</v>
      </c>
      <c r="BV117" s="185" t="s">
        <v>3</v>
      </c>
      <c r="BW117" s="185" t="s">
        <v>3</v>
      </c>
      <c r="BX117" s="185" t="s">
        <v>5</v>
      </c>
      <c r="BY117" s="185" t="s">
        <v>5</v>
      </c>
      <c r="BZ117" s="185" t="s">
        <v>5</v>
      </c>
      <c r="CA117" s="185" t="s">
        <v>3</v>
      </c>
      <c r="CB117" s="185" t="s">
        <v>3</v>
      </c>
      <c r="CC117" s="185" t="s">
        <v>1092</v>
      </c>
      <c r="CD117" s="185" t="s">
        <v>3</v>
      </c>
      <c r="CE117" s="185" t="s">
        <v>1092</v>
      </c>
      <c r="CF117" s="185" t="s">
        <v>1093</v>
      </c>
      <c r="CG117" s="185" t="s">
        <v>1093</v>
      </c>
      <c r="CH117" s="185" t="s">
        <v>2</v>
      </c>
      <c r="CI117" s="185" t="s">
        <v>2</v>
      </c>
      <c r="CJ117" s="185" t="s">
        <v>5</v>
      </c>
      <c r="CK117" s="185" t="s">
        <v>5</v>
      </c>
      <c r="CL117" s="185" t="s">
        <v>2</v>
      </c>
      <c r="CM117" s="185" t="s">
        <v>2</v>
      </c>
      <c r="CN117" s="185" t="s">
        <v>2</v>
      </c>
      <c r="CO117" s="185" t="s">
        <v>2</v>
      </c>
      <c r="CP117" s="185" t="s">
        <v>3</v>
      </c>
      <c r="CQ117" s="185" t="s">
        <v>2</v>
      </c>
      <c r="CR117" s="185" t="s">
        <v>2</v>
      </c>
      <c r="CS117" s="185" t="s">
        <v>2</v>
      </c>
      <c r="CT117" s="185" t="s">
        <v>2</v>
      </c>
      <c r="CU117" s="185" t="s">
        <v>2</v>
      </c>
      <c r="CV117" s="185" t="s">
        <v>2</v>
      </c>
      <c r="CW117" s="185" t="s">
        <v>3</v>
      </c>
      <c r="CX117" s="186"/>
      <c r="CY117" s="185">
        <v>20142372014</v>
      </c>
    </row>
    <row r="118" spans="1:103" ht="12.75" x14ac:dyDescent="0.2">
      <c r="A118" s="184">
        <v>42879.770980810186</v>
      </c>
      <c r="B118" s="185" t="s">
        <v>2370</v>
      </c>
      <c r="C118" s="185" t="s">
        <v>2271</v>
      </c>
      <c r="D118" s="185">
        <v>6</v>
      </c>
      <c r="E118" s="185" t="s">
        <v>1092</v>
      </c>
      <c r="F118" s="185" t="s">
        <v>2</v>
      </c>
      <c r="G118" s="185" t="s">
        <v>3</v>
      </c>
      <c r="H118" s="185" t="s">
        <v>1092</v>
      </c>
      <c r="I118" s="185" t="s">
        <v>1093</v>
      </c>
      <c r="J118" s="185" t="s">
        <v>2</v>
      </c>
      <c r="K118" s="185" t="s">
        <v>2</v>
      </c>
      <c r="L118" s="185" t="s">
        <v>3</v>
      </c>
      <c r="M118" s="185" t="s">
        <v>1</v>
      </c>
      <c r="N118" s="185" t="s">
        <v>1</v>
      </c>
      <c r="O118" s="185" t="s">
        <v>1093</v>
      </c>
      <c r="P118" s="185" t="s">
        <v>1093</v>
      </c>
      <c r="Q118" s="185" t="s">
        <v>1</v>
      </c>
      <c r="R118" s="185" t="s">
        <v>1093</v>
      </c>
      <c r="S118" s="185" t="s">
        <v>1</v>
      </c>
      <c r="T118" s="185" t="s">
        <v>1093</v>
      </c>
      <c r="U118" s="185" t="s">
        <v>5</v>
      </c>
      <c r="V118" s="185" t="s">
        <v>2</v>
      </c>
      <c r="W118" s="185" t="s">
        <v>3</v>
      </c>
      <c r="X118" s="185" t="s">
        <v>2</v>
      </c>
      <c r="Y118" s="185" t="s">
        <v>3</v>
      </c>
      <c r="Z118" s="185" t="s">
        <v>1</v>
      </c>
      <c r="AA118" s="185" t="s">
        <v>1092</v>
      </c>
      <c r="AB118" s="185" t="s">
        <v>2</v>
      </c>
      <c r="AC118" s="185" t="s">
        <v>1092</v>
      </c>
      <c r="AD118" s="185" t="s">
        <v>5</v>
      </c>
      <c r="AE118" s="185" t="s">
        <v>5</v>
      </c>
      <c r="AF118" s="185" t="s">
        <v>1092</v>
      </c>
      <c r="AG118" s="185" t="s">
        <v>5</v>
      </c>
      <c r="AH118" s="185" t="s">
        <v>3</v>
      </c>
      <c r="AI118" s="185" t="s">
        <v>2</v>
      </c>
      <c r="AJ118" s="185" t="s">
        <v>2</v>
      </c>
      <c r="AK118" s="185" t="s">
        <v>1</v>
      </c>
      <c r="AL118" s="185" t="s">
        <v>2</v>
      </c>
      <c r="AM118" s="185" t="s">
        <v>2</v>
      </c>
      <c r="AN118" s="185" t="s">
        <v>3</v>
      </c>
      <c r="AO118" s="185" t="s">
        <v>2</v>
      </c>
      <c r="AP118" s="185" t="s">
        <v>2</v>
      </c>
      <c r="AQ118" s="185" t="s">
        <v>1092</v>
      </c>
      <c r="AR118" s="185" t="s">
        <v>3</v>
      </c>
      <c r="AS118" s="185" t="s">
        <v>1092</v>
      </c>
      <c r="AT118" s="185" t="s">
        <v>1092</v>
      </c>
      <c r="AU118" s="185" t="s">
        <v>1092</v>
      </c>
      <c r="AV118" s="185" t="s">
        <v>2</v>
      </c>
      <c r="AW118" s="185" t="s">
        <v>5</v>
      </c>
      <c r="AX118" s="185" t="s">
        <v>3</v>
      </c>
      <c r="AY118" s="185" t="s">
        <v>2</v>
      </c>
      <c r="AZ118" s="185" t="s">
        <v>5</v>
      </c>
      <c r="BA118" s="185" t="s">
        <v>1093</v>
      </c>
      <c r="BB118" s="185" t="s">
        <v>1</v>
      </c>
      <c r="BC118" s="185" t="s">
        <v>1093</v>
      </c>
      <c r="BD118" s="185" t="s">
        <v>1093</v>
      </c>
      <c r="BE118" s="185" t="s">
        <v>1092</v>
      </c>
      <c r="BF118" s="185" t="s">
        <v>1092</v>
      </c>
      <c r="BG118" s="185" t="s">
        <v>1092</v>
      </c>
      <c r="BH118" s="185" t="s">
        <v>2</v>
      </c>
      <c r="BI118" s="185" t="s">
        <v>1093</v>
      </c>
      <c r="BJ118" s="185" t="s">
        <v>3</v>
      </c>
      <c r="BK118" s="185" t="s">
        <v>1092</v>
      </c>
      <c r="BL118" s="185" t="s">
        <v>2</v>
      </c>
      <c r="BM118" s="185" t="s">
        <v>1</v>
      </c>
      <c r="BN118" s="185" t="s">
        <v>1</v>
      </c>
      <c r="BO118" s="185" t="s">
        <v>1</v>
      </c>
      <c r="BP118" s="185" t="s">
        <v>1092</v>
      </c>
      <c r="BQ118" s="185" t="s">
        <v>2</v>
      </c>
      <c r="BR118" s="185" t="s">
        <v>1092</v>
      </c>
      <c r="BS118" s="185" t="s">
        <v>1093</v>
      </c>
      <c r="BT118" s="185" t="s">
        <v>1</v>
      </c>
      <c r="BU118" s="185" t="s">
        <v>1</v>
      </c>
      <c r="BV118" s="185" t="s">
        <v>2</v>
      </c>
      <c r="BW118" s="185" t="s">
        <v>3</v>
      </c>
      <c r="BX118" s="185" t="s">
        <v>1093</v>
      </c>
      <c r="BY118" s="185" t="s">
        <v>5</v>
      </c>
      <c r="BZ118" s="185" t="s">
        <v>1093</v>
      </c>
      <c r="CA118" s="185" t="s">
        <v>1092</v>
      </c>
      <c r="CB118" s="185" t="s">
        <v>1093</v>
      </c>
      <c r="CC118" s="185" t="s">
        <v>2</v>
      </c>
      <c r="CD118" s="185" t="s">
        <v>2</v>
      </c>
      <c r="CE118" s="185" t="s">
        <v>1092</v>
      </c>
      <c r="CF118" s="185" t="s">
        <v>1093</v>
      </c>
      <c r="CG118" s="185" t="s">
        <v>1093</v>
      </c>
      <c r="CH118" s="185" t="s">
        <v>1</v>
      </c>
      <c r="CI118" s="185" t="s">
        <v>1093</v>
      </c>
      <c r="CJ118" s="185" t="s">
        <v>1093</v>
      </c>
      <c r="CK118" s="185" t="s">
        <v>1093</v>
      </c>
      <c r="CL118" s="185" t="s">
        <v>1093</v>
      </c>
      <c r="CM118" s="185" t="s">
        <v>1</v>
      </c>
      <c r="CN118" s="185" t="s">
        <v>1092</v>
      </c>
      <c r="CO118" s="185" t="s">
        <v>2</v>
      </c>
      <c r="CP118" s="185" t="s">
        <v>2</v>
      </c>
      <c r="CQ118" s="185" t="s">
        <v>3</v>
      </c>
      <c r="CR118" s="185" t="s">
        <v>3</v>
      </c>
      <c r="CS118" s="185" t="s">
        <v>1</v>
      </c>
      <c r="CT118" s="185" t="s">
        <v>1</v>
      </c>
      <c r="CU118" s="185" t="s">
        <v>2</v>
      </c>
      <c r="CV118" s="185" t="s">
        <v>2</v>
      </c>
      <c r="CW118" s="185" t="s">
        <v>2</v>
      </c>
      <c r="CX118" s="186"/>
      <c r="CY118" s="185">
        <v>20142372047</v>
      </c>
    </row>
    <row r="119" spans="1:103" ht="12.75" x14ac:dyDescent="0.2">
      <c r="A119" s="184">
        <v>42879.772169861113</v>
      </c>
      <c r="B119" s="185" t="s">
        <v>2371</v>
      </c>
      <c r="C119" s="185" t="s">
        <v>2271</v>
      </c>
      <c r="D119" s="185">
        <v>6</v>
      </c>
      <c r="E119" s="185" t="s">
        <v>1</v>
      </c>
      <c r="F119" s="185" t="s">
        <v>1092</v>
      </c>
      <c r="G119" s="185" t="s">
        <v>1092</v>
      </c>
      <c r="H119" s="185" t="s">
        <v>3</v>
      </c>
      <c r="I119" s="185" t="s">
        <v>1</v>
      </c>
      <c r="J119" s="185" t="s">
        <v>1</v>
      </c>
      <c r="K119" s="185" t="s">
        <v>2</v>
      </c>
      <c r="L119" s="185" t="s">
        <v>2</v>
      </c>
      <c r="M119" s="185" t="s">
        <v>2</v>
      </c>
      <c r="N119" s="185" t="s">
        <v>2</v>
      </c>
      <c r="O119" s="185" t="s">
        <v>1</v>
      </c>
      <c r="P119" s="185" t="s">
        <v>1</v>
      </c>
      <c r="Q119" s="185" t="s">
        <v>1</v>
      </c>
      <c r="R119" s="185" t="s">
        <v>1</v>
      </c>
      <c r="S119" s="185" t="s">
        <v>2</v>
      </c>
      <c r="T119" s="185" t="s">
        <v>1</v>
      </c>
      <c r="U119" s="185" t="s">
        <v>1</v>
      </c>
      <c r="V119" s="185" t="s">
        <v>2</v>
      </c>
      <c r="W119" s="185" t="s">
        <v>1</v>
      </c>
      <c r="X119" s="185" t="s">
        <v>3</v>
      </c>
      <c r="Y119" s="185" t="s">
        <v>3</v>
      </c>
      <c r="Z119" s="185" t="s">
        <v>3</v>
      </c>
      <c r="AA119" s="185" t="s">
        <v>3</v>
      </c>
      <c r="AB119" s="185" t="s">
        <v>1</v>
      </c>
      <c r="AC119" s="185" t="s">
        <v>1</v>
      </c>
      <c r="AD119" s="185" t="s">
        <v>1</v>
      </c>
      <c r="AE119" s="185" t="s">
        <v>1</v>
      </c>
      <c r="AF119" s="185" t="s">
        <v>1093</v>
      </c>
      <c r="AG119" s="185" t="s">
        <v>1093</v>
      </c>
      <c r="AH119" s="185" t="s">
        <v>2</v>
      </c>
      <c r="AI119" s="185" t="s">
        <v>2</v>
      </c>
      <c r="AJ119" s="185" t="s">
        <v>2</v>
      </c>
      <c r="AK119" s="185" t="s">
        <v>1</v>
      </c>
      <c r="AL119" s="185" t="s">
        <v>1</v>
      </c>
      <c r="AM119" s="185" t="s">
        <v>1</v>
      </c>
      <c r="AN119" s="185" t="s">
        <v>3</v>
      </c>
      <c r="AO119" s="185" t="s">
        <v>1</v>
      </c>
      <c r="AP119" s="185" t="s">
        <v>2</v>
      </c>
      <c r="AQ119" s="185" t="s">
        <v>1</v>
      </c>
      <c r="AR119" s="185" t="s">
        <v>3</v>
      </c>
      <c r="AS119" s="185" t="s">
        <v>3</v>
      </c>
      <c r="AT119" s="185" t="s">
        <v>3</v>
      </c>
      <c r="AU119" s="185" t="s">
        <v>1</v>
      </c>
      <c r="AV119" s="185" t="s">
        <v>1</v>
      </c>
      <c r="AW119" s="185" t="s">
        <v>3</v>
      </c>
      <c r="AX119" s="185" t="s">
        <v>3</v>
      </c>
      <c r="AY119" s="185" t="s">
        <v>3</v>
      </c>
      <c r="AZ119" s="185" t="s">
        <v>1</v>
      </c>
      <c r="BA119" s="185" t="s">
        <v>1</v>
      </c>
      <c r="BB119" s="185" t="s">
        <v>1</v>
      </c>
      <c r="BC119" s="185" t="s">
        <v>1</v>
      </c>
      <c r="BD119" s="185" t="s">
        <v>2</v>
      </c>
      <c r="BE119" s="185" t="s">
        <v>1</v>
      </c>
      <c r="BF119" s="185" t="s">
        <v>3</v>
      </c>
      <c r="BG119" s="185" t="s">
        <v>1</v>
      </c>
      <c r="BH119" s="185" t="s">
        <v>1</v>
      </c>
      <c r="BI119" s="185" t="s">
        <v>3</v>
      </c>
      <c r="BJ119" s="185" t="s">
        <v>2</v>
      </c>
      <c r="BK119" s="185" t="s">
        <v>2</v>
      </c>
      <c r="BL119" s="185" t="s">
        <v>3</v>
      </c>
      <c r="BM119" s="185" t="s">
        <v>1</v>
      </c>
      <c r="BN119" s="185" t="s">
        <v>2</v>
      </c>
      <c r="BO119" s="185" t="s">
        <v>1</v>
      </c>
      <c r="BP119" s="185" t="s">
        <v>2</v>
      </c>
      <c r="BQ119" s="185" t="s">
        <v>3</v>
      </c>
      <c r="BR119" s="185" t="s">
        <v>3</v>
      </c>
      <c r="BS119" s="185" t="s">
        <v>2</v>
      </c>
      <c r="BT119" s="185" t="s">
        <v>2</v>
      </c>
      <c r="BU119" s="185" t="s">
        <v>2</v>
      </c>
      <c r="BV119" s="185" t="s">
        <v>2</v>
      </c>
      <c r="BW119" s="185" t="s">
        <v>2</v>
      </c>
      <c r="BX119" s="185" t="s">
        <v>2</v>
      </c>
      <c r="BY119" s="185" t="s">
        <v>2</v>
      </c>
      <c r="BZ119" s="185" t="s">
        <v>1</v>
      </c>
      <c r="CA119" s="185" t="s">
        <v>1</v>
      </c>
      <c r="CB119" s="185" t="s">
        <v>1</v>
      </c>
      <c r="CC119" s="185" t="s">
        <v>1</v>
      </c>
      <c r="CD119" s="185" t="s">
        <v>1</v>
      </c>
      <c r="CE119" s="185" t="s">
        <v>2</v>
      </c>
      <c r="CF119" s="185" t="s">
        <v>1093</v>
      </c>
      <c r="CG119" s="185" t="s">
        <v>1093</v>
      </c>
      <c r="CH119" s="185" t="s">
        <v>1093</v>
      </c>
      <c r="CI119" s="185" t="s">
        <v>1093</v>
      </c>
      <c r="CJ119" s="185" t="s">
        <v>2</v>
      </c>
      <c r="CK119" s="185" t="s">
        <v>1093</v>
      </c>
      <c r="CL119" s="185" t="s">
        <v>1093</v>
      </c>
      <c r="CM119" s="185" t="s">
        <v>1093</v>
      </c>
      <c r="CN119" s="185" t="s">
        <v>1093</v>
      </c>
      <c r="CO119" s="185" t="s">
        <v>1093</v>
      </c>
      <c r="CP119" s="185" t="s">
        <v>1093</v>
      </c>
      <c r="CQ119" s="185" t="s">
        <v>1093</v>
      </c>
      <c r="CR119" s="185" t="s">
        <v>1093</v>
      </c>
      <c r="CS119" s="185" t="s">
        <v>2</v>
      </c>
      <c r="CT119" s="185" t="s">
        <v>1093</v>
      </c>
      <c r="CU119" s="185" t="s">
        <v>1093</v>
      </c>
      <c r="CV119" s="185" t="s">
        <v>1093</v>
      </c>
      <c r="CW119" s="185" t="s">
        <v>1093</v>
      </c>
      <c r="CX119" s="186"/>
      <c r="CY119" s="185">
        <v>20142372048</v>
      </c>
    </row>
    <row r="120" spans="1:103" ht="12.75" x14ac:dyDescent="0.2">
      <c r="A120" s="184">
        <v>42879.772340300929</v>
      </c>
      <c r="B120" s="185" t="s">
        <v>2372</v>
      </c>
      <c r="C120" s="185" t="s">
        <v>2271</v>
      </c>
      <c r="D120" s="185">
        <v>9</v>
      </c>
      <c r="E120" s="185" t="s">
        <v>2</v>
      </c>
      <c r="F120" s="185" t="s">
        <v>1</v>
      </c>
      <c r="G120" s="185" t="s">
        <v>3</v>
      </c>
      <c r="H120" s="185" t="s">
        <v>5</v>
      </c>
      <c r="I120" s="185" t="s">
        <v>1093</v>
      </c>
      <c r="J120" s="185" t="s">
        <v>1093</v>
      </c>
      <c r="K120" s="185" t="s">
        <v>1092</v>
      </c>
      <c r="L120" s="185" t="s">
        <v>1092</v>
      </c>
      <c r="M120" s="185" t="s">
        <v>1092</v>
      </c>
      <c r="N120" s="185" t="s">
        <v>1092</v>
      </c>
      <c r="O120" s="185" t="s">
        <v>1092</v>
      </c>
      <c r="P120" s="185" t="s">
        <v>1093</v>
      </c>
      <c r="Q120" s="185" t="s">
        <v>1093</v>
      </c>
      <c r="R120" s="185" t="s">
        <v>1093</v>
      </c>
      <c r="S120" s="185" t="s">
        <v>1093</v>
      </c>
      <c r="T120" s="185" t="s">
        <v>1093</v>
      </c>
      <c r="U120" s="185" t="s">
        <v>1093</v>
      </c>
      <c r="V120" s="185" t="s">
        <v>1092</v>
      </c>
      <c r="W120" s="185" t="s">
        <v>1093</v>
      </c>
      <c r="X120" s="185" t="s">
        <v>1093</v>
      </c>
      <c r="Y120" s="185" t="s">
        <v>1092</v>
      </c>
      <c r="Z120" s="185" t="s">
        <v>1093</v>
      </c>
      <c r="AA120" s="185" t="s">
        <v>1093</v>
      </c>
      <c r="AB120" s="185" t="s">
        <v>1093</v>
      </c>
      <c r="AC120" s="185" t="s">
        <v>1092</v>
      </c>
      <c r="AD120" s="185" t="s">
        <v>1092</v>
      </c>
      <c r="AE120" s="185" t="s">
        <v>1093</v>
      </c>
      <c r="AF120" s="185" t="s">
        <v>1093</v>
      </c>
      <c r="AG120" s="185" t="s">
        <v>1093</v>
      </c>
      <c r="AH120" s="185" t="s">
        <v>1093</v>
      </c>
      <c r="AI120" s="185" t="s">
        <v>1092</v>
      </c>
      <c r="AJ120" s="185" t="s">
        <v>1092</v>
      </c>
      <c r="AK120" s="185" t="s">
        <v>1092</v>
      </c>
      <c r="AL120" s="185" t="s">
        <v>1093</v>
      </c>
      <c r="AM120" s="185" t="s">
        <v>1092</v>
      </c>
      <c r="AN120" s="185" t="s">
        <v>1092</v>
      </c>
      <c r="AO120" s="185" t="s">
        <v>1</v>
      </c>
      <c r="AP120" s="185" t="s">
        <v>1092</v>
      </c>
      <c r="AQ120" s="185" t="s">
        <v>1093</v>
      </c>
      <c r="AR120" s="185" t="s">
        <v>1092</v>
      </c>
      <c r="AS120" s="185" t="s">
        <v>1092</v>
      </c>
      <c r="AT120" s="185" t="s">
        <v>1092</v>
      </c>
      <c r="AU120" s="185" t="s">
        <v>1092</v>
      </c>
      <c r="AV120" s="185" t="s">
        <v>1093</v>
      </c>
      <c r="AW120" s="185" t="s">
        <v>1092</v>
      </c>
      <c r="AX120" s="185" t="s">
        <v>1092</v>
      </c>
      <c r="AY120" s="185" t="s">
        <v>1093</v>
      </c>
      <c r="AZ120" s="185" t="s">
        <v>1092</v>
      </c>
      <c r="BA120" s="185" t="s">
        <v>1092</v>
      </c>
      <c r="BB120" s="185" t="s">
        <v>1092</v>
      </c>
      <c r="BC120" s="185" t="s">
        <v>1092</v>
      </c>
      <c r="BD120" s="185" t="s">
        <v>1093</v>
      </c>
      <c r="BE120" s="185" t="s">
        <v>1093</v>
      </c>
      <c r="BF120" s="185" t="s">
        <v>1093</v>
      </c>
      <c r="BG120" s="185" t="s">
        <v>1093</v>
      </c>
      <c r="BH120" s="185" t="s">
        <v>1093</v>
      </c>
      <c r="BI120" s="185" t="s">
        <v>1092</v>
      </c>
      <c r="BJ120" s="185" t="s">
        <v>1092</v>
      </c>
      <c r="BK120" s="185" t="s">
        <v>1092</v>
      </c>
      <c r="BL120" s="185" t="s">
        <v>1092</v>
      </c>
      <c r="BM120" s="185" t="s">
        <v>1092</v>
      </c>
      <c r="BN120" s="185" t="s">
        <v>1092</v>
      </c>
      <c r="BO120" s="185" t="s">
        <v>1093</v>
      </c>
      <c r="BP120" s="185" t="s">
        <v>1</v>
      </c>
      <c r="BQ120" s="185" t="s">
        <v>1092</v>
      </c>
      <c r="BR120" s="185" t="s">
        <v>1092</v>
      </c>
      <c r="BS120" s="185" t="s">
        <v>1092</v>
      </c>
      <c r="BT120" s="185" t="s">
        <v>1092</v>
      </c>
      <c r="BU120" s="185" t="s">
        <v>1092</v>
      </c>
      <c r="BV120" s="185" t="s">
        <v>1092</v>
      </c>
      <c r="BW120" s="185" t="s">
        <v>1092</v>
      </c>
      <c r="BX120" s="185" t="s">
        <v>1093</v>
      </c>
      <c r="BY120" s="185" t="s">
        <v>1093</v>
      </c>
      <c r="BZ120" s="185" t="s">
        <v>1093</v>
      </c>
      <c r="CA120" s="185" t="s">
        <v>1092</v>
      </c>
      <c r="CB120" s="185" t="s">
        <v>1092</v>
      </c>
      <c r="CC120" s="185" t="s">
        <v>1092</v>
      </c>
      <c r="CD120" s="185" t="s">
        <v>1092</v>
      </c>
      <c r="CE120" s="185" t="s">
        <v>1092</v>
      </c>
      <c r="CF120" s="185" t="s">
        <v>1092</v>
      </c>
      <c r="CG120" s="185" t="s">
        <v>1092</v>
      </c>
      <c r="CH120" s="185" t="s">
        <v>1092</v>
      </c>
      <c r="CI120" s="185" t="s">
        <v>3</v>
      </c>
      <c r="CJ120" s="185" t="s">
        <v>1093</v>
      </c>
      <c r="CK120" s="185" t="s">
        <v>1</v>
      </c>
      <c r="CL120" s="185" t="s">
        <v>1092</v>
      </c>
      <c r="CM120" s="185" t="s">
        <v>1</v>
      </c>
      <c r="CN120" s="185" t="s">
        <v>1</v>
      </c>
      <c r="CO120" s="185" t="s">
        <v>1092</v>
      </c>
      <c r="CP120" s="185" t="s">
        <v>1092</v>
      </c>
      <c r="CQ120" s="185" t="s">
        <v>3</v>
      </c>
      <c r="CR120" s="185" t="s">
        <v>1092</v>
      </c>
      <c r="CS120" s="185" t="s">
        <v>1092</v>
      </c>
      <c r="CT120" s="185" t="s">
        <v>1092</v>
      </c>
      <c r="CU120" s="185" t="s">
        <v>1092</v>
      </c>
      <c r="CV120" s="185" t="s">
        <v>1092</v>
      </c>
      <c r="CW120" s="185" t="s">
        <v>1092</v>
      </c>
      <c r="CX120" s="186"/>
      <c r="CY120" s="185">
        <v>20131372010</v>
      </c>
    </row>
    <row r="121" spans="1:103" ht="12.75" x14ac:dyDescent="0.2">
      <c r="A121" s="184">
        <v>42879.772967129626</v>
      </c>
      <c r="B121" s="185" t="s">
        <v>2373</v>
      </c>
      <c r="C121" s="185" t="s">
        <v>2271</v>
      </c>
      <c r="D121" s="185">
        <v>10</v>
      </c>
      <c r="E121" s="185" t="s">
        <v>3</v>
      </c>
      <c r="F121" s="185" t="s">
        <v>1092</v>
      </c>
      <c r="G121" s="185" t="s">
        <v>1092</v>
      </c>
      <c r="H121" s="185" t="s">
        <v>1092</v>
      </c>
      <c r="I121" s="185" t="s">
        <v>1092</v>
      </c>
      <c r="J121" s="185" t="s">
        <v>3</v>
      </c>
      <c r="K121" s="185" t="s">
        <v>1092</v>
      </c>
      <c r="L121" s="185" t="s">
        <v>1092</v>
      </c>
      <c r="M121" s="185" t="s">
        <v>3</v>
      </c>
      <c r="N121" s="185" t="s">
        <v>1092</v>
      </c>
      <c r="O121" s="185" t="s">
        <v>3</v>
      </c>
      <c r="P121" s="185" t="s">
        <v>1093</v>
      </c>
      <c r="Q121" s="185" t="s">
        <v>2</v>
      </c>
      <c r="R121" s="185" t="s">
        <v>3</v>
      </c>
      <c r="S121" s="185" t="s">
        <v>3</v>
      </c>
      <c r="T121" s="185" t="s">
        <v>2</v>
      </c>
      <c r="U121" s="185" t="s">
        <v>2</v>
      </c>
      <c r="V121" s="185" t="s">
        <v>3</v>
      </c>
      <c r="W121" s="185" t="s">
        <v>3</v>
      </c>
      <c r="X121" s="185" t="s">
        <v>3</v>
      </c>
      <c r="Y121" s="185" t="s">
        <v>1092</v>
      </c>
      <c r="Z121" s="185" t="s">
        <v>1092</v>
      </c>
      <c r="AA121" s="185" t="s">
        <v>1092</v>
      </c>
      <c r="AB121" s="185" t="s">
        <v>3</v>
      </c>
      <c r="AC121" s="185" t="s">
        <v>2</v>
      </c>
      <c r="AD121" s="185" t="s">
        <v>1092</v>
      </c>
      <c r="AE121" s="185" t="s">
        <v>1092</v>
      </c>
      <c r="AF121" s="185" t="s">
        <v>1093</v>
      </c>
      <c r="AG121" s="185" t="s">
        <v>2</v>
      </c>
      <c r="AH121" s="185" t="s">
        <v>3</v>
      </c>
      <c r="AI121" s="185" t="s">
        <v>2</v>
      </c>
      <c r="AJ121" s="185" t="s">
        <v>3</v>
      </c>
      <c r="AK121" s="185" t="s">
        <v>3</v>
      </c>
      <c r="AL121" s="185" t="s">
        <v>3</v>
      </c>
      <c r="AM121" s="185" t="s">
        <v>3</v>
      </c>
      <c r="AN121" s="185" t="s">
        <v>3</v>
      </c>
      <c r="AO121" s="185" t="s">
        <v>2</v>
      </c>
      <c r="AP121" s="185" t="s">
        <v>3</v>
      </c>
      <c r="AQ121" s="185" t="s">
        <v>3</v>
      </c>
      <c r="AR121" s="185" t="s">
        <v>1092</v>
      </c>
      <c r="AS121" s="185" t="s">
        <v>1092</v>
      </c>
      <c r="AT121" s="185" t="s">
        <v>1092</v>
      </c>
      <c r="AU121" s="185" t="s">
        <v>2</v>
      </c>
      <c r="AV121" s="185" t="s">
        <v>2</v>
      </c>
      <c r="AW121" s="185" t="s">
        <v>1092</v>
      </c>
      <c r="AX121" s="185" t="s">
        <v>3</v>
      </c>
      <c r="AY121" s="185" t="s">
        <v>3</v>
      </c>
      <c r="AZ121" s="185" t="s">
        <v>3</v>
      </c>
      <c r="BA121" s="185" t="s">
        <v>3</v>
      </c>
      <c r="BB121" s="185" t="s">
        <v>5</v>
      </c>
      <c r="BC121" s="185" t="s">
        <v>5</v>
      </c>
      <c r="BD121" s="185" t="s">
        <v>1093</v>
      </c>
      <c r="BE121" s="185" t="s">
        <v>2</v>
      </c>
      <c r="BF121" s="185" t="s">
        <v>1092</v>
      </c>
      <c r="BG121" s="185" t="s">
        <v>1092</v>
      </c>
      <c r="BH121" s="185" t="s">
        <v>1092</v>
      </c>
      <c r="BI121" s="185" t="s">
        <v>1093</v>
      </c>
      <c r="BJ121" s="185" t="s">
        <v>2</v>
      </c>
      <c r="BK121" s="185" t="s">
        <v>2</v>
      </c>
      <c r="BL121" s="185" t="s">
        <v>3</v>
      </c>
      <c r="BM121" s="185" t="s">
        <v>3</v>
      </c>
      <c r="BN121" s="185" t="s">
        <v>2</v>
      </c>
      <c r="BO121" s="185" t="s">
        <v>2</v>
      </c>
      <c r="BP121" s="185" t="s">
        <v>3</v>
      </c>
      <c r="BQ121" s="185" t="s">
        <v>3</v>
      </c>
      <c r="BR121" s="185" t="s">
        <v>3</v>
      </c>
      <c r="BS121" s="185" t="s">
        <v>3</v>
      </c>
      <c r="BT121" s="185" t="s">
        <v>3</v>
      </c>
      <c r="BU121" s="185" t="s">
        <v>3</v>
      </c>
      <c r="BV121" s="185" t="s">
        <v>3</v>
      </c>
      <c r="BW121" s="185" t="s">
        <v>3</v>
      </c>
      <c r="BX121" s="185" t="s">
        <v>3</v>
      </c>
      <c r="BY121" s="185" t="s">
        <v>2</v>
      </c>
      <c r="BZ121" s="185" t="s">
        <v>1093</v>
      </c>
      <c r="CA121" s="185" t="s">
        <v>3</v>
      </c>
      <c r="CB121" s="185" t="s">
        <v>3</v>
      </c>
      <c r="CC121" s="185" t="s">
        <v>3</v>
      </c>
      <c r="CD121" s="185" t="s">
        <v>3</v>
      </c>
      <c r="CE121" s="185" t="s">
        <v>2</v>
      </c>
      <c r="CF121" s="185" t="s">
        <v>1093</v>
      </c>
      <c r="CG121" s="185" t="s">
        <v>1093</v>
      </c>
      <c r="CH121" s="185" t="s">
        <v>3</v>
      </c>
      <c r="CI121" s="185" t="s">
        <v>3</v>
      </c>
      <c r="CJ121" s="185" t="s">
        <v>1</v>
      </c>
      <c r="CK121" s="185" t="s">
        <v>3</v>
      </c>
      <c r="CL121" s="185" t="s">
        <v>2</v>
      </c>
      <c r="CM121" s="185" t="s">
        <v>2</v>
      </c>
      <c r="CN121" s="185" t="s">
        <v>2</v>
      </c>
      <c r="CO121" s="185" t="s">
        <v>3</v>
      </c>
      <c r="CP121" s="185" t="s">
        <v>3</v>
      </c>
      <c r="CQ121" s="185" t="s">
        <v>3</v>
      </c>
      <c r="CR121" s="185" t="s">
        <v>3</v>
      </c>
      <c r="CS121" s="185" t="s">
        <v>2</v>
      </c>
      <c r="CT121" s="185" t="s">
        <v>3</v>
      </c>
      <c r="CU121" s="185" t="s">
        <v>1</v>
      </c>
      <c r="CV121" s="185" t="s">
        <v>1093</v>
      </c>
      <c r="CW121" s="185" t="s">
        <v>1093</v>
      </c>
      <c r="CX121" s="186"/>
      <c r="CY121" s="185">
        <v>20072272028</v>
      </c>
    </row>
    <row r="122" spans="1:103" ht="12.75" x14ac:dyDescent="0.2">
      <c r="A122" s="184">
        <v>42879.774903321755</v>
      </c>
      <c r="B122" s="185" t="s">
        <v>2374</v>
      </c>
      <c r="C122" s="185" t="s">
        <v>2271</v>
      </c>
      <c r="D122" s="185">
        <v>2</v>
      </c>
      <c r="E122" s="185" t="s">
        <v>1092</v>
      </c>
      <c r="F122" s="185" t="s">
        <v>1092</v>
      </c>
      <c r="G122" s="185" t="s">
        <v>1092</v>
      </c>
      <c r="H122" s="185" t="s">
        <v>2</v>
      </c>
      <c r="I122" s="185" t="s">
        <v>1092</v>
      </c>
      <c r="J122" s="185" t="s">
        <v>1</v>
      </c>
      <c r="K122" s="185" t="s">
        <v>2</v>
      </c>
      <c r="L122" s="185" t="s">
        <v>1092</v>
      </c>
      <c r="M122" s="185" t="s">
        <v>2</v>
      </c>
      <c r="N122" s="185" t="s">
        <v>3</v>
      </c>
      <c r="O122" s="185" t="s">
        <v>1</v>
      </c>
      <c r="P122" s="185" t="s">
        <v>1093</v>
      </c>
      <c r="Q122" s="185" t="s">
        <v>2</v>
      </c>
      <c r="R122" s="185" t="s">
        <v>2</v>
      </c>
      <c r="S122" s="185" t="s">
        <v>3</v>
      </c>
      <c r="T122" s="185" t="s">
        <v>2</v>
      </c>
      <c r="U122" s="185" t="s">
        <v>2</v>
      </c>
      <c r="V122" s="185" t="s">
        <v>3</v>
      </c>
      <c r="W122" s="185" t="s">
        <v>3</v>
      </c>
      <c r="X122" s="185" t="s">
        <v>3</v>
      </c>
      <c r="Y122" s="185" t="s">
        <v>3</v>
      </c>
      <c r="Z122" s="185" t="s">
        <v>3</v>
      </c>
      <c r="AA122" s="185" t="s">
        <v>1092</v>
      </c>
      <c r="AB122" s="185" t="s">
        <v>2</v>
      </c>
      <c r="AC122" s="185" t="s">
        <v>1092</v>
      </c>
      <c r="AD122" s="185" t="s">
        <v>5</v>
      </c>
      <c r="AE122" s="185" t="s">
        <v>1092</v>
      </c>
      <c r="AF122" s="185" t="s">
        <v>1092</v>
      </c>
      <c r="AG122" s="185" t="s">
        <v>1092</v>
      </c>
      <c r="AH122" s="185" t="s">
        <v>1092</v>
      </c>
      <c r="AI122" s="185" t="s">
        <v>1092</v>
      </c>
      <c r="AJ122" s="185" t="s">
        <v>1092</v>
      </c>
      <c r="AK122" s="185" t="s">
        <v>1092</v>
      </c>
      <c r="AL122" s="185" t="s">
        <v>2</v>
      </c>
      <c r="AM122" s="185" t="s">
        <v>2</v>
      </c>
      <c r="AN122" s="185" t="s">
        <v>2</v>
      </c>
      <c r="AO122" s="185" t="s">
        <v>2</v>
      </c>
      <c r="AP122" s="185" t="s">
        <v>1092</v>
      </c>
      <c r="AQ122" s="185" t="s">
        <v>1092</v>
      </c>
      <c r="AR122" s="185" t="s">
        <v>1092</v>
      </c>
      <c r="AS122" s="185" t="s">
        <v>1092</v>
      </c>
      <c r="AT122" s="185" t="s">
        <v>1092</v>
      </c>
      <c r="AU122" s="185" t="s">
        <v>1092</v>
      </c>
      <c r="AV122" s="185" t="s">
        <v>1</v>
      </c>
      <c r="AW122" s="185" t="s">
        <v>3</v>
      </c>
      <c r="AX122" s="185" t="s">
        <v>1092</v>
      </c>
      <c r="AY122" s="185" t="s">
        <v>3</v>
      </c>
      <c r="AZ122" s="185" t="s">
        <v>5</v>
      </c>
      <c r="BA122" s="185" t="s">
        <v>5</v>
      </c>
      <c r="BB122" s="185" t="s">
        <v>1092</v>
      </c>
      <c r="BC122" s="185" t="s">
        <v>1093</v>
      </c>
      <c r="BD122" s="185" t="s">
        <v>1093</v>
      </c>
      <c r="BE122" s="185" t="s">
        <v>2</v>
      </c>
      <c r="BF122" s="185" t="s">
        <v>1092</v>
      </c>
      <c r="BG122" s="185" t="s">
        <v>1092</v>
      </c>
      <c r="BH122" s="185" t="s">
        <v>1092</v>
      </c>
      <c r="BI122" s="185" t="s">
        <v>2</v>
      </c>
      <c r="BJ122" s="185" t="s">
        <v>1092</v>
      </c>
      <c r="BK122" s="185" t="s">
        <v>1092</v>
      </c>
      <c r="BL122" s="185" t="s">
        <v>1092</v>
      </c>
      <c r="BM122" s="185" t="s">
        <v>2</v>
      </c>
      <c r="BN122" s="185" t="s">
        <v>1092</v>
      </c>
      <c r="BO122" s="185" t="s">
        <v>3</v>
      </c>
      <c r="BP122" s="185" t="s">
        <v>3</v>
      </c>
      <c r="BQ122" s="185" t="s">
        <v>3</v>
      </c>
      <c r="BR122" s="185" t="s">
        <v>1092</v>
      </c>
      <c r="BS122" s="185" t="s">
        <v>1092</v>
      </c>
      <c r="BT122" s="185" t="s">
        <v>3</v>
      </c>
      <c r="BU122" s="185" t="s">
        <v>3</v>
      </c>
      <c r="BV122" s="185" t="s">
        <v>3</v>
      </c>
      <c r="BW122" s="185" t="s">
        <v>3</v>
      </c>
      <c r="BX122" s="185" t="s">
        <v>2</v>
      </c>
      <c r="BY122" s="185" t="s">
        <v>3</v>
      </c>
      <c r="BZ122" s="185" t="s">
        <v>1093</v>
      </c>
      <c r="CA122" s="185" t="s">
        <v>3</v>
      </c>
      <c r="CB122" s="185" t="s">
        <v>1</v>
      </c>
      <c r="CC122" s="185" t="s">
        <v>3</v>
      </c>
      <c r="CD122" s="185" t="s">
        <v>2</v>
      </c>
      <c r="CE122" s="185" t="s">
        <v>3</v>
      </c>
      <c r="CF122" s="185" t="s">
        <v>3</v>
      </c>
      <c r="CG122" s="185" t="s">
        <v>3</v>
      </c>
      <c r="CH122" s="185" t="s">
        <v>3</v>
      </c>
      <c r="CI122" s="185" t="s">
        <v>3</v>
      </c>
      <c r="CJ122" s="185" t="s">
        <v>3</v>
      </c>
      <c r="CK122" s="185" t="s">
        <v>3</v>
      </c>
      <c r="CL122" s="185" t="s">
        <v>3</v>
      </c>
      <c r="CM122" s="185" t="s">
        <v>3</v>
      </c>
      <c r="CN122" s="185" t="s">
        <v>3</v>
      </c>
      <c r="CO122" s="185" t="s">
        <v>3</v>
      </c>
      <c r="CP122" s="185" t="s">
        <v>3</v>
      </c>
      <c r="CQ122" s="185" t="s">
        <v>3</v>
      </c>
      <c r="CR122" s="185" t="s">
        <v>3</v>
      </c>
      <c r="CS122" s="185" t="s">
        <v>3</v>
      </c>
      <c r="CT122" s="185" t="s">
        <v>3</v>
      </c>
      <c r="CU122" s="185" t="s">
        <v>3</v>
      </c>
      <c r="CV122" s="185" t="s">
        <v>3</v>
      </c>
      <c r="CW122" s="185" t="s">
        <v>3</v>
      </c>
      <c r="CX122" s="186"/>
      <c r="CY122" s="185">
        <v>20131372029</v>
      </c>
    </row>
    <row r="123" spans="1:103" ht="12.75" x14ac:dyDescent="0.2">
      <c r="A123" s="184">
        <v>42879.776812291668</v>
      </c>
      <c r="B123" s="185" t="s">
        <v>2375</v>
      </c>
      <c r="C123" s="185" t="s">
        <v>2271</v>
      </c>
      <c r="D123" s="185">
        <v>6</v>
      </c>
      <c r="E123" s="185" t="s">
        <v>1092</v>
      </c>
      <c r="F123" s="185" t="s">
        <v>1092</v>
      </c>
      <c r="G123" s="185" t="s">
        <v>3</v>
      </c>
      <c r="H123" s="185" t="s">
        <v>1092</v>
      </c>
      <c r="I123" s="185" t="s">
        <v>1093</v>
      </c>
      <c r="J123" s="185" t="s">
        <v>2</v>
      </c>
      <c r="K123" s="185" t="s">
        <v>1093</v>
      </c>
      <c r="L123" s="185" t="s">
        <v>5</v>
      </c>
      <c r="M123" s="185" t="s">
        <v>2</v>
      </c>
      <c r="N123" s="185" t="s">
        <v>3</v>
      </c>
      <c r="O123" s="185" t="s">
        <v>2</v>
      </c>
      <c r="P123" s="185" t="s">
        <v>1093</v>
      </c>
      <c r="Q123" s="185" t="s">
        <v>5</v>
      </c>
      <c r="R123" s="185" t="s">
        <v>1093</v>
      </c>
      <c r="S123" s="185" t="s">
        <v>2</v>
      </c>
      <c r="T123" s="185" t="s">
        <v>1</v>
      </c>
      <c r="U123" s="185" t="s">
        <v>1</v>
      </c>
      <c r="V123" s="185" t="s">
        <v>2</v>
      </c>
      <c r="W123" s="185" t="s">
        <v>2</v>
      </c>
      <c r="X123" s="185" t="s">
        <v>2</v>
      </c>
      <c r="Y123" s="185" t="s">
        <v>1</v>
      </c>
      <c r="Z123" s="185" t="s">
        <v>2</v>
      </c>
      <c r="AA123" s="185" t="s">
        <v>1092</v>
      </c>
      <c r="AB123" s="185" t="s">
        <v>2</v>
      </c>
      <c r="AC123" s="185" t="s">
        <v>2</v>
      </c>
      <c r="AD123" s="185" t="s">
        <v>1092</v>
      </c>
      <c r="AE123" s="185" t="s">
        <v>5</v>
      </c>
      <c r="AF123" s="185" t="s">
        <v>1092</v>
      </c>
      <c r="AG123" s="185" t="s">
        <v>1092</v>
      </c>
      <c r="AH123" s="185" t="s">
        <v>1092</v>
      </c>
      <c r="AI123" s="185" t="s">
        <v>1092</v>
      </c>
      <c r="AJ123" s="185" t="s">
        <v>2</v>
      </c>
      <c r="AK123" s="185" t="s">
        <v>2</v>
      </c>
      <c r="AL123" s="185" t="s">
        <v>2</v>
      </c>
      <c r="AM123" s="185" t="s">
        <v>2</v>
      </c>
      <c r="AN123" s="185" t="s">
        <v>3</v>
      </c>
      <c r="AO123" s="185" t="s">
        <v>3</v>
      </c>
      <c r="AP123" s="185" t="s">
        <v>2</v>
      </c>
      <c r="AQ123" s="185" t="s">
        <v>2</v>
      </c>
      <c r="AR123" s="185" t="s">
        <v>2</v>
      </c>
      <c r="AS123" s="185" t="s">
        <v>1092</v>
      </c>
      <c r="AT123" s="185" t="s">
        <v>1092</v>
      </c>
      <c r="AU123" s="185" t="s">
        <v>1092</v>
      </c>
      <c r="AV123" s="185" t="s">
        <v>2</v>
      </c>
      <c r="AW123" s="185" t="s">
        <v>3</v>
      </c>
      <c r="AX123" s="185" t="s">
        <v>1092</v>
      </c>
      <c r="AY123" s="185" t="s">
        <v>2</v>
      </c>
      <c r="AZ123" s="185" t="s">
        <v>5</v>
      </c>
      <c r="BA123" s="185" t="s">
        <v>5</v>
      </c>
      <c r="BB123" s="185" t="s">
        <v>5</v>
      </c>
      <c r="BC123" s="185" t="s">
        <v>1093</v>
      </c>
      <c r="BD123" s="185" t="s">
        <v>1093</v>
      </c>
      <c r="BE123" s="185" t="s">
        <v>5</v>
      </c>
      <c r="BF123" s="185" t="s">
        <v>3</v>
      </c>
      <c r="BG123" s="185" t="s">
        <v>3</v>
      </c>
      <c r="BH123" s="185" t="s">
        <v>3</v>
      </c>
      <c r="BI123" s="185" t="s">
        <v>1092</v>
      </c>
      <c r="BJ123" s="185" t="s">
        <v>2</v>
      </c>
      <c r="BK123" s="185" t="s">
        <v>3</v>
      </c>
      <c r="BL123" s="185" t="s">
        <v>3</v>
      </c>
      <c r="BM123" s="185" t="s">
        <v>2</v>
      </c>
      <c r="BN123" s="185" t="s">
        <v>2</v>
      </c>
      <c r="BO123" s="185" t="s">
        <v>3</v>
      </c>
      <c r="BP123" s="185" t="s">
        <v>1092</v>
      </c>
      <c r="BQ123" s="185" t="s">
        <v>2</v>
      </c>
      <c r="BR123" s="185" t="s">
        <v>3</v>
      </c>
      <c r="BS123" s="185" t="s">
        <v>2</v>
      </c>
      <c r="BT123" s="185" t="s">
        <v>3</v>
      </c>
      <c r="BU123" s="185" t="s">
        <v>3</v>
      </c>
      <c r="BV123" s="185" t="s">
        <v>3</v>
      </c>
      <c r="BW123" s="185" t="s">
        <v>3</v>
      </c>
      <c r="BX123" s="185" t="s">
        <v>2</v>
      </c>
      <c r="BY123" s="185" t="s">
        <v>5</v>
      </c>
      <c r="BZ123" s="185" t="s">
        <v>1093</v>
      </c>
      <c r="CA123" s="185" t="s">
        <v>3</v>
      </c>
      <c r="CB123" s="185" t="s">
        <v>3</v>
      </c>
      <c r="CC123" s="185" t="s">
        <v>3</v>
      </c>
      <c r="CD123" s="185" t="s">
        <v>2</v>
      </c>
      <c r="CE123" s="185" t="s">
        <v>1092</v>
      </c>
      <c r="CF123" s="185" t="s">
        <v>1093</v>
      </c>
      <c r="CG123" s="185" t="s">
        <v>5</v>
      </c>
      <c r="CH123" s="185" t="s">
        <v>3</v>
      </c>
      <c r="CI123" s="185" t="s">
        <v>3</v>
      </c>
      <c r="CJ123" s="185" t="s">
        <v>2</v>
      </c>
      <c r="CK123" s="185" t="s">
        <v>1</v>
      </c>
      <c r="CL123" s="185" t="s">
        <v>1093</v>
      </c>
      <c r="CM123" s="185" t="s">
        <v>2</v>
      </c>
      <c r="CN123" s="185" t="s">
        <v>1093</v>
      </c>
      <c r="CO123" s="185" t="s">
        <v>5</v>
      </c>
      <c r="CP123" s="185" t="s">
        <v>2</v>
      </c>
      <c r="CQ123" s="185" t="s">
        <v>3</v>
      </c>
      <c r="CR123" s="185" t="s">
        <v>3</v>
      </c>
      <c r="CS123" s="185" t="s">
        <v>2</v>
      </c>
      <c r="CT123" s="185" t="s">
        <v>2</v>
      </c>
      <c r="CU123" s="185" t="s">
        <v>3</v>
      </c>
      <c r="CV123" s="185" t="s">
        <v>3</v>
      </c>
      <c r="CW123" s="185" t="s">
        <v>2</v>
      </c>
      <c r="CX123" s="185" t="s">
        <v>2376</v>
      </c>
      <c r="CY123" s="185">
        <v>20142372010</v>
      </c>
    </row>
    <row r="124" spans="1:103" ht="12.75" x14ac:dyDescent="0.2">
      <c r="A124" s="184">
        <v>42879.886264351851</v>
      </c>
      <c r="B124" s="185" t="s">
        <v>2377</v>
      </c>
      <c r="C124" s="185" t="s">
        <v>2237</v>
      </c>
      <c r="D124" s="185">
        <v>1</v>
      </c>
      <c r="E124" s="185" t="s">
        <v>3</v>
      </c>
      <c r="F124" s="185" t="s">
        <v>2</v>
      </c>
      <c r="G124" s="185" t="s">
        <v>1092</v>
      </c>
      <c r="H124" s="185" t="s">
        <v>3</v>
      </c>
      <c r="I124" s="185" t="s">
        <v>3</v>
      </c>
      <c r="J124" s="185" t="s">
        <v>3</v>
      </c>
      <c r="K124" s="185" t="s">
        <v>1092</v>
      </c>
      <c r="L124" s="185" t="s">
        <v>2</v>
      </c>
      <c r="M124" s="185" t="s">
        <v>1092</v>
      </c>
      <c r="N124" s="185" t="s">
        <v>3</v>
      </c>
      <c r="O124" s="185" t="s">
        <v>3</v>
      </c>
      <c r="P124" s="185" t="s">
        <v>1093</v>
      </c>
      <c r="Q124" s="185" t="s">
        <v>1</v>
      </c>
      <c r="R124" s="185" t="s">
        <v>1092</v>
      </c>
      <c r="S124" s="185" t="s">
        <v>2</v>
      </c>
      <c r="T124" s="185" t="s">
        <v>1</v>
      </c>
      <c r="U124" s="185" t="s">
        <v>1</v>
      </c>
      <c r="V124" s="185" t="s">
        <v>3</v>
      </c>
      <c r="W124" s="185" t="s">
        <v>3</v>
      </c>
      <c r="X124" s="185" t="s">
        <v>2</v>
      </c>
      <c r="Y124" s="185" t="s">
        <v>3</v>
      </c>
      <c r="Z124" s="185" t="s">
        <v>2</v>
      </c>
      <c r="AA124" s="185" t="s">
        <v>2</v>
      </c>
      <c r="AB124" s="185" t="s">
        <v>1</v>
      </c>
      <c r="AC124" s="185" t="s">
        <v>3</v>
      </c>
      <c r="AD124" s="185" t="s">
        <v>2</v>
      </c>
      <c r="AE124" s="185" t="s">
        <v>5</v>
      </c>
      <c r="AF124" s="185" t="s">
        <v>5</v>
      </c>
      <c r="AG124" s="185" t="s">
        <v>5</v>
      </c>
      <c r="AH124" s="185" t="s">
        <v>3</v>
      </c>
      <c r="AI124" s="185" t="s">
        <v>5</v>
      </c>
      <c r="AJ124" s="185" t="s">
        <v>1092</v>
      </c>
      <c r="AK124" s="185" t="s">
        <v>1092</v>
      </c>
      <c r="AL124" s="185" t="s">
        <v>2</v>
      </c>
      <c r="AM124" s="185" t="s">
        <v>3</v>
      </c>
      <c r="AN124" s="185" t="s">
        <v>2</v>
      </c>
      <c r="AO124" s="185" t="s">
        <v>1092</v>
      </c>
      <c r="AP124" s="185" t="s">
        <v>1092</v>
      </c>
      <c r="AQ124" s="185" t="s">
        <v>3</v>
      </c>
      <c r="AR124" s="185" t="s">
        <v>3</v>
      </c>
      <c r="AS124" s="185" t="s">
        <v>1092</v>
      </c>
      <c r="AT124" s="185" t="s">
        <v>1092</v>
      </c>
      <c r="AU124" s="185" t="s">
        <v>1092</v>
      </c>
      <c r="AV124" s="185" t="s">
        <v>1</v>
      </c>
      <c r="AW124" s="185" t="s">
        <v>1092</v>
      </c>
      <c r="AX124" s="185" t="s">
        <v>1092</v>
      </c>
      <c r="AY124" s="185" t="s">
        <v>2</v>
      </c>
      <c r="AZ124" s="185" t="s">
        <v>3</v>
      </c>
      <c r="BA124" s="185" t="s">
        <v>2</v>
      </c>
      <c r="BB124" s="185" t="s">
        <v>1</v>
      </c>
      <c r="BC124" s="185" t="s">
        <v>5</v>
      </c>
      <c r="BD124" s="185" t="s">
        <v>2</v>
      </c>
      <c r="BE124" s="185" t="s">
        <v>3</v>
      </c>
      <c r="BF124" s="185" t="s">
        <v>1</v>
      </c>
      <c r="BG124" s="185" t="s">
        <v>1</v>
      </c>
      <c r="BH124" s="185" t="s">
        <v>1</v>
      </c>
      <c r="BI124" s="185" t="s">
        <v>2</v>
      </c>
      <c r="BJ124" s="185" t="s">
        <v>2</v>
      </c>
      <c r="BK124" s="185" t="s">
        <v>2</v>
      </c>
      <c r="BL124" s="185" t="s">
        <v>3</v>
      </c>
      <c r="BM124" s="185" t="s">
        <v>2</v>
      </c>
      <c r="BN124" s="185" t="s">
        <v>1</v>
      </c>
      <c r="BO124" s="185" t="s">
        <v>1</v>
      </c>
      <c r="BP124" s="185" t="s">
        <v>2</v>
      </c>
      <c r="BQ124" s="185" t="s">
        <v>5</v>
      </c>
      <c r="BR124" s="185" t="s">
        <v>1092</v>
      </c>
      <c r="BS124" s="185" t="s">
        <v>2</v>
      </c>
      <c r="BT124" s="185" t="s">
        <v>1</v>
      </c>
      <c r="BU124" s="185" t="s">
        <v>2</v>
      </c>
      <c r="BV124" s="185" t="s">
        <v>2</v>
      </c>
      <c r="BW124" s="185" t="s">
        <v>2</v>
      </c>
      <c r="BX124" s="185" t="s">
        <v>1</v>
      </c>
      <c r="BY124" s="185" t="s">
        <v>3</v>
      </c>
      <c r="BZ124" s="185" t="s">
        <v>1093</v>
      </c>
      <c r="CA124" s="185" t="s">
        <v>1092</v>
      </c>
      <c r="CB124" s="185" t="s">
        <v>1092</v>
      </c>
      <c r="CC124" s="185" t="s">
        <v>1092</v>
      </c>
      <c r="CD124" s="185" t="s">
        <v>1092</v>
      </c>
      <c r="CE124" s="185" t="s">
        <v>3</v>
      </c>
      <c r="CF124" s="185" t="s">
        <v>5</v>
      </c>
      <c r="CG124" s="185" t="s">
        <v>3</v>
      </c>
      <c r="CH124" s="185" t="s">
        <v>1093</v>
      </c>
      <c r="CI124" s="185" t="s">
        <v>3</v>
      </c>
      <c r="CJ124" s="185" t="s">
        <v>1093</v>
      </c>
      <c r="CK124" s="185" t="s">
        <v>2</v>
      </c>
      <c r="CL124" s="185" t="s">
        <v>5</v>
      </c>
      <c r="CM124" s="185" t="s">
        <v>1093</v>
      </c>
      <c r="CN124" s="185" t="s">
        <v>5</v>
      </c>
      <c r="CO124" s="185" t="s">
        <v>5</v>
      </c>
      <c r="CP124" s="185" t="s">
        <v>2</v>
      </c>
      <c r="CQ124" s="185" t="s">
        <v>5</v>
      </c>
      <c r="CR124" s="185" t="s">
        <v>1</v>
      </c>
      <c r="CS124" s="185" t="s">
        <v>5</v>
      </c>
      <c r="CT124" s="185" t="s">
        <v>5</v>
      </c>
      <c r="CU124" s="185" t="s">
        <v>3</v>
      </c>
      <c r="CV124" s="185" t="s">
        <v>3</v>
      </c>
      <c r="CW124" s="185" t="s">
        <v>2</v>
      </c>
      <c r="CX124" s="186"/>
      <c r="CY124" s="185">
        <v>20171772034</v>
      </c>
    </row>
    <row r="125" spans="1:103" ht="12.75" x14ac:dyDescent="0.2">
      <c r="A125" s="184">
        <v>42880.864981909719</v>
      </c>
      <c r="B125" s="185" t="s">
        <v>2378</v>
      </c>
      <c r="C125" s="185" t="s">
        <v>2237</v>
      </c>
      <c r="D125" s="185">
        <v>1</v>
      </c>
      <c r="E125" s="185" t="s">
        <v>1092</v>
      </c>
      <c r="F125" s="185" t="s">
        <v>2</v>
      </c>
      <c r="G125" s="185" t="s">
        <v>1092</v>
      </c>
      <c r="H125" s="185" t="s">
        <v>1092</v>
      </c>
      <c r="I125" s="185" t="s">
        <v>1093</v>
      </c>
      <c r="J125" s="185" t="s">
        <v>1093</v>
      </c>
      <c r="K125" s="185" t="s">
        <v>1092</v>
      </c>
      <c r="L125" s="185" t="s">
        <v>2</v>
      </c>
      <c r="M125" s="185" t="s">
        <v>2</v>
      </c>
      <c r="N125" s="185" t="s">
        <v>3</v>
      </c>
      <c r="O125" s="185" t="s">
        <v>1093</v>
      </c>
      <c r="P125" s="185" t="s">
        <v>1</v>
      </c>
      <c r="Q125" s="185" t="s">
        <v>2</v>
      </c>
      <c r="R125" s="185" t="s">
        <v>3</v>
      </c>
      <c r="S125" s="185" t="s">
        <v>3</v>
      </c>
      <c r="T125" s="185" t="s">
        <v>1</v>
      </c>
      <c r="U125" s="185" t="s">
        <v>1</v>
      </c>
      <c r="V125" s="185" t="s">
        <v>3</v>
      </c>
      <c r="W125" s="185" t="s">
        <v>1</v>
      </c>
      <c r="X125" s="185" t="s">
        <v>3</v>
      </c>
      <c r="Y125" s="185" t="s">
        <v>3</v>
      </c>
      <c r="Z125" s="185" t="s">
        <v>3</v>
      </c>
      <c r="AA125" s="185" t="s">
        <v>3</v>
      </c>
      <c r="AB125" s="185" t="s">
        <v>3</v>
      </c>
      <c r="AC125" s="185" t="s">
        <v>1092</v>
      </c>
      <c r="AD125" s="185" t="s">
        <v>5</v>
      </c>
      <c r="AE125" s="185" t="s">
        <v>5</v>
      </c>
      <c r="AF125" s="185" t="s">
        <v>3</v>
      </c>
      <c r="AG125" s="185" t="s">
        <v>3</v>
      </c>
      <c r="AH125" s="185" t="s">
        <v>2</v>
      </c>
      <c r="AI125" s="185" t="s">
        <v>3</v>
      </c>
      <c r="AJ125" s="185" t="s">
        <v>2</v>
      </c>
      <c r="AK125" s="185" t="s">
        <v>3</v>
      </c>
      <c r="AL125" s="185" t="s">
        <v>3</v>
      </c>
      <c r="AM125" s="185" t="s">
        <v>3</v>
      </c>
      <c r="AN125" s="185" t="s">
        <v>3</v>
      </c>
      <c r="AO125" s="185" t="s">
        <v>3</v>
      </c>
      <c r="AP125" s="185" t="s">
        <v>3</v>
      </c>
      <c r="AQ125" s="185" t="s">
        <v>1092</v>
      </c>
      <c r="AR125" s="185" t="s">
        <v>1092</v>
      </c>
      <c r="AS125" s="185" t="s">
        <v>3</v>
      </c>
      <c r="AT125" s="185" t="s">
        <v>1092</v>
      </c>
      <c r="AU125" s="185" t="s">
        <v>3</v>
      </c>
      <c r="AV125" s="185" t="s">
        <v>3</v>
      </c>
      <c r="AW125" s="185" t="s">
        <v>3</v>
      </c>
      <c r="AX125" s="185" t="s">
        <v>3</v>
      </c>
      <c r="AY125" s="185" t="s">
        <v>3</v>
      </c>
      <c r="AZ125" s="185" t="s">
        <v>3</v>
      </c>
      <c r="BA125" s="185" t="s">
        <v>2</v>
      </c>
      <c r="BB125" s="185" t="s">
        <v>1</v>
      </c>
      <c r="BC125" s="185" t="s">
        <v>1</v>
      </c>
      <c r="BD125" s="185" t="s">
        <v>1</v>
      </c>
      <c r="BE125" s="185" t="s">
        <v>2</v>
      </c>
      <c r="BF125" s="185" t="s">
        <v>3</v>
      </c>
      <c r="BG125" s="185" t="s">
        <v>1092</v>
      </c>
      <c r="BH125" s="185" t="s">
        <v>3</v>
      </c>
      <c r="BI125" s="185" t="s">
        <v>2</v>
      </c>
      <c r="BJ125" s="185" t="s">
        <v>2</v>
      </c>
      <c r="BK125" s="185" t="s">
        <v>3</v>
      </c>
      <c r="BL125" s="185" t="s">
        <v>1093</v>
      </c>
      <c r="BM125" s="185" t="s">
        <v>1</v>
      </c>
      <c r="BN125" s="185" t="s">
        <v>1</v>
      </c>
      <c r="BO125" s="185" t="s">
        <v>3</v>
      </c>
      <c r="BP125" s="185" t="s">
        <v>3</v>
      </c>
      <c r="BQ125" s="185" t="s">
        <v>3</v>
      </c>
      <c r="BR125" s="185" t="s">
        <v>3</v>
      </c>
      <c r="BS125" s="185" t="s">
        <v>3</v>
      </c>
      <c r="BT125" s="185" t="s">
        <v>1</v>
      </c>
      <c r="BU125" s="185" t="s">
        <v>3</v>
      </c>
      <c r="BV125" s="185" t="s">
        <v>3</v>
      </c>
      <c r="BW125" s="185" t="s">
        <v>3</v>
      </c>
      <c r="BX125" s="185" t="s">
        <v>2</v>
      </c>
      <c r="BY125" s="185" t="s">
        <v>2</v>
      </c>
      <c r="BZ125" s="185" t="s">
        <v>1</v>
      </c>
      <c r="CA125" s="185" t="s">
        <v>3</v>
      </c>
      <c r="CB125" s="185" t="s">
        <v>3</v>
      </c>
      <c r="CC125" s="185" t="s">
        <v>3</v>
      </c>
      <c r="CD125" s="185" t="s">
        <v>3</v>
      </c>
      <c r="CE125" s="185" t="s">
        <v>1092</v>
      </c>
      <c r="CF125" s="185" t="s">
        <v>2</v>
      </c>
      <c r="CG125" s="185" t="s">
        <v>2</v>
      </c>
      <c r="CH125" s="185" t="s">
        <v>2</v>
      </c>
      <c r="CI125" s="185" t="s">
        <v>2</v>
      </c>
      <c r="CJ125" s="185" t="s">
        <v>1</v>
      </c>
      <c r="CK125" s="185" t="s">
        <v>1</v>
      </c>
      <c r="CL125" s="185" t="s">
        <v>1</v>
      </c>
      <c r="CM125" s="185" t="s">
        <v>1093</v>
      </c>
      <c r="CN125" s="185" t="s">
        <v>5</v>
      </c>
      <c r="CO125" s="185" t="s">
        <v>2</v>
      </c>
      <c r="CP125" s="185" t="s">
        <v>2</v>
      </c>
      <c r="CQ125" s="185" t="s">
        <v>2</v>
      </c>
      <c r="CR125" s="185" t="s">
        <v>2</v>
      </c>
      <c r="CS125" s="185" t="s">
        <v>2</v>
      </c>
      <c r="CT125" s="185" t="s">
        <v>1</v>
      </c>
      <c r="CU125" s="185" t="s">
        <v>1093</v>
      </c>
      <c r="CV125" s="185" t="s">
        <v>1093</v>
      </c>
      <c r="CW125" s="185" t="s">
        <v>1093</v>
      </c>
      <c r="CX125" s="186"/>
      <c r="CY125" s="185">
        <v>20171772003</v>
      </c>
    </row>
    <row r="126" spans="1:103" ht="12.75" x14ac:dyDescent="0.2">
      <c r="A126" s="184">
        <v>42887.904825370366</v>
      </c>
      <c r="B126" s="185" t="s">
        <v>2379</v>
      </c>
      <c r="C126" s="185" t="s">
        <v>2237</v>
      </c>
      <c r="D126" s="185">
        <v>1</v>
      </c>
      <c r="E126" s="185" t="s">
        <v>1092</v>
      </c>
      <c r="F126" s="185" t="s">
        <v>1092</v>
      </c>
      <c r="G126" s="185" t="s">
        <v>1092</v>
      </c>
      <c r="H126" s="185" t="s">
        <v>3</v>
      </c>
      <c r="I126" s="185" t="s">
        <v>1093</v>
      </c>
      <c r="J126" s="185" t="s">
        <v>3</v>
      </c>
      <c r="K126" s="185" t="s">
        <v>3</v>
      </c>
      <c r="L126" s="185" t="s">
        <v>3</v>
      </c>
      <c r="M126" s="185" t="s">
        <v>3</v>
      </c>
      <c r="N126" s="185" t="s">
        <v>3</v>
      </c>
      <c r="O126" s="185" t="s">
        <v>3</v>
      </c>
      <c r="P126" s="185" t="s">
        <v>5</v>
      </c>
      <c r="Q126" s="185" t="s">
        <v>2</v>
      </c>
      <c r="R126" s="185" t="s">
        <v>3</v>
      </c>
      <c r="S126" s="185" t="s">
        <v>1092</v>
      </c>
      <c r="T126" s="185" t="s">
        <v>3</v>
      </c>
      <c r="U126" s="185" t="s">
        <v>3</v>
      </c>
      <c r="V126" s="185" t="s">
        <v>3</v>
      </c>
      <c r="W126" s="185" t="s">
        <v>3</v>
      </c>
      <c r="X126" s="185" t="s">
        <v>3</v>
      </c>
      <c r="Y126" s="185" t="s">
        <v>3</v>
      </c>
      <c r="Z126" s="185" t="s">
        <v>3</v>
      </c>
      <c r="AA126" s="185" t="s">
        <v>2</v>
      </c>
      <c r="AB126" s="185" t="s">
        <v>3</v>
      </c>
      <c r="AC126" s="185" t="s">
        <v>3</v>
      </c>
      <c r="AD126" s="185" t="s">
        <v>3</v>
      </c>
      <c r="AE126" s="185" t="s">
        <v>5</v>
      </c>
      <c r="AF126" s="185" t="s">
        <v>5</v>
      </c>
      <c r="AG126" s="185" t="s">
        <v>2</v>
      </c>
      <c r="AH126" s="185" t="s">
        <v>2</v>
      </c>
      <c r="AI126" s="185" t="s">
        <v>2</v>
      </c>
      <c r="AJ126" s="185" t="s">
        <v>3</v>
      </c>
      <c r="AK126" s="185" t="s">
        <v>3</v>
      </c>
      <c r="AL126" s="185" t="s">
        <v>3</v>
      </c>
      <c r="AM126" s="185" t="s">
        <v>3</v>
      </c>
      <c r="AN126" s="185" t="s">
        <v>3</v>
      </c>
      <c r="AO126" s="185" t="s">
        <v>3</v>
      </c>
      <c r="AP126" s="185" t="s">
        <v>3</v>
      </c>
      <c r="AQ126" s="185" t="s">
        <v>1092</v>
      </c>
      <c r="AR126" s="185" t="s">
        <v>1092</v>
      </c>
      <c r="AS126" s="185" t="s">
        <v>1092</v>
      </c>
      <c r="AT126" s="185" t="s">
        <v>1092</v>
      </c>
      <c r="AU126" s="185" t="s">
        <v>1092</v>
      </c>
      <c r="AV126" s="185" t="s">
        <v>3</v>
      </c>
      <c r="AW126" s="185" t="s">
        <v>3</v>
      </c>
      <c r="AX126" s="185" t="s">
        <v>3</v>
      </c>
      <c r="AY126" s="185" t="s">
        <v>3</v>
      </c>
      <c r="AZ126" s="185" t="s">
        <v>3</v>
      </c>
      <c r="BA126" s="185" t="s">
        <v>5</v>
      </c>
      <c r="BB126" s="185" t="s">
        <v>2</v>
      </c>
      <c r="BC126" s="185" t="s">
        <v>2</v>
      </c>
      <c r="BD126" s="185" t="s">
        <v>1093</v>
      </c>
      <c r="BE126" s="185" t="s">
        <v>3</v>
      </c>
      <c r="BF126" s="185" t="s">
        <v>3</v>
      </c>
      <c r="BG126" s="185" t="s">
        <v>3</v>
      </c>
      <c r="BH126" s="185" t="s">
        <v>3</v>
      </c>
      <c r="BI126" s="185" t="s">
        <v>1092</v>
      </c>
      <c r="BJ126" s="185" t="s">
        <v>1092</v>
      </c>
      <c r="BK126" s="185" t="s">
        <v>3</v>
      </c>
      <c r="BL126" s="185" t="s">
        <v>3</v>
      </c>
      <c r="BM126" s="185" t="s">
        <v>5</v>
      </c>
      <c r="BN126" s="185" t="s">
        <v>1092</v>
      </c>
      <c r="BO126" s="185" t="s">
        <v>5</v>
      </c>
      <c r="BP126" s="185" t="s">
        <v>1092</v>
      </c>
      <c r="BQ126" s="185" t="s">
        <v>1092</v>
      </c>
      <c r="BR126" s="185" t="s">
        <v>1092</v>
      </c>
      <c r="BS126" s="185" t="s">
        <v>3</v>
      </c>
      <c r="BT126" s="185" t="s">
        <v>3</v>
      </c>
      <c r="BU126" s="185" t="s">
        <v>3</v>
      </c>
      <c r="BV126" s="185" t="s">
        <v>3</v>
      </c>
      <c r="BW126" s="185" t="s">
        <v>3</v>
      </c>
      <c r="BX126" s="185" t="s">
        <v>3</v>
      </c>
      <c r="BY126" s="185" t="s">
        <v>3</v>
      </c>
      <c r="BZ126" s="185" t="s">
        <v>5</v>
      </c>
      <c r="CA126" s="185" t="s">
        <v>3</v>
      </c>
      <c r="CB126" s="185" t="s">
        <v>3</v>
      </c>
      <c r="CC126" s="185" t="s">
        <v>3</v>
      </c>
      <c r="CD126" s="185" t="s">
        <v>3</v>
      </c>
      <c r="CE126" s="185" t="s">
        <v>3</v>
      </c>
      <c r="CF126" s="185" t="s">
        <v>3</v>
      </c>
      <c r="CG126" s="185" t="s">
        <v>3</v>
      </c>
      <c r="CH126" s="185" t="s">
        <v>3</v>
      </c>
      <c r="CI126" s="185" t="s">
        <v>3</v>
      </c>
      <c r="CJ126" s="185" t="s">
        <v>3</v>
      </c>
      <c r="CK126" s="185" t="s">
        <v>3</v>
      </c>
      <c r="CL126" s="185" t="s">
        <v>3</v>
      </c>
      <c r="CM126" s="185" t="s">
        <v>3</v>
      </c>
      <c r="CN126" s="185" t="s">
        <v>3</v>
      </c>
      <c r="CO126" s="185" t="s">
        <v>5</v>
      </c>
      <c r="CP126" s="185" t="s">
        <v>3</v>
      </c>
      <c r="CQ126" s="185" t="s">
        <v>3</v>
      </c>
      <c r="CR126" s="185" t="s">
        <v>3</v>
      </c>
      <c r="CS126" s="185" t="s">
        <v>3</v>
      </c>
      <c r="CT126" s="185" t="s">
        <v>3</v>
      </c>
      <c r="CU126" s="185" t="s">
        <v>2</v>
      </c>
      <c r="CV126" s="185" t="s">
        <v>2</v>
      </c>
      <c r="CW126" s="185" t="s">
        <v>3</v>
      </c>
      <c r="CX126" s="186"/>
      <c r="CY126" s="185">
        <v>20171772001</v>
      </c>
    </row>
    <row r="127" spans="1:103" ht="12.75" x14ac:dyDescent="0.2">
      <c r="A127" s="184">
        <v>42888.519959166668</v>
      </c>
      <c r="B127" s="185" t="s">
        <v>2380</v>
      </c>
      <c r="C127" s="185" t="s">
        <v>2271</v>
      </c>
      <c r="D127" s="185">
        <v>7</v>
      </c>
      <c r="E127" s="185" t="s">
        <v>2</v>
      </c>
      <c r="F127" s="185" t="s">
        <v>3</v>
      </c>
      <c r="G127" s="185" t="s">
        <v>3</v>
      </c>
      <c r="H127" s="185" t="s">
        <v>1092</v>
      </c>
      <c r="I127" s="185" t="s">
        <v>1093</v>
      </c>
      <c r="J127" s="185" t="s">
        <v>1</v>
      </c>
      <c r="K127" s="185" t="s">
        <v>1092</v>
      </c>
      <c r="L127" s="185" t="s">
        <v>3</v>
      </c>
      <c r="M127" s="185" t="s">
        <v>2</v>
      </c>
      <c r="N127" s="185" t="s">
        <v>2</v>
      </c>
      <c r="O127" s="185" t="s">
        <v>3</v>
      </c>
      <c r="P127" s="185" t="s">
        <v>1093</v>
      </c>
      <c r="Q127" s="185" t="s">
        <v>1</v>
      </c>
      <c r="R127" s="185" t="s">
        <v>1</v>
      </c>
      <c r="S127" s="185" t="s">
        <v>2</v>
      </c>
      <c r="T127" s="185" t="s">
        <v>1</v>
      </c>
      <c r="U127" s="185" t="s">
        <v>1093</v>
      </c>
      <c r="V127" s="185" t="s">
        <v>2</v>
      </c>
      <c r="W127" s="185" t="s">
        <v>1</v>
      </c>
      <c r="X127" s="185" t="s">
        <v>1</v>
      </c>
      <c r="Y127" s="185" t="s">
        <v>1</v>
      </c>
      <c r="Z127" s="185" t="s">
        <v>1</v>
      </c>
      <c r="AA127" s="185" t="s">
        <v>2</v>
      </c>
      <c r="AB127" s="185" t="s">
        <v>2</v>
      </c>
      <c r="AC127" s="185" t="s">
        <v>1</v>
      </c>
      <c r="AD127" s="185" t="s">
        <v>2</v>
      </c>
      <c r="AE127" s="185" t="s">
        <v>2</v>
      </c>
      <c r="AF127" s="185" t="s">
        <v>3</v>
      </c>
      <c r="AG127" s="185" t="s">
        <v>2</v>
      </c>
      <c r="AH127" s="185" t="s">
        <v>3</v>
      </c>
      <c r="AI127" s="185" t="s">
        <v>2</v>
      </c>
      <c r="AJ127" s="185" t="s">
        <v>1093</v>
      </c>
      <c r="AK127" s="185" t="s">
        <v>2</v>
      </c>
      <c r="AL127" s="185" t="s">
        <v>2</v>
      </c>
      <c r="AM127" s="185" t="s">
        <v>1</v>
      </c>
      <c r="AN127" s="185" t="s">
        <v>2</v>
      </c>
      <c r="AO127" s="185" t="s">
        <v>2</v>
      </c>
      <c r="AP127" s="185" t="s">
        <v>2</v>
      </c>
      <c r="AQ127" s="185" t="s">
        <v>3</v>
      </c>
      <c r="AR127" s="185" t="s">
        <v>3</v>
      </c>
      <c r="AS127" s="185" t="s">
        <v>3</v>
      </c>
      <c r="AT127" s="185" t="s">
        <v>1092</v>
      </c>
      <c r="AU127" s="185" t="s">
        <v>3</v>
      </c>
      <c r="AV127" s="185" t="s">
        <v>1</v>
      </c>
      <c r="AW127" s="185" t="s">
        <v>2</v>
      </c>
      <c r="AX127" s="185" t="s">
        <v>2</v>
      </c>
      <c r="AY127" s="185" t="s">
        <v>2</v>
      </c>
      <c r="AZ127" s="185" t="s">
        <v>2</v>
      </c>
      <c r="BA127" s="185" t="s">
        <v>1</v>
      </c>
      <c r="BB127" s="185" t="s">
        <v>1093</v>
      </c>
      <c r="BC127" s="185" t="s">
        <v>1</v>
      </c>
      <c r="BD127" s="185" t="s">
        <v>1093</v>
      </c>
      <c r="BE127" s="185" t="s">
        <v>5</v>
      </c>
      <c r="BF127" s="185" t="s">
        <v>2</v>
      </c>
      <c r="BG127" s="185" t="s">
        <v>2</v>
      </c>
      <c r="BH127" s="185" t="s">
        <v>2</v>
      </c>
      <c r="BI127" s="185" t="s">
        <v>3</v>
      </c>
      <c r="BJ127" s="185" t="s">
        <v>3</v>
      </c>
      <c r="BK127" s="185" t="s">
        <v>2</v>
      </c>
      <c r="BL127" s="185" t="s">
        <v>2</v>
      </c>
      <c r="BM127" s="185" t="s">
        <v>2</v>
      </c>
      <c r="BN127" s="185" t="s">
        <v>2</v>
      </c>
      <c r="BO127" s="185" t="s">
        <v>2</v>
      </c>
      <c r="BP127" s="185" t="s">
        <v>2</v>
      </c>
      <c r="BQ127" s="185" t="s">
        <v>2</v>
      </c>
      <c r="BR127" s="185" t="s">
        <v>2</v>
      </c>
      <c r="BS127" s="185" t="s">
        <v>2</v>
      </c>
      <c r="BT127" s="185" t="s">
        <v>2</v>
      </c>
      <c r="BU127" s="185" t="s">
        <v>2</v>
      </c>
      <c r="BV127" s="185" t="s">
        <v>2</v>
      </c>
      <c r="BW127" s="185" t="s">
        <v>2</v>
      </c>
      <c r="BX127" s="185" t="s">
        <v>2</v>
      </c>
      <c r="BY127" s="185" t="s">
        <v>1</v>
      </c>
      <c r="BZ127" s="185" t="s">
        <v>1</v>
      </c>
      <c r="CA127" s="185" t="s">
        <v>5</v>
      </c>
      <c r="CB127" s="185" t="s">
        <v>5</v>
      </c>
      <c r="CC127" s="185" t="s">
        <v>5</v>
      </c>
      <c r="CD127" s="185" t="s">
        <v>5</v>
      </c>
      <c r="CE127" s="185" t="s">
        <v>2</v>
      </c>
      <c r="CF127" s="185" t="s">
        <v>1093</v>
      </c>
      <c r="CG127" s="185" t="s">
        <v>1093</v>
      </c>
      <c r="CH127" s="185" t="s">
        <v>1093</v>
      </c>
      <c r="CI127" s="185" t="s">
        <v>2</v>
      </c>
      <c r="CJ127" s="185" t="s">
        <v>2</v>
      </c>
      <c r="CK127" s="185" t="s">
        <v>1</v>
      </c>
      <c r="CL127" s="185" t="s">
        <v>5</v>
      </c>
      <c r="CM127" s="185" t="s">
        <v>5</v>
      </c>
      <c r="CN127" s="185" t="s">
        <v>5</v>
      </c>
      <c r="CO127" s="185" t="s">
        <v>1</v>
      </c>
      <c r="CP127" s="185" t="s">
        <v>1</v>
      </c>
      <c r="CQ127" s="185" t="s">
        <v>2</v>
      </c>
      <c r="CR127" s="185" t="s">
        <v>2</v>
      </c>
      <c r="CS127" s="185" t="s">
        <v>5</v>
      </c>
      <c r="CT127" s="185" t="s">
        <v>5</v>
      </c>
      <c r="CU127" s="185" t="s">
        <v>2</v>
      </c>
      <c r="CV127" s="185" t="s">
        <v>2</v>
      </c>
      <c r="CW127" s="185" t="s">
        <v>2</v>
      </c>
      <c r="CX127" s="186"/>
      <c r="CY127" s="185">
        <v>20141372056</v>
      </c>
    </row>
    <row r="128" spans="1:103" ht="12.75" x14ac:dyDescent="0.2">
      <c r="A128" s="184">
        <v>42888.520181030093</v>
      </c>
      <c r="B128" s="185" t="s">
        <v>2381</v>
      </c>
      <c r="C128" s="185" t="s">
        <v>2271</v>
      </c>
      <c r="D128" s="185">
        <v>10</v>
      </c>
      <c r="E128" s="185" t="s">
        <v>2</v>
      </c>
      <c r="F128" s="185" t="s">
        <v>2</v>
      </c>
      <c r="G128" s="185" t="s">
        <v>2</v>
      </c>
      <c r="H128" s="185" t="s">
        <v>1092</v>
      </c>
      <c r="I128" s="185" t="s">
        <v>1093</v>
      </c>
      <c r="J128" s="185" t="s">
        <v>2</v>
      </c>
      <c r="K128" s="185" t="s">
        <v>1092</v>
      </c>
      <c r="L128" s="185" t="s">
        <v>1092</v>
      </c>
      <c r="M128" s="185" t="s">
        <v>2</v>
      </c>
      <c r="N128" s="185" t="s">
        <v>2</v>
      </c>
      <c r="O128" s="185" t="s">
        <v>1093</v>
      </c>
      <c r="P128" s="185" t="s">
        <v>1093</v>
      </c>
      <c r="Q128" s="185" t="s">
        <v>1</v>
      </c>
      <c r="R128" s="185" t="s">
        <v>3</v>
      </c>
      <c r="S128" s="185" t="s">
        <v>2</v>
      </c>
      <c r="T128" s="185" t="s">
        <v>2</v>
      </c>
      <c r="U128" s="185" t="s">
        <v>2</v>
      </c>
      <c r="V128" s="185" t="s">
        <v>1092</v>
      </c>
      <c r="W128" s="185" t="s">
        <v>3</v>
      </c>
      <c r="X128" s="185" t="s">
        <v>3</v>
      </c>
      <c r="Y128" s="185" t="s">
        <v>3</v>
      </c>
      <c r="Z128" s="185" t="s">
        <v>3</v>
      </c>
      <c r="AA128" s="185" t="s">
        <v>3</v>
      </c>
      <c r="AB128" s="185" t="s">
        <v>2</v>
      </c>
      <c r="AC128" s="185" t="s">
        <v>2</v>
      </c>
      <c r="AD128" s="185" t="s">
        <v>5</v>
      </c>
      <c r="AE128" s="185" t="s">
        <v>1093</v>
      </c>
      <c r="AF128" s="185" t="s">
        <v>1092</v>
      </c>
      <c r="AG128" s="185" t="s">
        <v>1093</v>
      </c>
      <c r="AH128" s="185" t="s">
        <v>1092</v>
      </c>
      <c r="AI128" s="185" t="s">
        <v>5</v>
      </c>
      <c r="AJ128" s="185" t="s">
        <v>1092</v>
      </c>
      <c r="AK128" s="185" t="s">
        <v>3</v>
      </c>
      <c r="AL128" s="185" t="s">
        <v>2</v>
      </c>
      <c r="AM128" s="185" t="s">
        <v>1</v>
      </c>
      <c r="AN128" s="185" t="s">
        <v>2</v>
      </c>
      <c r="AO128" s="185" t="s">
        <v>2</v>
      </c>
      <c r="AP128" s="185" t="s">
        <v>1092</v>
      </c>
      <c r="AQ128" s="185" t="s">
        <v>1092</v>
      </c>
      <c r="AR128" s="185" t="s">
        <v>1092</v>
      </c>
      <c r="AS128" s="185" t="s">
        <v>1092</v>
      </c>
      <c r="AT128" s="185" t="s">
        <v>1092</v>
      </c>
      <c r="AU128" s="185" t="s">
        <v>1092</v>
      </c>
      <c r="AV128" s="185" t="s">
        <v>2</v>
      </c>
      <c r="AW128" s="185" t="s">
        <v>1092</v>
      </c>
      <c r="AX128" s="185" t="s">
        <v>2</v>
      </c>
      <c r="AY128" s="185" t="s">
        <v>3</v>
      </c>
      <c r="AZ128" s="185" t="s">
        <v>1093</v>
      </c>
      <c r="BA128" s="185" t="s">
        <v>1093</v>
      </c>
      <c r="BB128" s="185" t="s">
        <v>1093</v>
      </c>
      <c r="BC128" s="185" t="s">
        <v>5</v>
      </c>
      <c r="BD128" s="185" t="s">
        <v>1093</v>
      </c>
      <c r="BE128" s="185" t="s">
        <v>5</v>
      </c>
      <c r="BF128" s="185" t="s">
        <v>1092</v>
      </c>
      <c r="BG128" s="185" t="s">
        <v>1092</v>
      </c>
      <c r="BH128" s="185" t="s">
        <v>3</v>
      </c>
      <c r="BI128" s="185" t="s">
        <v>2</v>
      </c>
      <c r="BJ128" s="185" t="s">
        <v>3</v>
      </c>
      <c r="BK128" s="185" t="s">
        <v>3</v>
      </c>
      <c r="BL128" s="185" t="s">
        <v>3</v>
      </c>
      <c r="BM128" s="185" t="s">
        <v>1</v>
      </c>
      <c r="BN128" s="185" t="s">
        <v>2</v>
      </c>
      <c r="BO128" s="185" t="s">
        <v>3</v>
      </c>
      <c r="BP128" s="185" t="s">
        <v>3</v>
      </c>
      <c r="BQ128" s="185" t="s">
        <v>3</v>
      </c>
      <c r="BR128" s="185" t="s">
        <v>3</v>
      </c>
      <c r="BS128" s="185" t="s">
        <v>3</v>
      </c>
      <c r="BT128" s="185" t="s">
        <v>3</v>
      </c>
      <c r="BU128" s="185" t="s">
        <v>3</v>
      </c>
      <c r="BV128" s="185" t="s">
        <v>3</v>
      </c>
      <c r="BW128" s="185" t="s">
        <v>2</v>
      </c>
      <c r="BX128" s="185" t="s">
        <v>2</v>
      </c>
      <c r="BY128" s="185" t="s">
        <v>2</v>
      </c>
      <c r="BZ128" s="185" t="s">
        <v>1093</v>
      </c>
      <c r="CA128" s="185" t="s">
        <v>3</v>
      </c>
      <c r="CB128" s="185" t="s">
        <v>1093</v>
      </c>
      <c r="CC128" s="185" t="s">
        <v>2</v>
      </c>
      <c r="CD128" s="185" t="s">
        <v>2</v>
      </c>
      <c r="CE128" s="185" t="s">
        <v>1093</v>
      </c>
      <c r="CF128" s="185" t="s">
        <v>1093</v>
      </c>
      <c r="CG128" s="185" t="s">
        <v>1093</v>
      </c>
      <c r="CH128" s="185" t="s">
        <v>2</v>
      </c>
      <c r="CI128" s="185" t="s">
        <v>2</v>
      </c>
      <c r="CJ128" s="185" t="s">
        <v>2</v>
      </c>
      <c r="CK128" s="185" t="s">
        <v>2</v>
      </c>
      <c r="CL128" s="185" t="s">
        <v>1093</v>
      </c>
      <c r="CM128" s="185" t="s">
        <v>1093</v>
      </c>
      <c r="CN128" s="185" t="s">
        <v>1093</v>
      </c>
      <c r="CO128" s="185" t="s">
        <v>1093</v>
      </c>
      <c r="CP128" s="185" t="s">
        <v>1093</v>
      </c>
      <c r="CQ128" s="185" t="s">
        <v>1093</v>
      </c>
      <c r="CR128" s="185" t="s">
        <v>1093</v>
      </c>
      <c r="CS128" s="185" t="s">
        <v>3</v>
      </c>
      <c r="CT128" s="185" t="s">
        <v>3</v>
      </c>
      <c r="CU128" s="185" t="s">
        <v>3</v>
      </c>
      <c r="CV128" s="185" t="s">
        <v>3</v>
      </c>
      <c r="CW128" s="185" t="s">
        <v>2</v>
      </c>
      <c r="CX128" s="186"/>
      <c r="CY128" s="185">
        <v>20111372047</v>
      </c>
    </row>
    <row r="129" spans="1:103" ht="12.75" x14ac:dyDescent="0.2">
      <c r="A129" s="184">
        <v>42888.524800231477</v>
      </c>
      <c r="B129" s="185" t="s">
        <v>2382</v>
      </c>
      <c r="C129" s="185" t="s">
        <v>2271</v>
      </c>
      <c r="D129" s="185">
        <v>1</v>
      </c>
      <c r="E129" s="185" t="s">
        <v>2</v>
      </c>
      <c r="F129" s="185" t="s">
        <v>1092</v>
      </c>
      <c r="G129" s="185" t="s">
        <v>1092</v>
      </c>
      <c r="H129" s="185" t="s">
        <v>2</v>
      </c>
      <c r="I129" s="185" t="s">
        <v>2</v>
      </c>
      <c r="J129" s="185" t="s">
        <v>1</v>
      </c>
      <c r="K129" s="185" t="s">
        <v>1092</v>
      </c>
      <c r="L129" s="185" t="s">
        <v>1092</v>
      </c>
      <c r="M129" s="185" t="s">
        <v>2</v>
      </c>
      <c r="N129" s="185" t="s">
        <v>1092</v>
      </c>
      <c r="O129" s="185" t="s">
        <v>2</v>
      </c>
      <c r="P129" s="185" t="s">
        <v>2</v>
      </c>
      <c r="Q129" s="185" t="s">
        <v>1093</v>
      </c>
      <c r="R129" s="185" t="s">
        <v>3</v>
      </c>
      <c r="S129" s="185" t="s">
        <v>3</v>
      </c>
      <c r="T129" s="185" t="s">
        <v>1092</v>
      </c>
      <c r="U129" s="185" t="s">
        <v>3</v>
      </c>
      <c r="V129" s="185" t="s">
        <v>3</v>
      </c>
      <c r="W129" s="185" t="s">
        <v>1092</v>
      </c>
      <c r="X129" s="185" t="s">
        <v>3</v>
      </c>
      <c r="Y129" s="185" t="s">
        <v>1092</v>
      </c>
      <c r="Z129" s="185" t="s">
        <v>3</v>
      </c>
      <c r="AA129" s="185" t="s">
        <v>1092</v>
      </c>
      <c r="AB129" s="185" t="s">
        <v>2</v>
      </c>
      <c r="AC129" s="185" t="s">
        <v>3</v>
      </c>
      <c r="AD129" s="185" t="s">
        <v>1092</v>
      </c>
      <c r="AE129" s="185" t="s">
        <v>5</v>
      </c>
      <c r="AF129" s="185" t="s">
        <v>1092</v>
      </c>
      <c r="AG129" s="185" t="s">
        <v>5</v>
      </c>
      <c r="AH129" s="185" t="s">
        <v>1092</v>
      </c>
      <c r="AI129" s="185" t="s">
        <v>1092</v>
      </c>
      <c r="AJ129" s="185" t="s">
        <v>3</v>
      </c>
      <c r="AK129" s="185" t="s">
        <v>1092</v>
      </c>
      <c r="AL129" s="185" t="s">
        <v>3</v>
      </c>
      <c r="AM129" s="185" t="s">
        <v>3</v>
      </c>
      <c r="AN129" s="185" t="s">
        <v>1092</v>
      </c>
      <c r="AO129" s="185" t="s">
        <v>3</v>
      </c>
      <c r="AP129" s="185" t="s">
        <v>2</v>
      </c>
      <c r="AQ129" s="185" t="s">
        <v>2</v>
      </c>
      <c r="AR129" s="185" t="s">
        <v>1092</v>
      </c>
      <c r="AS129" s="185" t="s">
        <v>1092</v>
      </c>
      <c r="AT129" s="185" t="s">
        <v>1092</v>
      </c>
      <c r="AU129" s="185" t="s">
        <v>1092</v>
      </c>
      <c r="AV129" s="185" t="s">
        <v>3</v>
      </c>
      <c r="AW129" s="185" t="s">
        <v>2</v>
      </c>
      <c r="AX129" s="185" t="s">
        <v>1092</v>
      </c>
      <c r="AY129" s="185" t="s">
        <v>2</v>
      </c>
      <c r="AZ129" s="185" t="s">
        <v>2</v>
      </c>
      <c r="BA129" s="185" t="s">
        <v>5</v>
      </c>
      <c r="BB129" s="185" t="s">
        <v>3</v>
      </c>
      <c r="BC129" s="185" t="s">
        <v>1092</v>
      </c>
      <c r="BD129" s="185" t="s">
        <v>5</v>
      </c>
      <c r="BE129" s="185" t="s">
        <v>3</v>
      </c>
      <c r="BF129" s="185" t="s">
        <v>1092</v>
      </c>
      <c r="BG129" s="185" t="s">
        <v>3</v>
      </c>
      <c r="BH129" s="185" t="s">
        <v>1092</v>
      </c>
      <c r="BI129" s="185" t="s">
        <v>3</v>
      </c>
      <c r="BJ129" s="185" t="s">
        <v>1092</v>
      </c>
      <c r="BK129" s="185" t="s">
        <v>1092</v>
      </c>
      <c r="BL129" s="185" t="s">
        <v>1092</v>
      </c>
      <c r="BM129" s="185" t="s">
        <v>1092</v>
      </c>
      <c r="BN129" s="185" t="s">
        <v>1092</v>
      </c>
      <c r="BO129" s="185" t="s">
        <v>1092</v>
      </c>
      <c r="BP129" s="185" t="s">
        <v>3</v>
      </c>
      <c r="BQ129" s="185" t="s">
        <v>1092</v>
      </c>
      <c r="BR129" s="185" t="s">
        <v>2</v>
      </c>
      <c r="BS129" s="185" t="s">
        <v>2</v>
      </c>
      <c r="BT129" s="185" t="s">
        <v>1092</v>
      </c>
      <c r="BU129" s="185" t="s">
        <v>3</v>
      </c>
      <c r="BV129" s="185" t="s">
        <v>1092</v>
      </c>
      <c r="BW129" s="185" t="s">
        <v>1092</v>
      </c>
      <c r="BX129" s="185" t="s">
        <v>1092</v>
      </c>
      <c r="BY129" s="185" t="s">
        <v>3</v>
      </c>
      <c r="BZ129" s="185" t="s">
        <v>5</v>
      </c>
      <c r="CA129" s="185" t="s">
        <v>1092</v>
      </c>
      <c r="CB129" s="185" t="s">
        <v>3</v>
      </c>
      <c r="CC129" s="185" t="s">
        <v>1092</v>
      </c>
      <c r="CD129" s="185" t="s">
        <v>3</v>
      </c>
      <c r="CE129" s="185" t="s">
        <v>1092</v>
      </c>
      <c r="CF129" s="185" t="s">
        <v>2</v>
      </c>
      <c r="CG129" s="185" t="s">
        <v>2</v>
      </c>
      <c r="CH129" s="185" t="s">
        <v>2</v>
      </c>
      <c r="CI129" s="185" t="s">
        <v>1092</v>
      </c>
      <c r="CJ129" s="185" t="s">
        <v>1092</v>
      </c>
      <c r="CK129" s="185" t="s">
        <v>1092</v>
      </c>
      <c r="CL129" s="185" t="s">
        <v>3</v>
      </c>
      <c r="CM129" s="185" t="s">
        <v>2</v>
      </c>
      <c r="CN129" s="185" t="s">
        <v>2</v>
      </c>
      <c r="CO129" s="185" t="s">
        <v>2</v>
      </c>
      <c r="CP129" s="185" t="s">
        <v>2</v>
      </c>
      <c r="CQ129" s="185" t="s">
        <v>2</v>
      </c>
      <c r="CR129" s="185" t="s">
        <v>2</v>
      </c>
      <c r="CS129" s="185" t="s">
        <v>2</v>
      </c>
      <c r="CT129" s="185" t="s">
        <v>2</v>
      </c>
      <c r="CU129" s="185" t="s">
        <v>3</v>
      </c>
      <c r="CV129" s="185" t="s">
        <v>1092</v>
      </c>
      <c r="CW129" s="185" t="s">
        <v>1092</v>
      </c>
      <c r="CX129" s="186"/>
      <c r="CY129" s="185">
        <v>20162372041</v>
      </c>
    </row>
    <row r="130" spans="1:103" ht="12.75" x14ac:dyDescent="0.2">
      <c r="A130" s="184">
        <v>42888.567384861111</v>
      </c>
      <c r="B130" s="185" t="s">
        <v>2383</v>
      </c>
      <c r="C130" s="185" t="s">
        <v>2235</v>
      </c>
      <c r="D130" s="185">
        <v>2</v>
      </c>
      <c r="E130" s="185" t="s">
        <v>1092</v>
      </c>
      <c r="F130" s="185" t="s">
        <v>3</v>
      </c>
      <c r="G130" s="185" t="s">
        <v>1092</v>
      </c>
      <c r="H130" s="185" t="s">
        <v>2</v>
      </c>
      <c r="I130" s="185" t="s">
        <v>1</v>
      </c>
      <c r="J130" s="185" t="s">
        <v>2</v>
      </c>
      <c r="K130" s="185" t="s">
        <v>3</v>
      </c>
      <c r="L130" s="185" t="s">
        <v>3</v>
      </c>
      <c r="M130" s="185" t="s">
        <v>3</v>
      </c>
      <c r="N130" s="185" t="s">
        <v>1</v>
      </c>
      <c r="O130" s="185" t="s">
        <v>1093</v>
      </c>
      <c r="P130" s="185" t="s">
        <v>1093</v>
      </c>
      <c r="Q130" s="185" t="s">
        <v>1093</v>
      </c>
      <c r="R130" s="185" t="s">
        <v>1</v>
      </c>
      <c r="S130" s="185" t="s">
        <v>1</v>
      </c>
      <c r="T130" s="185" t="s">
        <v>2</v>
      </c>
      <c r="U130" s="185" t="s">
        <v>1093</v>
      </c>
      <c r="V130" s="185" t="s">
        <v>3</v>
      </c>
      <c r="W130" s="185" t="s">
        <v>2</v>
      </c>
      <c r="X130" s="185" t="s">
        <v>2</v>
      </c>
      <c r="Y130" s="185" t="s">
        <v>2</v>
      </c>
      <c r="Z130" s="185" t="s">
        <v>2</v>
      </c>
      <c r="AA130" s="185" t="s">
        <v>3</v>
      </c>
      <c r="AB130" s="185" t="s">
        <v>1092</v>
      </c>
      <c r="AC130" s="185" t="s">
        <v>1</v>
      </c>
      <c r="AD130" s="185" t="s">
        <v>3</v>
      </c>
      <c r="AE130" s="185" t="s">
        <v>2</v>
      </c>
      <c r="AF130" s="185" t="s">
        <v>1092</v>
      </c>
      <c r="AG130" s="185" t="s">
        <v>2</v>
      </c>
      <c r="AH130" s="185" t="s">
        <v>1092</v>
      </c>
      <c r="AI130" s="185" t="s">
        <v>3</v>
      </c>
      <c r="AJ130" s="185" t="s">
        <v>2</v>
      </c>
      <c r="AK130" s="185" t="s">
        <v>2</v>
      </c>
      <c r="AL130" s="185" t="s">
        <v>2</v>
      </c>
      <c r="AM130" s="185" t="s">
        <v>2</v>
      </c>
      <c r="AN130" s="185" t="s">
        <v>1093</v>
      </c>
      <c r="AO130" s="185" t="s">
        <v>1</v>
      </c>
      <c r="AP130" s="185" t="s">
        <v>3</v>
      </c>
      <c r="AQ130" s="185" t="s">
        <v>3</v>
      </c>
      <c r="AR130" s="185" t="s">
        <v>3</v>
      </c>
      <c r="AS130" s="185" t="s">
        <v>1092</v>
      </c>
      <c r="AT130" s="185" t="s">
        <v>3</v>
      </c>
      <c r="AU130" s="185" t="s">
        <v>1092</v>
      </c>
      <c r="AV130" s="185" t="s">
        <v>1</v>
      </c>
      <c r="AW130" s="185" t="s">
        <v>3</v>
      </c>
      <c r="AX130" s="185" t="s">
        <v>3</v>
      </c>
      <c r="AY130" s="185" t="s">
        <v>2</v>
      </c>
      <c r="AZ130" s="185" t="s">
        <v>2</v>
      </c>
      <c r="BA130" s="185" t="s">
        <v>1092</v>
      </c>
      <c r="BB130" s="185" t="s">
        <v>1092</v>
      </c>
      <c r="BC130" s="185" t="s">
        <v>5</v>
      </c>
      <c r="BD130" s="185" t="s">
        <v>1093</v>
      </c>
      <c r="BE130" s="185" t="s">
        <v>5</v>
      </c>
      <c r="BF130" s="185" t="s">
        <v>1093</v>
      </c>
      <c r="BG130" s="185" t="s">
        <v>1</v>
      </c>
      <c r="BH130" s="185" t="s">
        <v>1</v>
      </c>
      <c r="BI130" s="185" t="s">
        <v>1</v>
      </c>
      <c r="BJ130" s="185" t="s">
        <v>1</v>
      </c>
      <c r="BK130" s="185" t="s">
        <v>1</v>
      </c>
      <c r="BL130" s="185" t="s">
        <v>2</v>
      </c>
      <c r="BM130" s="185" t="s">
        <v>1093</v>
      </c>
      <c r="BN130" s="185" t="s">
        <v>1093</v>
      </c>
      <c r="BO130" s="185" t="s">
        <v>1093</v>
      </c>
      <c r="BP130" s="185" t="s">
        <v>1093</v>
      </c>
      <c r="BQ130" s="185" t="s">
        <v>2</v>
      </c>
      <c r="BR130" s="185" t="s">
        <v>2</v>
      </c>
      <c r="BS130" s="185" t="s">
        <v>3</v>
      </c>
      <c r="BT130" s="185" t="s">
        <v>1093</v>
      </c>
      <c r="BU130" s="185" t="s">
        <v>1093</v>
      </c>
      <c r="BV130" s="185" t="s">
        <v>1</v>
      </c>
      <c r="BW130" s="185" t="s">
        <v>5</v>
      </c>
      <c r="BX130" s="185" t="s">
        <v>1</v>
      </c>
      <c r="BY130" s="185" t="s">
        <v>1093</v>
      </c>
      <c r="BZ130" s="185" t="s">
        <v>1093</v>
      </c>
      <c r="CA130" s="185" t="s">
        <v>3</v>
      </c>
      <c r="CB130" s="185" t="s">
        <v>2</v>
      </c>
      <c r="CC130" s="185" t="s">
        <v>2</v>
      </c>
      <c r="CD130" s="185" t="s">
        <v>3</v>
      </c>
      <c r="CE130" s="185" t="s">
        <v>1092</v>
      </c>
      <c r="CF130" s="185" t="s">
        <v>1093</v>
      </c>
      <c r="CG130" s="185" t="s">
        <v>2</v>
      </c>
      <c r="CH130" s="185" t="s">
        <v>3</v>
      </c>
      <c r="CI130" s="185" t="s">
        <v>3</v>
      </c>
      <c r="CJ130" s="185" t="s">
        <v>1</v>
      </c>
      <c r="CK130" s="185" t="s">
        <v>1093</v>
      </c>
      <c r="CL130" s="185" t="s">
        <v>1</v>
      </c>
      <c r="CM130" s="185" t="s">
        <v>1</v>
      </c>
      <c r="CN130" s="185" t="s">
        <v>1</v>
      </c>
      <c r="CO130" s="185" t="s">
        <v>3</v>
      </c>
      <c r="CP130" s="185" t="s">
        <v>3</v>
      </c>
      <c r="CQ130" s="185" t="s">
        <v>2</v>
      </c>
      <c r="CR130" s="185" t="s">
        <v>3</v>
      </c>
      <c r="CS130" s="185" t="s">
        <v>5</v>
      </c>
      <c r="CT130" s="185" t="s">
        <v>5</v>
      </c>
      <c r="CU130" s="185" t="s">
        <v>2</v>
      </c>
      <c r="CV130" s="185" t="s">
        <v>2</v>
      </c>
      <c r="CW130" s="185" t="s">
        <v>2</v>
      </c>
      <c r="CX130" s="186"/>
      <c r="CY130" s="185">
        <v>20122072089</v>
      </c>
    </row>
    <row r="131" spans="1:103" ht="12.75" x14ac:dyDescent="0.2">
      <c r="A131" s="184">
        <v>42888.606697499999</v>
      </c>
      <c r="B131" s="185" t="s">
        <v>2384</v>
      </c>
      <c r="C131" s="185" t="s">
        <v>2235</v>
      </c>
      <c r="D131" s="185">
        <v>9</v>
      </c>
      <c r="E131" s="185" t="s">
        <v>5</v>
      </c>
      <c r="F131" s="185" t="s">
        <v>1092</v>
      </c>
      <c r="G131" s="185" t="s">
        <v>2</v>
      </c>
      <c r="H131" s="185" t="s">
        <v>1092</v>
      </c>
      <c r="I131" s="185" t="s">
        <v>1093</v>
      </c>
      <c r="J131" s="185" t="s">
        <v>1093</v>
      </c>
      <c r="K131" s="185" t="s">
        <v>3</v>
      </c>
      <c r="L131" s="185" t="s">
        <v>2</v>
      </c>
      <c r="M131" s="185" t="s">
        <v>2</v>
      </c>
      <c r="N131" s="185" t="s">
        <v>3</v>
      </c>
      <c r="O131" s="185" t="s">
        <v>1093</v>
      </c>
      <c r="P131" s="185" t="s">
        <v>1093</v>
      </c>
      <c r="Q131" s="185" t="s">
        <v>1093</v>
      </c>
      <c r="R131" s="185" t="s">
        <v>2</v>
      </c>
      <c r="S131" s="185" t="s">
        <v>2</v>
      </c>
      <c r="T131" s="185" t="s">
        <v>2</v>
      </c>
      <c r="U131" s="185" t="s">
        <v>2</v>
      </c>
      <c r="V131" s="185" t="s">
        <v>2</v>
      </c>
      <c r="W131" s="185" t="s">
        <v>3</v>
      </c>
      <c r="X131" s="185" t="s">
        <v>3</v>
      </c>
      <c r="Y131" s="185" t="s">
        <v>3</v>
      </c>
      <c r="Z131" s="185" t="s">
        <v>3</v>
      </c>
      <c r="AA131" s="185" t="s">
        <v>3</v>
      </c>
      <c r="AB131" s="185" t="s">
        <v>1</v>
      </c>
      <c r="AC131" s="185" t="s">
        <v>1</v>
      </c>
      <c r="AD131" s="185" t="s">
        <v>2</v>
      </c>
      <c r="AE131" s="185" t="s">
        <v>1</v>
      </c>
      <c r="AF131" s="185" t="s">
        <v>3</v>
      </c>
      <c r="AG131" s="185" t="s">
        <v>1093</v>
      </c>
      <c r="AH131" s="185" t="s">
        <v>2</v>
      </c>
      <c r="AI131" s="185" t="s">
        <v>2</v>
      </c>
      <c r="AJ131" s="185" t="s">
        <v>1093</v>
      </c>
      <c r="AK131" s="185" t="s">
        <v>2</v>
      </c>
      <c r="AL131" s="185" t="s">
        <v>1</v>
      </c>
      <c r="AM131" s="185" t="s">
        <v>2</v>
      </c>
      <c r="AN131" s="185" t="s">
        <v>2</v>
      </c>
      <c r="AO131" s="185" t="s">
        <v>2</v>
      </c>
      <c r="AP131" s="185" t="s">
        <v>1092</v>
      </c>
      <c r="AQ131" s="185" t="s">
        <v>3</v>
      </c>
      <c r="AR131" s="185" t="s">
        <v>1092</v>
      </c>
      <c r="AS131" s="185" t="s">
        <v>2</v>
      </c>
      <c r="AT131" s="185" t="s">
        <v>2</v>
      </c>
      <c r="AU131" s="185" t="s">
        <v>3</v>
      </c>
      <c r="AV131" s="185" t="s">
        <v>2</v>
      </c>
      <c r="AW131" s="185" t="s">
        <v>2</v>
      </c>
      <c r="AX131" s="185" t="s">
        <v>2</v>
      </c>
      <c r="AY131" s="185" t="s">
        <v>3</v>
      </c>
      <c r="AZ131" s="185" t="s">
        <v>5</v>
      </c>
      <c r="BA131" s="185" t="s">
        <v>5</v>
      </c>
      <c r="BB131" s="185" t="s">
        <v>1093</v>
      </c>
      <c r="BC131" s="185" t="s">
        <v>5</v>
      </c>
      <c r="BD131" s="185" t="s">
        <v>5</v>
      </c>
      <c r="BE131" s="185" t="s">
        <v>5</v>
      </c>
      <c r="BF131" s="185" t="s">
        <v>1</v>
      </c>
      <c r="BG131" s="185" t="s">
        <v>1</v>
      </c>
      <c r="BH131" s="185" t="s">
        <v>1093</v>
      </c>
      <c r="BI131" s="185" t="s">
        <v>1093</v>
      </c>
      <c r="BJ131" s="185" t="s">
        <v>1093</v>
      </c>
      <c r="BK131" s="185" t="s">
        <v>1093</v>
      </c>
      <c r="BL131" s="185" t="s">
        <v>3</v>
      </c>
      <c r="BM131" s="185" t="s">
        <v>1</v>
      </c>
      <c r="BN131" s="185" t="s">
        <v>1</v>
      </c>
      <c r="BO131" s="185" t="s">
        <v>1</v>
      </c>
      <c r="BP131" s="185" t="s">
        <v>2</v>
      </c>
      <c r="BQ131" s="185" t="s">
        <v>2</v>
      </c>
      <c r="BR131" s="185" t="s">
        <v>3</v>
      </c>
      <c r="BS131" s="185" t="s">
        <v>1</v>
      </c>
      <c r="BT131" s="185" t="s">
        <v>1</v>
      </c>
      <c r="BU131" s="185" t="s">
        <v>1</v>
      </c>
      <c r="BV131" s="185" t="s">
        <v>1</v>
      </c>
      <c r="BW131" s="185" t="s">
        <v>1</v>
      </c>
      <c r="BX131" s="185" t="s">
        <v>1</v>
      </c>
      <c r="BY131" s="185" t="s">
        <v>1</v>
      </c>
      <c r="BZ131" s="185" t="s">
        <v>1093</v>
      </c>
      <c r="CA131" s="185" t="s">
        <v>5</v>
      </c>
      <c r="CB131" s="185" t="s">
        <v>1093</v>
      </c>
      <c r="CC131" s="185" t="s">
        <v>1093</v>
      </c>
      <c r="CD131" s="185" t="s">
        <v>1093</v>
      </c>
      <c r="CE131" s="185" t="s">
        <v>1</v>
      </c>
      <c r="CF131" s="185" t="s">
        <v>1093</v>
      </c>
      <c r="CG131" s="185" t="s">
        <v>1093</v>
      </c>
      <c r="CH131" s="185" t="s">
        <v>2</v>
      </c>
      <c r="CI131" s="185" t="s">
        <v>2</v>
      </c>
      <c r="CJ131" s="185" t="s">
        <v>1</v>
      </c>
      <c r="CK131" s="185" t="s">
        <v>1</v>
      </c>
      <c r="CL131" s="185" t="s">
        <v>1</v>
      </c>
      <c r="CM131" s="185" t="s">
        <v>3</v>
      </c>
      <c r="CN131" s="185" t="s">
        <v>1092</v>
      </c>
      <c r="CO131" s="185" t="s">
        <v>1</v>
      </c>
      <c r="CP131" s="185" t="s">
        <v>1</v>
      </c>
      <c r="CQ131" s="185" t="s">
        <v>1</v>
      </c>
      <c r="CR131" s="185" t="s">
        <v>1</v>
      </c>
      <c r="CS131" s="185" t="s">
        <v>1</v>
      </c>
      <c r="CT131" s="185" t="s">
        <v>1</v>
      </c>
      <c r="CU131" s="185" t="s">
        <v>1093</v>
      </c>
      <c r="CV131" s="185" t="s">
        <v>1093</v>
      </c>
      <c r="CW131" s="185" t="s">
        <v>1</v>
      </c>
      <c r="CX131" s="186"/>
      <c r="CY131" s="185">
        <v>20121072059</v>
      </c>
    </row>
    <row r="132" spans="1:103" ht="12.75" x14ac:dyDescent="0.2">
      <c r="A132" s="184">
        <v>42888.630595590279</v>
      </c>
      <c r="B132" s="185" t="s">
        <v>2385</v>
      </c>
      <c r="C132" s="185" t="s">
        <v>2235</v>
      </c>
      <c r="D132" s="185">
        <v>8</v>
      </c>
      <c r="E132" s="185" t="s">
        <v>2</v>
      </c>
      <c r="F132" s="185" t="s">
        <v>3</v>
      </c>
      <c r="G132" s="185" t="s">
        <v>1092</v>
      </c>
      <c r="H132" s="185" t="s">
        <v>3</v>
      </c>
      <c r="I132" s="185" t="s">
        <v>1</v>
      </c>
      <c r="J132" s="185" t="s">
        <v>3</v>
      </c>
      <c r="K132" s="185" t="s">
        <v>3</v>
      </c>
      <c r="L132" s="185" t="s">
        <v>3</v>
      </c>
      <c r="M132" s="185" t="s">
        <v>2</v>
      </c>
      <c r="N132" s="185" t="s">
        <v>3</v>
      </c>
      <c r="O132" s="185" t="s">
        <v>1093</v>
      </c>
      <c r="P132" s="185" t="s">
        <v>1093</v>
      </c>
      <c r="Q132" s="185" t="s">
        <v>2</v>
      </c>
      <c r="R132" s="185" t="s">
        <v>2</v>
      </c>
      <c r="S132" s="185" t="s">
        <v>2</v>
      </c>
      <c r="T132" s="185" t="s">
        <v>1093</v>
      </c>
      <c r="U132" s="185" t="s">
        <v>1093</v>
      </c>
      <c r="V132" s="185" t="s">
        <v>3</v>
      </c>
      <c r="W132" s="185" t="s">
        <v>1</v>
      </c>
      <c r="X132" s="185" t="s">
        <v>2</v>
      </c>
      <c r="Y132" s="185" t="s">
        <v>3</v>
      </c>
      <c r="Z132" s="185" t="s">
        <v>2</v>
      </c>
      <c r="AA132" s="185" t="s">
        <v>3</v>
      </c>
      <c r="AB132" s="185" t="s">
        <v>2</v>
      </c>
      <c r="AC132" s="185" t="s">
        <v>2</v>
      </c>
      <c r="AD132" s="185" t="s">
        <v>2</v>
      </c>
      <c r="AE132" s="185" t="s">
        <v>2</v>
      </c>
      <c r="AF132" s="185" t="s">
        <v>3</v>
      </c>
      <c r="AG132" s="185" t="s">
        <v>2</v>
      </c>
      <c r="AH132" s="185" t="s">
        <v>3</v>
      </c>
      <c r="AI132" s="185" t="s">
        <v>3</v>
      </c>
      <c r="AJ132" s="185" t="s">
        <v>3</v>
      </c>
      <c r="AK132" s="185" t="s">
        <v>2</v>
      </c>
      <c r="AL132" s="185" t="s">
        <v>3</v>
      </c>
      <c r="AM132" s="185" t="s">
        <v>3</v>
      </c>
      <c r="AN132" s="185" t="s">
        <v>3</v>
      </c>
      <c r="AO132" s="185" t="s">
        <v>3</v>
      </c>
      <c r="AP132" s="185" t="s">
        <v>3</v>
      </c>
      <c r="AQ132" s="185" t="s">
        <v>3</v>
      </c>
      <c r="AR132" s="185" t="s">
        <v>3</v>
      </c>
      <c r="AS132" s="185" t="s">
        <v>3</v>
      </c>
      <c r="AT132" s="185" t="s">
        <v>5</v>
      </c>
      <c r="AU132" s="185" t="s">
        <v>1</v>
      </c>
      <c r="AV132" s="185" t="s">
        <v>3</v>
      </c>
      <c r="AW132" s="185" t="s">
        <v>2</v>
      </c>
      <c r="AX132" s="185" t="s">
        <v>3</v>
      </c>
      <c r="AY132" s="185" t="s">
        <v>3</v>
      </c>
      <c r="AZ132" s="185" t="s">
        <v>2</v>
      </c>
      <c r="BA132" s="185" t="s">
        <v>3</v>
      </c>
      <c r="BB132" s="185" t="s">
        <v>2</v>
      </c>
      <c r="BC132" s="185" t="s">
        <v>2</v>
      </c>
      <c r="BD132" s="185" t="s">
        <v>1</v>
      </c>
      <c r="BE132" s="185" t="s">
        <v>2</v>
      </c>
      <c r="BF132" s="185" t="s">
        <v>1093</v>
      </c>
      <c r="BG132" s="185" t="s">
        <v>1093</v>
      </c>
      <c r="BH132" s="185" t="s">
        <v>1</v>
      </c>
      <c r="BI132" s="185" t="s">
        <v>1</v>
      </c>
      <c r="BJ132" s="185" t="s">
        <v>1</v>
      </c>
      <c r="BK132" s="185" t="s">
        <v>2</v>
      </c>
      <c r="BL132" s="185" t="s">
        <v>2</v>
      </c>
      <c r="BM132" s="185" t="s">
        <v>2</v>
      </c>
      <c r="BN132" s="185" t="s">
        <v>2</v>
      </c>
      <c r="BO132" s="185" t="s">
        <v>1093</v>
      </c>
      <c r="BP132" s="185" t="s">
        <v>3</v>
      </c>
      <c r="BQ132" s="185" t="s">
        <v>2</v>
      </c>
      <c r="BR132" s="185" t="s">
        <v>3</v>
      </c>
      <c r="BS132" s="185" t="s">
        <v>2</v>
      </c>
      <c r="BT132" s="185" t="s">
        <v>1</v>
      </c>
      <c r="BU132" s="185" t="s">
        <v>2</v>
      </c>
      <c r="BV132" s="185" t="s">
        <v>2</v>
      </c>
      <c r="BW132" s="185" t="s">
        <v>2</v>
      </c>
      <c r="BX132" s="185" t="s">
        <v>1</v>
      </c>
      <c r="BY132" s="185" t="s">
        <v>1</v>
      </c>
      <c r="BZ132" s="185" t="s">
        <v>2</v>
      </c>
      <c r="CA132" s="185" t="s">
        <v>2</v>
      </c>
      <c r="CB132" s="185" t="s">
        <v>1</v>
      </c>
      <c r="CC132" s="185" t="s">
        <v>1</v>
      </c>
      <c r="CD132" s="185" t="s">
        <v>2</v>
      </c>
      <c r="CE132" s="185" t="s">
        <v>3</v>
      </c>
      <c r="CF132" s="185" t="s">
        <v>1093</v>
      </c>
      <c r="CG132" s="185" t="s">
        <v>1093</v>
      </c>
      <c r="CH132" s="185" t="s">
        <v>2</v>
      </c>
      <c r="CI132" s="185" t="s">
        <v>3</v>
      </c>
      <c r="CJ132" s="185" t="s">
        <v>1</v>
      </c>
      <c r="CK132" s="185" t="s">
        <v>2</v>
      </c>
      <c r="CL132" s="185" t="s">
        <v>1</v>
      </c>
      <c r="CM132" s="185" t="s">
        <v>1093</v>
      </c>
      <c r="CN132" s="185" t="s">
        <v>1</v>
      </c>
      <c r="CO132" s="185" t="s">
        <v>3</v>
      </c>
      <c r="CP132" s="185" t="s">
        <v>2</v>
      </c>
      <c r="CQ132" s="185" t="s">
        <v>2</v>
      </c>
      <c r="CR132" s="185" t="s">
        <v>2</v>
      </c>
      <c r="CS132" s="185" t="s">
        <v>2</v>
      </c>
      <c r="CT132" s="185" t="s">
        <v>2</v>
      </c>
      <c r="CU132" s="185" t="s">
        <v>1</v>
      </c>
      <c r="CV132" s="185" t="s">
        <v>1093</v>
      </c>
      <c r="CW132" s="185" t="s">
        <v>3</v>
      </c>
      <c r="CX132" s="186"/>
      <c r="CY132" s="185">
        <v>20131072059</v>
      </c>
    </row>
    <row r="133" spans="1:103" ht="12.75" x14ac:dyDescent="0.2">
      <c r="A133" s="184">
        <v>42888.7412802662</v>
      </c>
      <c r="B133" s="185" t="s">
        <v>2386</v>
      </c>
      <c r="C133" s="185" t="s">
        <v>2237</v>
      </c>
      <c r="D133" s="185">
        <v>1</v>
      </c>
      <c r="E133" s="185" t="s">
        <v>3</v>
      </c>
      <c r="F133" s="185" t="s">
        <v>1092</v>
      </c>
      <c r="G133" s="185" t="s">
        <v>1092</v>
      </c>
      <c r="H133" s="185" t="s">
        <v>2</v>
      </c>
      <c r="I133" s="185" t="s">
        <v>5</v>
      </c>
      <c r="J133" s="185" t="s">
        <v>5</v>
      </c>
      <c r="K133" s="185" t="s">
        <v>1092</v>
      </c>
      <c r="L133" s="185" t="s">
        <v>1092</v>
      </c>
      <c r="M133" s="185" t="s">
        <v>1092</v>
      </c>
      <c r="N133" s="185" t="s">
        <v>5</v>
      </c>
      <c r="O133" s="185" t="s">
        <v>1</v>
      </c>
      <c r="P133" s="185" t="s">
        <v>1092</v>
      </c>
      <c r="Q133" s="185" t="s">
        <v>5</v>
      </c>
      <c r="R133" s="185" t="s">
        <v>5</v>
      </c>
      <c r="S133" s="185" t="s">
        <v>3</v>
      </c>
      <c r="T133" s="185" t="s">
        <v>1092</v>
      </c>
      <c r="U133" s="185" t="s">
        <v>5</v>
      </c>
      <c r="V133" s="185" t="s">
        <v>2</v>
      </c>
      <c r="W133" s="185" t="s">
        <v>3</v>
      </c>
      <c r="X133" s="185" t="s">
        <v>3</v>
      </c>
      <c r="Y133" s="185" t="s">
        <v>3</v>
      </c>
      <c r="Z133" s="185" t="s">
        <v>3</v>
      </c>
      <c r="AA133" s="185" t="s">
        <v>2</v>
      </c>
      <c r="AB133" s="185" t="s">
        <v>2</v>
      </c>
      <c r="AC133" s="185" t="s">
        <v>3</v>
      </c>
      <c r="AD133" s="185" t="s">
        <v>3</v>
      </c>
      <c r="AE133" s="185" t="s">
        <v>5</v>
      </c>
      <c r="AF133" s="185" t="s">
        <v>2</v>
      </c>
      <c r="AG133" s="185" t="s">
        <v>2</v>
      </c>
      <c r="AH133" s="185" t="s">
        <v>3</v>
      </c>
      <c r="AI133" s="185" t="s">
        <v>1</v>
      </c>
      <c r="AJ133" s="185" t="s">
        <v>3</v>
      </c>
      <c r="AK133" s="185" t="s">
        <v>1092</v>
      </c>
      <c r="AL133" s="185" t="s">
        <v>5</v>
      </c>
      <c r="AM133" s="185" t="s">
        <v>5</v>
      </c>
      <c r="AN133" s="185" t="s">
        <v>3</v>
      </c>
      <c r="AO133" s="185" t="s">
        <v>5</v>
      </c>
      <c r="AP133" s="185" t="s">
        <v>1092</v>
      </c>
      <c r="AQ133" s="185" t="s">
        <v>1092</v>
      </c>
      <c r="AR133" s="185" t="s">
        <v>1092</v>
      </c>
      <c r="AS133" s="185" t="s">
        <v>5</v>
      </c>
      <c r="AT133" s="185" t="s">
        <v>1092</v>
      </c>
      <c r="AU133" s="185" t="s">
        <v>3</v>
      </c>
      <c r="AV133" s="185" t="s">
        <v>3</v>
      </c>
      <c r="AW133" s="185" t="s">
        <v>2</v>
      </c>
      <c r="AX133" s="185" t="s">
        <v>5</v>
      </c>
      <c r="AY133" s="185" t="s">
        <v>5</v>
      </c>
      <c r="AZ133" s="185" t="s">
        <v>5</v>
      </c>
      <c r="BA133" s="185" t="s">
        <v>5</v>
      </c>
      <c r="BB133" s="185" t="s">
        <v>5</v>
      </c>
      <c r="BC133" s="185" t="s">
        <v>5</v>
      </c>
      <c r="BD133" s="185" t="s">
        <v>1093</v>
      </c>
      <c r="BE133" s="185" t="s">
        <v>3</v>
      </c>
      <c r="BF133" s="185" t="s">
        <v>5</v>
      </c>
      <c r="BG133" s="185" t="s">
        <v>5</v>
      </c>
      <c r="BH133" s="185" t="s">
        <v>5</v>
      </c>
      <c r="BI133" s="185" t="s">
        <v>2</v>
      </c>
      <c r="BJ133" s="185" t="s">
        <v>2</v>
      </c>
      <c r="BK133" s="185" t="s">
        <v>2</v>
      </c>
      <c r="BL133" s="185" t="s">
        <v>2</v>
      </c>
      <c r="BM133" s="185" t="s">
        <v>5</v>
      </c>
      <c r="BN133" s="185" t="s">
        <v>3</v>
      </c>
      <c r="BO133" s="185" t="s">
        <v>5</v>
      </c>
      <c r="BP133" s="185" t="s">
        <v>5</v>
      </c>
      <c r="BQ133" s="185" t="s">
        <v>2</v>
      </c>
      <c r="BR133" s="185" t="s">
        <v>1092</v>
      </c>
      <c r="BS133" s="185" t="s">
        <v>1092</v>
      </c>
      <c r="BT133" s="185" t="s">
        <v>2</v>
      </c>
      <c r="BU133" s="185" t="s">
        <v>2</v>
      </c>
      <c r="BV133" s="185" t="s">
        <v>1093</v>
      </c>
      <c r="BW133" s="185" t="s">
        <v>3</v>
      </c>
      <c r="BX133" s="185" t="s">
        <v>3</v>
      </c>
      <c r="BY133" s="185" t="s">
        <v>5</v>
      </c>
      <c r="BZ133" s="185" t="s">
        <v>5</v>
      </c>
      <c r="CA133" s="185" t="s">
        <v>3</v>
      </c>
      <c r="CB133" s="185" t="s">
        <v>3</v>
      </c>
      <c r="CC133" s="185" t="s">
        <v>3</v>
      </c>
      <c r="CD133" s="185" t="s">
        <v>3</v>
      </c>
      <c r="CE133" s="185" t="s">
        <v>1092</v>
      </c>
      <c r="CF133" s="185" t="s">
        <v>5</v>
      </c>
      <c r="CG133" s="185" t="s">
        <v>5</v>
      </c>
      <c r="CH133" s="185" t="s">
        <v>2</v>
      </c>
      <c r="CI133" s="185" t="s">
        <v>5</v>
      </c>
      <c r="CJ133" s="185" t="s">
        <v>3</v>
      </c>
      <c r="CK133" s="185" t="s">
        <v>3</v>
      </c>
      <c r="CL133" s="185" t="s">
        <v>1</v>
      </c>
      <c r="CM133" s="185" t="s">
        <v>5</v>
      </c>
      <c r="CN133" s="185" t="s">
        <v>5</v>
      </c>
      <c r="CO133" s="185" t="s">
        <v>3</v>
      </c>
      <c r="CP133" s="185" t="s">
        <v>3</v>
      </c>
      <c r="CQ133" s="185" t="s">
        <v>3</v>
      </c>
      <c r="CR133" s="185" t="s">
        <v>2</v>
      </c>
      <c r="CS133" s="185" t="s">
        <v>5</v>
      </c>
      <c r="CT133" s="185" t="s">
        <v>5</v>
      </c>
      <c r="CU133" s="185" t="s">
        <v>3</v>
      </c>
      <c r="CV133" s="185" t="s">
        <v>5</v>
      </c>
      <c r="CW133" s="185" t="s">
        <v>3</v>
      </c>
      <c r="CX133" s="186"/>
      <c r="CY133" s="185">
        <v>20171572008</v>
      </c>
    </row>
    <row r="134" spans="1:103" ht="12.75" x14ac:dyDescent="0.2">
      <c r="A134" s="184">
        <v>42888.745330613427</v>
      </c>
      <c r="B134" s="185" t="s">
        <v>2387</v>
      </c>
      <c r="C134" s="185" t="s">
        <v>2271</v>
      </c>
      <c r="D134" s="185">
        <v>1</v>
      </c>
      <c r="E134" s="185" t="s">
        <v>3</v>
      </c>
      <c r="F134" s="185" t="s">
        <v>1092</v>
      </c>
      <c r="G134" s="185" t="s">
        <v>3</v>
      </c>
      <c r="H134" s="185" t="s">
        <v>3</v>
      </c>
      <c r="I134" s="185" t="s">
        <v>5</v>
      </c>
      <c r="J134" s="185" t="s">
        <v>3</v>
      </c>
      <c r="K134" s="185" t="s">
        <v>1092</v>
      </c>
      <c r="L134" s="185" t="s">
        <v>3</v>
      </c>
      <c r="M134" s="185" t="s">
        <v>3</v>
      </c>
      <c r="N134" s="185" t="s">
        <v>3</v>
      </c>
      <c r="O134" s="185" t="s">
        <v>3</v>
      </c>
      <c r="P134" s="185" t="s">
        <v>2</v>
      </c>
      <c r="Q134" s="185" t="s">
        <v>1</v>
      </c>
      <c r="R134" s="185" t="s">
        <v>2</v>
      </c>
      <c r="S134" s="185" t="s">
        <v>2</v>
      </c>
      <c r="T134" s="185" t="s">
        <v>2</v>
      </c>
      <c r="U134" s="185" t="s">
        <v>2</v>
      </c>
      <c r="V134" s="185" t="s">
        <v>3</v>
      </c>
      <c r="W134" s="185" t="s">
        <v>3</v>
      </c>
      <c r="X134" s="185" t="s">
        <v>3</v>
      </c>
      <c r="Y134" s="185" t="s">
        <v>3</v>
      </c>
      <c r="Z134" s="185" t="s">
        <v>3</v>
      </c>
      <c r="AA134" s="185" t="s">
        <v>2</v>
      </c>
      <c r="AB134" s="185" t="s">
        <v>3</v>
      </c>
      <c r="AC134" s="185" t="s">
        <v>3</v>
      </c>
      <c r="AD134" s="185" t="s">
        <v>2</v>
      </c>
      <c r="AE134" s="185" t="s">
        <v>3</v>
      </c>
      <c r="AF134" s="185" t="s">
        <v>3</v>
      </c>
      <c r="AG134" s="185" t="s">
        <v>1093</v>
      </c>
      <c r="AH134" s="185" t="s">
        <v>3</v>
      </c>
      <c r="AI134" s="185" t="s">
        <v>3</v>
      </c>
      <c r="AJ134" s="185" t="s">
        <v>2</v>
      </c>
      <c r="AK134" s="185" t="s">
        <v>3</v>
      </c>
      <c r="AL134" s="185" t="s">
        <v>1092</v>
      </c>
      <c r="AM134" s="185" t="s">
        <v>1092</v>
      </c>
      <c r="AN134" s="185" t="s">
        <v>1092</v>
      </c>
      <c r="AO134" s="185" t="s">
        <v>1092</v>
      </c>
      <c r="AP134" s="185" t="s">
        <v>1092</v>
      </c>
      <c r="AQ134" s="185" t="s">
        <v>1092</v>
      </c>
      <c r="AR134" s="185" t="s">
        <v>1092</v>
      </c>
      <c r="AS134" s="185" t="s">
        <v>1092</v>
      </c>
      <c r="AT134" s="185" t="s">
        <v>1092</v>
      </c>
      <c r="AU134" s="185" t="s">
        <v>1093</v>
      </c>
      <c r="AV134" s="185" t="s">
        <v>1092</v>
      </c>
      <c r="AW134" s="185" t="s">
        <v>1092</v>
      </c>
      <c r="AX134" s="185" t="s">
        <v>1092</v>
      </c>
      <c r="AY134" s="185" t="s">
        <v>1092</v>
      </c>
      <c r="AZ134" s="185" t="s">
        <v>1092</v>
      </c>
      <c r="BA134" s="185" t="s">
        <v>1093</v>
      </c>
      <c r="BB134" s="185" t="s">
        <v>3</v>
      </c>
      <c r="BC134" s="185" t="s">
        <v>1093</v>
      </c>
      <c r="BD134" s="185" t="s">
        <v>1093</v>
      </c>
      <c r="BE134" s="185" t="s">
        <v>1092</v>
      </c>
      <c r="BF134" s="185" t="s">
        <v>1093</v>
      </c>
      <c r="BG134" s="185" t="s">
        <v>3</v>
      </c>
      <c r="BH134" s="185" t="s">
        <v>3</v>
      </c>
      <c r="BI134" s="185" t="s">
        <v>1093</v>
      </c>
      <c r="BJ134" s="185" t="s">
        <v>3</v>
      </c>
      <c r="BK134" s="185" t="s">
        <v>3</v>
      </c>
      <c r="BL134" s="185" t="s">
        <v>3</v>
      </c>
      <c r="BM134" s="185" t="s">
        <v>3</v>
      </c>
      <c r="BN134" s="185" t="s">
        <v>3</v>
      </c>
      <c r="BO134" s="185" t="s">
        <v>3</v>
      </c>
      <c r="BP134" s="185" t="s">
        <v>3</v>
      </c>
      <c r="BQ134" s="185" t="s">
        <v>3</v>
      </c>
      <c r="BR134" s="185" t="s">
        <v>3</v>
      </c>
      <c r="BS134" s="185" t="s">
        <v>3</v>
      </c>
      <c r="BT134" s="185" t="s">
        <v>3</v>
      </c>
      <c r="BU134" s="185" t="s">
        <v>3</v>
      </c>
      <c r="BV134" s="185" t="s">
        <v>3</v>
      </c>
      <c r="BW134" s="185" t="s">
        <v>3</v>
      </c>
      <c r="BX134" s="185" t="s">
        <v>2</v>
      </c>
      <c r="BY134" s="185" t="s">
        <v>2</v>
      </c>
      <c r="BZ134" s="185" t="s">
        <v>1093</v>
      </c>
      <c r="CA134" s="185" t="s">
        <v>2</v>
      </c>
      <c r="CB134" s="185" t="s">
        <v>2</v>
      </c>
      <c r="CC134" s="185" t="s">
        <v>2</v>
      </c>
      <c r="CD134" s="185" t="s">
        <v>2</v>
      </c>
      <c r="CE134" s="185" t="s">
        <v>3</v>
      </c>
      <c r="CF134" s="185" t="s">
        <v>3</v>
      </c>
      <c r="CG134" s="185" t="s">
        <v>3</v>
      </c>
      <c r="CH134" s="185" t="s">
        <v>3</v>
      </c>
      <c r="CI134" s="185" t="s">
        <v>3</v>
      </c>
      <c r="CJ134" s="185" t="s">
        <v>3</v>
      </c>
      <c r="CK134" s="185" t="s">
        <v>3</v>
      </c>
      <c r="CL134" s="185" t="s">
        <v>2</v>
      </c>
      <c r="CM134" s="185" t="s">
        <v>2</v>
      </c>
      <c r="CN134" s="185" t="s">
        <v>2</v>
      </c>
      <c r="CO134" s="185" t="s">
        <v>3</v>
      </c>
      <c r="CP134" s="185" t="s">
        <v>1092</v>
      </c>
      <c r="CQ134" s="185" t="s">
        <v>1092</v>
      </c>
      <c r="CR134" s="185" t="s">
        <v>1092</v>
      </c>
      <c r="CS134" s="185" t="s">
        <v>3</v>
      </c>
      <c r="CT134" s="185" t="s">
        <v>3</v>
      </c>
      <c r="CU134" s="185" t="s">
        <v>2</v>
      </c>
      <c r="CV134" s="185" t="s">
        <v>2</v>
      </c>
      <c r="CW134" s="185" t="s">
        <v>3</v>
      </c>
      <c r="CX134" s="186"/>
      <c r="CY134" s="185">
        <v>20072272001</v>
      </c>
    </row>
    <row r="135" spans="1:103" ht="12.75" x14ac:dyDescent="0.2">
      <c r="A135" s="184">
        <v>42888.777689502313</v>
      </c>
      <c r="B135" s="185" t="s">
        <v>2249</v>
      </c>
      <c r="C135" s="185" t="s">
        <v>2237</v>
      </c>
      <c r="D135" s="185">
        <v>1</v>
      </c>
      <c r="E135" s="185" t="s">
        <v>2</v>
      </c>
      <c r="F135" s="185" t="s">
        <v>1092</v>
      </c>
      <c r="G135" s="185" t="s">
        <v>1092</v>
      </c>
      <c r="H135" s="185" t="s">
        <v>2</v>
      </c>
      <c r="I135" s="185" t="s">
        <v>1</v>
      </c>
      <c r="J135" s="185" t="s">
        <v>1092</v>
      </c>
      <c r="K135" s="185" t="s">
        <v>1092</v>
      </c>
      <c r="L135" s="185" t="s">
        <v>3</v>
      </c>
      <c r="M135" s="185" t="s">
        <v>3</v>
      </c>
      <c r="N135" s="185" t="s">
        <v>3</v>
      </c>
      <c r="O135" s="185" t="s">
        <v>3</v>
      </c>
      <c r="P135" s="185" t="s">
        <v>3</v>
      </c>
      <c r="Q135" s="185" t="s">
        <v>3</v>
      </c>
      <c r="R135" s="185" t="s">
        <v>3</v>
      </c>
      <c r="S135" s="185" t="s">
        <v>3</v>
      </c>
      <c r="T135" s="185" t="s">
        <v>3</v>
      </c>
      <c r="U135" s="185" t="s">
        <v>3</v>
      </c>
      <c r="V135" s="185" t="s">
        <v>3</v>
      </c>
      <c r="W135" s="185" t="s">
        <v>3</v>
      </c>
      <c r="X135" s="185" t="s">
        <v>3</v>
      </c>
      <c r="Y135" s="185" t="s">
        <v>3</v>
      </c>
      <c r="Z135" s="185" t="s">
        <v>3</v>
      </c>
      <c r="AA135" s="185" t="s">
        <v>3</v>
      </c>
      <c r="AB135" s="185" t="s">
        <v>3</v>
      </c>
      <c r="AC135" s="185" t="s">
        <v>3</v>
      </c>
      <c r="AD135" s="185" t="s">
        <v>3</v>
      </c>
      <c r="AE135" s="185" t="s">
        <v>3</v>
      </c>
      <c r="AF135" s="185" t="s">
        <v>3</v>
      </c>
      <c r="AG135" s="185" t="s">
        <v>3</v>
      </c>
      <c r="AH135" s="185" t="s">
        <v>3</v>
      </c>
      <c r="AI135" s="185" t="s">
        <v>3</v>
      </c>
      <c r="AJ135" s="185" t="s">
        <v>1092</v>
      </c>
      <c r="AK135" s="185" t="s">
        <v>1092</v>
      </c>
      <c r="AL135" s="185" t="s">
        <v>1092</v>
      </c>
      <c r="AM135" s="185" t="s">
        <v>1092</v>
      </c>
      <c r="AN135" s="185" t="s">
        <v>3</v>
      </c>
      <c r="AO135" s="185" t="s">
        <v>1092</v>
      </c>
      <c r="AP135" s="185" t="s">
        <v>1092</v>
      </c>
      <c r="AQ135" s="185" t="s">
        <v>3</v>
      </c>
      <c r="AR135" s="185" t="s">
        <v>1092</v>
      </c>
      <c r="AS135" s="185" t="s">
        <v>1092</v>
      </c>
      <c r="AT135" s="185" t="s">
        <v>1092</v>
      </c>
      <c r="AU135" s="185" t="s">
        <v>3</v>
      </c>
      <c r="AV135" s="185" t="s">
        <v>3</v>
      </c>
      <c r="AW135" s="185" t="s">
        <v>1092</v>
      </c>
      <c r="AX135" s="185" t="s">
        <v>1092</v>
      </c>
      <c r="AY135" s="185" t="s">
        <v>3</v>
      </c>
      <c r="AZ135" s="185" t="s">
        <v>1092</v>
      </c>
      <c r="BA135" s="185" t="s">
        <v>3</v>
      </c>
      <c r="BB135" s="185" t="s">
        <v>3</v>
      </c>
      <c r="BC135" s="185" t="s">
        <v>3</v>
      </c>
      <c r="BD135" s="185" t="s">
        <v>3</v>
      </c>
      <c r="BE135" s="185" t="s">
        <v>3</v>
      </c>
      <c r="BF135" s="185" t="s">
        <v>1092</v>
      </c>
      <c r="BG135" s="185" t="s">
        <v>1092</v>
      </c>
      <c r="BH135" s="185" t="s">
        <v>1092</v>
      </c>
      <c r="BI135" s="185" t="s">
        <v>3</v>
      </c>
      <c r="BJ135" s="185" t="s">
        <v>3</v>
      </c>
      <c r="BK135" s="185" t="s">
        <v>1092</v>
      </c>
      <c r="BL135" s="185" t="s">
        <v>1092</v>
      </c>
      <c r="BM135" s="185" t="s">
        <v>1092</v>
      </c>
      <c r="BN135" s="185" t="s">
        <v>1092</v>
      </c>
      <c r="BO135" s="185" t="s">
        <v>3</v>
      </c>
      <c r="BP135" s="185" t="s">
        <v>1092</v>
      </c>
      <c r="BQ135" s="185" t="s">
        <v>1092</v>
      </c>
      <c r="BR135" s="185" t="s">
        <v>1092</v>
      </c>
      <c r="BS135" s="185" t="s">
        <v>1092</v>
      </c>
      <c r="BT135" s="185" t="s">
        <v>3</v>
      </c>
      <c r="BU135" s="185" t="s">
        <v>3</v>
      </c>
      <c r="BV135" s="185" t="s">
        <v>3</v>
      </c>
      <c r="BW135" s="185" t="s">
        <v>1092</v>
      </c>
      <c r="BX135" s="185" t="s">
        <v>1092</v>
      </c>
      <c r="BY135" s="185" t="s">
        <v>1092</v>
      </c>
      <c r="BZ135" s="185" t="s">
        <v>1092</v>
      </c>
      <c r="CA135" s="185" t="s">
        <v>1092</v>
      </c>
      <c r="CB135" s="185" t="s">
        <v>5</v>
      </c>
      <c r="CC135" s="185" t="s">
        <v>3</v>
      </c>
      <c r="CD135" s="185" t="s">
        <v>1092</v>
      </c>
      <c r="CE135" s="185" t="s">
        <v>1092</v>
      </c>
      <c r="CF135" s="185" t="s">
        <v>1092</v>
      </c>
      <c r="CG135" s="185" t="s">
        <v>1092</v>
      </c>
      <c r="CH135" s="185" t="s">
        <v>3</v>
      </c>
      <c r="CI135" s="185" t="s">
        <v>3</v>
      </c>
      <c r="CJ135" s="185" t="s">
        <v>3</v>
      </c>
      <c r="CK135" s="185" t="s">
        <v>1092</v>
      </c>
      <c r="CL135" s="185" t="s">
        <v>1092</v>
      </c>
      <c r="CM135" s="185" t="s">
        <v>3</v>
      </c>
      <c r="CN135" s="185" t="s">
        <v>3</v>
      </c>
      <c r="CO135" s="185" t="s">
        <v>3</v>
      </c>
      <c r="CP135" s="185" t="s">
        <v>1092</v>
      </c>
      <c r="CQ135" s="185" t="s">
        <v>3</v>
      </c>
      <c r="CR135" s="185" t="s">
        <v>3</v>
      </c>
      <c r="CS135" s="185" t="s">
        <v>3</v>
      </c>
      <c r="CT135" s="185" t="s">
        <v>1092</v>
      </c>
      <c r="CU135" s="185" t="s">
        <v>3</v>
      </c>
      <c r="CV135" s="185" t="s">
        <v>3</v>
      </c>
      <c r="CW135" s="185" t="s">
        <v>3</v>
      </c>
      <c r="CX135" s="186"/>
      <c r="CY135" s="185">
        <v>20171572072</v>
      </c>
    </row>
    <row r="136" spans="1:103" ht="12.75" x14ac:dyDescent="0.2">
      <c r="A136" s="184">
        <v>42888.802905335644</v>
      </c>
      <c r="B136" s="185" t="s">
        <v>2388</v>
      </c>
      <c r="C136" s="185" t="s">
        <v>2237</v>
      </c>
      <c r="D136" s="185">
        <v>1</v>
      </c>
      <c r="E136" s="185" t="s">
        <v>1092</v>
      </c>
      <c r="F136" s="185" t="s">
        <v>3</v>
      </c>
      <c r="G136" s="185" t="s">
        <v>1092</v>
      </c>
      <c r="H136" s="185" t="s">
        <v>3</v>
      </c>
      <c r="I136" s="185" t="s">
        <v>3</v>
      </c>
      <c r="J136" s="185" t="s">
        <v>1092</v>
      </c>
      <c r="K136" s="185" t="s">
        <v>2</v>
      </c>
      <c r="L136" s="185" t="s">
        <v>1092</v>
      </c>
      <c r="M136" s="185" t="s">
        <v>1092</v>
      </c>
      <c r="N136" s="185" t="s">
        <v>1092</v>
      </c>
      <c r="O136" s="185" t="s">
        <v>2</v>
      </c>
      <c r="P136" s="185" t="s">
        <v>3</v>
      </c>
      <c r="Q136" s="185" t="s">
        <v>1092</v>
      </c>
      <c r="R136" s="185" t="s">
        <v>3</v>
      </c>
      <c r="S136" s="185" t="s">
        <v>3</v>
      </c>
      <c r="T136" s="185" t="s">
        <v>3</v>
      </c>
      <c r="U136" s="185" t="s">
        <v>1092</v>
      </c>
      <c r="V136" s="185" t="s">
        <v>2</v>
      </c>
      <c r="W136" s="185" t="s">
        <v>1092</v>
      </c>
      <c r="X136" s="185" t="s">
        <v>1092</v>
      </c>
      <c r="Y136" s="185" t="s">
        <v>1092</v>
      </c>
      <c r="Z136" s="185" t="s">
        <v>3</v>
      </c>
      <c r="AA136" s="185" t="s">
        <v>1092</v>
      </c>
      <c r="AB136" s="185" t="s">
        <v>3</v>
      </c>
      <c r="AC136" s="185" t="s">
        <v>3</v>
      </c>
      <c r="AD136" s="185" t="s">
        <v>3</v>
      </c>
      <c r="AE136" s="185" t="s">
        <v>1092</v>
      </c>
      <c r="AF136" s="185" t="s">
        <v>3</v>
      </c>
      <c r="AG136" s="185" t="s">
        <v>1092</v>
      </c>
      <c r="AH136" s="185" t="s">
        <v>3</v>
      </c>
      <c r="AI136" s="185" t="s">
        <v>3</v>
      </c>
      <c r="AJ136" s="185" t="s">
        <v>1092</v>
      </c>
      <c r="AK136" s="185" t="s">
        <v>3</v>
      </c>
      <c r="AL136" s="185" t="s">
        <v>2</v>
      </c>
      <c r="AM136" s="185" t="s">
        <v>3</v>
      </c>
      <c r="AN136" s="185" t="s">
        <v>1092</v>
      </c>
      <c r="AO136" s="185" t="s">
        <v>1092</v>
      </c>
      <c r="AP136" s="185" t="s">
        <v>1092</v>
      </c>
      <c r="AQ136" s="185" t="s">
        <v>3</v>
      </c>
      <c r="AR136" s="185" t="s">
        <v>3</v>
      </c>
      <c r="AS136" s="185" t="s">
        <v>2</v>
      </c>
      <c r="AT136" s="185" t="s">
        <v>3</v>
      </c>
      <c r="AU136" s="185" t="s">
        <v>3</v>
      </c>
      <c r="AV136" s="185" t="s">
        <v>1092</v>
      </c>
      <c r="AW136" s="185" t="s">
        <v>1092</v>
      </c>
      <c r="AX136" s="185" t="s">
        <v>1092</v>
      </c>
      <c r="AY136" s="185" t="s">
        <v>1092</v>
      </c>
      <c r="AZ136" s="185" t="s">
        <v>1092</v>
      </c>
      <c r="BA136" s="185" t="s">
        <v>3</v>
      </c>
      <c r="BB136" s="185" t="s">
        <v>3</v>
      </c>
      <c r="BC136" s="185" t="s">
        <v>3</v>
      </c>
      <c r="BD136" s="185" t="s">
        <v>3</v>
      </c>
      <c r="BE136" s="185" t="s">
        <v>2</v>
      </c>
      <c r="BF136" s="185" t="s">
        <v>2</v>
      </c>
      <c r="BG136" s="185" t="s">
        <v>3</v>
      </c>
      <c r="BH136" s="185" t="s">
        <v>1092</v>
      </c>
      <c r="BI136" s="185" t="s">
        <v>1092</v>
      </c>
      <c r="BJ136" s="185" t="s">
        <v>2</v>
      </c>
      <c r="BK136" s="185" t="s">
        <v>3</v>
      </c>
      <c r="BL136" s="185" t="s">
        <v>3</v>
      </c>
      <c r="BM136" s="185" t="s">
        <v>1092</v>
      </c>
      <c r="BN136" s="185" t="s">
        <v>3</v>
      </c>
      <c r="BO136" s="185" t="s">
        <v>3</v>
      </c>
      <c r="BP136" s="185" t="s">
        <v>2</v>
      </c>
      <c r="BQ136" s="185" t="s">
        <v>1092</v>
      </c>
      <c r="BR136" s="185" t="s">
        <v>1092</v>
      </c>
      <c r="BS136" s="185" t="s">
        <v>1092</v>
      </c>
      <c r="BT136" s="185" t="s">
        <v>1092</v>
      </c>
      <c r="BU136" s="185" t="s">
        <v>1</v>
      </c>
      <c r="BV136" s="185" t="s">
        <v>3</v>
      </c>
      <c r="BW136" s="185" t="s">
        <v>3</v>
      </c>
      <c r="BX136" s="185" t="s">
        <v>2</v>
      </c>
      <c r="BY136" s="185" t="s">
        <v>3</v>
      </c>
      <c r="BZ136" s="185" t="s">
        <v>3</v>
      </c>
      <c r="CA136" s="185" t="s">
        <v>3</v>
      </c>
      <c r="CB136" s="185" t="s">
        <v>2</v>
      </c>
      <c r="CC136" s="185" t="s">
        <v>3</v>
      </c>
      <c r="CD136" s="185" t="s">
        <v>1092</v>
      </c>
      <c r="CE136" s="185" t="s">
        <v>1092</v>
      </c>
      <c r="CF136" s="185" t="s">
        <v>1092</v>
      </c>
      <c r="CG136" s="185" t="s">
        <v>1092</v>
      </c>
      <c r="CH136" s="185" t="s">
        <v>3</v>
      </c>
      <c r="CI136" s="185" t="s">
        <v>3</v>
      </c>
      <c r="CJ136" s="185" t="s">
        <v>3</v>
      </c>
      <c r="CK136" s="185" t="s">
        <v>3</v>
      </c>
      <c r="CL136" s="185" t="s">
        <v>3</v>
      </c>
      <c r="CM136" s="185" t="s">
        <v>2</v>
      </c>
      <c r="CN136" s="185" t="s">
        <v>1092</v>
      </c>
      <c r="CO136" s="185" t="s">
        <v>1092</v>
      </c>
      <c r="CP136" s="185" t="s">
        <v>1092</v>
      </c>
      <c r="CQ136" s="185" t="s">
        <v>2</v>
      </c>
      <c r="CR136" s="185" t="s">
        <v>1092</v>
      </c>
      <c r="CS136" s="185" t="s">
        <v>3</v>
      </c>
      <c r="CT136" s="185" t="s">
        <v>3</v>
      </c>
      <c r="CU136" s="185" t="s">
        <v>3</v>
      </c>
      <c r="CV136" s="185" t="s">
        <v>3</v>
      </c>
      <c r="CW136" s="185" t="s">
        <v>3</v>
      </c>
      <c r="CX136" s="186"/>
      <c r="CY136" s="185">
        <v>20171572073</v>
      </c>
    </row>
    <row r="137" spans="1:103" ht="12.75" x14ac:dyDescent="0.2">
      <c r="A137" s="184">
        <v>42888.96391619213</v>
      </c>
      <c r="B137" s="185" t="s">
        <v>2389</v>
      </c>
      <c r="C137" s="185" t="s">
        <v>2235</v>
      </c>
      <c r="D137" s="185">
        <v>10</v>
      </c>
      <c r="E137" s="185" t="s">
        <v>2</v>
      </c>
      <c r="F137" s="185" t="s">
        <v>1092</v>
      </c>
      <c r="G137" s="185" t="s">
        <v>1092</v>
      </c>
      <c r="H137" s="185" t="s">
        <v>3</v>
      </c>
      <c r="I137" s="185" t="s">
        <v>1</v>
      </c>
      <c r="J137" s="185" t="s">
        <v>2</v>
      </c>
      <c r="K137" s="185" t="s">
        <v>3</v>
      </c>
      <c r="L137" s="185" t="s">
        <v>3</v>
      </c>
      <c r="M137" s="185" t="s">
        <v>1</v>
      </c>
      <c r="N137" s="185" t="s">
        <v>3</v>
      </c>
      <c r="O137" s="185" t="s">
        <v>3</v>
      </c>
      <c r="P137" s="185" t="s">
        <v>1</v>
      </c>
      <c r="Q137" s="185" t="s">
        <v>1</v>
      </c>
      <c r="R137" s="185" t="s">
        <v>1</v>
      </c>
      <c r="S137" s="185" t="s">
        <v>2</v>
      </c>
      <c r="T137" s="185" t="s">
        <v>2</v>
      </c>
      <c r="U137" s="185" t="s">
        <v>1</v>
      </c>
      <c r="V137" s="185" t="s">
        <v>3</v>
      </c>
      <c r="W137" s="185" t="s">
        <v>1</v>
      </c>
      <c r="X137" s="185" t="s">
        <v>3</v>
      </c>
      <c r="Y137" s="185" t="s">
        <v>1092</v>
      </c>
      <c r="Z137" s="185" t="s">
        <v>1092</v>
      </c>
      <c r="AA137" s="185" t="s">
        <v>1092</v>
      </c>
      <c r="AB137" s="185" t="s">
        <v>3</v>
      </c>
      <c r="AC137" s="185" t="s">
        <v>1092</v>
      </c>
      <c r="AD137" s="185" t="s">
        <v>3</v>
      </c>
      <c r="AE137" s="185" t="s">
        <v>5</v>
      </c>
      <c r="AF137" s="185" t="s">
        <v>2</v>
      </c>
      <c r="AG137" s="185" t="s">
        <v>5</v>
      </c>
      <c r="AH137" s="185" t="s">
        <v>2</v>
      </c>
      <c r="AI137" s="185" t="s">
        <v>2</v>
      </c>
      <c r="AJ137" s="185" t="s">
        <v>1093</v>
      </c>
      <c r="AK137" s="185" t="s">
        <v>1092</v>
      </c>
      <c r="AL137" s="185" t="s">
        <v>3</v>
      </c>
      <c r="AM137" s="185" t="s">
        <v>3</v>
      </c>
      <c r="AN137" s="185" t="s">
        <v>3</v>
      </c>
      <c r="AO137" s="185" t="s">
        <v>2</v>
      </c>
      <c r="AP137" s="185" t="s">
        <v>3</v>
      </c>
      <c r="AQ137" s="185" t="s">
        <v>1092</v>
      </c>
      <c r="AR137" s="185" t="s">
        <v>1092</v>
      </c>
      <c r="AS137" s="185" t="s">
        <v>1092</v>
      </c>
      <c r="AT137" s="185" t="s">
        <v>1092</v>
      </c>
      <c r="AU137" s="185" t="s">
        <v>1</v>
      </c>
      <c r="AV137" s="185" t="s">
        <v>5</v>
      </c>
      <c r="AW137" s="185" t="s">
        <v>3</v>
      </c>
      <c r="AX137" s="185" t="s">
        <v>1092</v>
      </c>
      <c r="AY137" s="185" t="s">
        <v>3</v>
      </c>
      <c r="AZ137" s="185" t="s">
        <v>2</v>
      </c>
      <c r="BA137" s="185" t="s">
        <v>2</v>
      </c>
      <c r="BB137" s="185" t="s">
        <v>2</v>
      </c>
      <c r="BC137" s="185" t="s">
        <v>2</v>
      </c>
      <c r="BD137" s="185" t="s">
        <v>1</v>
      </c>
      <c r="BE137" s="185" t="s">
        <v>2</v>
      </c>
      <c r="BF137" s="185" t="s">
        <v>1</v>
      </c>
      <c r="BG137" s="185" t="s">
        <v>3</v>
      </c>
      <c r="BH137" s="185" t="s">
        <v>3</v>
      </c>
      <c r="BI137" s="185" t="s">
        <v>2</v>
      </c>
      <c r="BJ137" s="185" t="s">
        <v>3</v>
      </c>
      <c r="BK137" s="185" t="s">
        <v>3</v>
      </c>
      <c r="BL137" s="185" t="s">
        <v>3</v>
      </c>
      <c r="BM137" s="185" t="s">
        <v>1</v>
      </c>
      <c r="BN137" s="185" t="s">
        <v>3</v>
      </c>
      <c r="BO137" s="185" t="s">
        <v>3</v>
      </c>
      <c r="BP137" s="185" t="s">
        <v>3</v>
      </c>
      <c r="BQ137" s="185" t="s">
        <v>3</v>
      </c>
      <c r="BR137" s="185" t="s">
        <v>3</v>
      </c>
      <c r="BS137" s="185" t="s">
        <v>1092</v>
      </c>
      <c r="BT137" s="185" t="s">
        <v>2</v>
      </c>
      <c r="BU137" s="185" t="s">
        <v>3</v>
      </c>
      <c r="BV137" s="185" t="s">
        <v>2</v>
      </c>
      <c r="BW137" s="185" t="s">
        <v>5</v>
      </c>
      <c r="BX137" s="185" t="s">
        <v>3</v>
      </c>
      <c r="BY137" s="185" t="s">
        <v>2</v>
      </c>
      <c r="BZ137" s="185" t="s">
        <v>1</v>
      </c>
      <c r="CA137" s="185" t="s">
        <v>5</v>
      </c>
      <c r="CB137" s="185" t="s">
        <v>2</v>
      </c>
      <c r="CC137" s="185" t="s">
        <v>2</v>
      </c>
      <c r="CD137" s="185" t="s">
        <v>3</v>
      </c>
      <c r="CE137" s="185" t="s">
        <v>1092</v>
      </c>
      <c r="CF137" s="185" t="s">
        <v>1093</v>
      </c>
      <c r="CG137" s="185" t="s">
        <v>1093</v>
      </c>
      <c r="CH137" s="185" t="s">
        <v>3</v>
      </c>
      <c r="CI137" s="185" t="s">
        <v>2</v>
      </c>
      <c r="CJ137" s="185" t="s">
        <v>2</v>
      </c>
      <c r="CK137" s="185" t="s">
        <v>1</v>
      </c>
      <c r="CL137" s="185" t="s">
        <v>2</v>
      </c>
      <c r="CM137" s="185" t="s">
        <v>2</v>
      </c>
      <c r="CN137" s="185" t="s">
        <v>1</v>
      </c>
      <c r="CO137" s="185" t="s">
        <v>3</v>
      </c>
      <c r="CP137" s="185" t="s">
        <v>3</v>
      </c>
      <c r="CQ137" s="185" t="s">
        <v>3</v>
      </c>
      <c r="CR137" s="185" t="s">
        <v>3</v>
      </c>
      <c r="CS137" s="185" t="s">
        <v>3</v>
      </c>
      <c r="CT137" s="185" t="s">
        <v>3</v>
      </c>
      <c r="CU137" s="185" t="s">
        <v>1093</v>
      </c>
      <c r="CV137" s="185" t="s">
        <v>1093</v>
      </c>
      <c r="CW137" s="185" t="s">
        <v>3</v>
      </c>
      <c r="CX137" s="186"/>
      <c r="CY137" s="185">
        <v>20112072121</v>
      </c>
    </row>
    <row r="138" spans="1:103" ht="12.75" x14ac:dyDescent="0.2">
      <c r="A138" s="184">
        <v>42888.994725763885</v>
      </c>
      <c r="B138" s="185" t="s">
        <v>2390</v>
      </c>
      <c r="C138" s="185" t="s">
        <v>2237</v>
      </c>
      <c r="D138" s="185">
        <v>1</v>
      </c>
      <c r="E138" s="185" t="s">
        <v>1092</v>
      </c>
      <c r="F138" s="185" t="s">
        <v>1092</v>
      </c>
      <c r="G138" s="185" t="s">
        <v>1092</v>
      </c>
      <c r="H138" s="185" t="s">
        <v>1092</v>
      </c>
      <c r="I138" s="185" t="s">
        <v>3</v>
      </c>
      <c r="J138" s="185" t="s">
        <v>2</v>
      </c>
      <c r="K138" s="185" t="s">
        <v>2</v>
      </c>
      <c r="L138" s="185" t="s">
        <v>2</v>
      </c>
      <c r="M138" s="185" t="s">
        <v>3</v>
      </c>
      <c r="N138" s="185" t="s">
        <v>3</v>
      </c>
      <c r="O138" s="185" t="s">
        <v>3</v>
      </c>
      <c r="P138" s="185" t="s">
        <v>2</v>
      </c>
      <c r="Q138" s="185" t="s">
        <v>2</v>
      </c>
      <c r="R138" s="185" t="s">
        <v>1093</v>
      </c>
      <c r="S138" s="185" t="s">
        <v>2</v>
      </c>
      <c r="T138" s="185" t="s">
        <v>2</v>
      </c>
      <c r="U138" s="185" t="s">
        <v>1092</v>
      </c>
      <c r="V138" s="185" t="s">
        <v>1092</v>
      </c>
      <c r="W138" s="185" t="s">
        <v>3</v>
      </c>
      <c r="X138" s="185" t="s">
        <v>3</v>
      </c>
      <c r="Y138" s="185" t="s">
        <v>1092</v>
      </c>
      <c r="Z138" s="185" t="s">
        <v>1092</v>
      </c>
      <c r="AA138" s="185" t="s">
        <v>1092</v>
      </c>
      <c r="AB138" s="185" t="s">
        <v>3</v>
      </c>
      <c r="AC138" s="185" t="s">
        <v>1092</v>
      </c>
      <c r="AD138" s="185" t="s">
        <v>2</v>
      </c>
      <c r="AE138" s="185" t="s">
        <v>5</v>
      </c>
      <c r="AF138" s="185" t="s">
        <v>5</v>
      </c>
      <c r="AG138" s="185" t="s">
        <v>5</v>
      </c>
      <c r="AH138" s="185" t="s">
        <v>5</v>
      </c>
      <c r="AI138" s="185" t="s">
        <v>3</v>
      </c>
      <c r="AJ138" s="185" t="s">
        <v>1092</v>
      </c>
      <c r="AK138" s="185" t="s">
        <v>1</v>
      </c>
      <c r="AL138" s="185" t="s">
        <v>2</v>
      </c>
      <c r="AM138" s="185" t="s">
        <v>2</v>
      </c>
      <c r="AN138" s="185" t="s">
        <v>3</v>
      </c>
      <c r="AO138" s="185" t="s">
        <v>2</v>
      </c>
      <c r="AP138" s="185" t="s">
        <v>1092</v>
      </c>
      <c r="AQ138" s="185" t="s">
        <v>1092</v>
      </c>
      <c r="AR138" s="185" t="s">
        <v>1092</v>
      </c>
      <c r="AS138" s="185" t="s">
        <v>1092</v>
      </c>
      <c r="AT138" s="185" t="s">
        <v>1092</v>
      </c>
      <c r="AU138" s="185" t="s">
        <v>3</v>
      </c>
      <c r="AV138" s="185" t="s">
        <v>2</v>
      </c>
      <c r="AW138" s="185" t="s">
        <v>1092</v>
      </c>
      <c r="AX138" s="185" t="s">
        <v>3</v>
      </c>
      <c r="AY138" s="185" t="s">
        <v>3</v>
      </c>
      <c r="AZ138" s="185" t="s">
        <v>1092</v>
      </c>
      <c r="BA138" s="185" t="s">
        <v>3</v>
      </c>
      <c r="BB138" s="185" t="s">
        <v>1092</v>
      </c>
      <c r="BC138" s="185" t="s">
        <v>3</v>
      </c>
      <c r="BD138" s="185" t="s">
        <v>2</v>
      </c>
      <c r="BE138" s="185" t="s">
        <v>1</v>
      </c>
      <c r="BF138" s="185" t="s">
        <v>1</v>
      </c>
      <c r="BG138" s="185" t="s">
        <v>2</v>
      </c>
      <c r="BH138" s="185" t="s">
        <v>1092</v>
      </c>
      <c r="BI138" s="185" t="s">
        <v>2</v>
      </c>
      <c r="BJ138" s="185" t="s">
        <v>1092</v>
      </c>
      <c r="BK138" s="185" t="s">
        <v>1092</v>
      </c>
      <c r="BL138" s="185" t="s">
        <v>1</v>
      </c>
      <c r="BM138" s="185" t="s">
        <v>1093</v>
      </c>
      <c r="BN138" s="185" t="s">
        <v>1093</v>
      </c>
      <c r="BO138" s="185" t="s">
        <v>2</v>
      </c>
      <c r="BP138" s="185" t="s">
        <v>1092</v>
      </c>
      <c r="BQ138" s="185" t="s">
        <v>3</v>
      </c>
      <c r="BR138" s="185" t="s">
        <v>3</v>
      </c>
      <c r="BS138" s="185" t="s">
        <v>3</v>
      </c>
      <c r="BT138" s="185" t="s">
        <v>1</v>
      </c>
      <c r="BU138" s="185" t="s">
        <v>1</v>
      </c>
      <c r="BV138" s="185" t="s">
        <v>5</v>
      </c>
      <c r="BW138" s="185" t="s">
        <v>5</v>
      </c>
      <c r="BX138" s="185" t="s">
        <v>3</v>
      </c>
      <c r="BY138" s="185" t="s">
        <v>1092</v>
      </c>
      <c r="BZ138" s="185" t="s">
        <v>5</v>
      </c>
      <c r="CA138" s="185" t="s">
        <v>1092</v>
      </c>
      <c r="CB138" s="185" t="s">
        <v>3</v>
      </c>
      <c r="CC138" s="185" t="s">
        <v>1092</v>
      </c>
      <c r="CD138" s="185" t="s">
        <v>1092</v>
      </c>
      <c r="CE138" s="185" t="s">
        <v>1092</v>
      </c>
      <c r="CF138" s="185" t="s">
        <v>5</v>
      </c>
      <c r="CG138" s="185" t="s">
        <v>5</v>
      </c>
      <c r="CH138" s="185" t="s">
        <v>3</v>
      </c>
      <c r="CI138" s="185" t="s">
        <v>5</v>
      </c>
      <c r="CJ138" s="185" t="s">
        <v>5</v>
      </c>
      <c r="CK138" s="185" t="s">
        <v>3</v>
      </c>
      <c r="CL138" s="185" t="s">
        <v>1093</v>
      </c>
      <c r="CM138" s="185" t="s">
        <v>5</v>
      </c>
      <c r="CN138" s="185" t="s">
        <v>5</v>
      </c>
      <c r="CO138" s="185" t="s">
        <v>5</v>
      </c>
      <c r="CP138" s="185" t="s">
        <v>1092</v>
      </c>
      <c r="CQ138" s="185" t="s">
        <v>1092</v>
      </c>
      <c r="CR138" s="185" t="s">
        <v>1092</v>
      </c>
      <c r="CS138" s="185" t="s">
        <v>1</v>
      </c>
      <c r="CT138" s="185" t="s">
        <v>5</v>
      </c>
      <c r="CU138" s="185" t="s">
        <v>1093</v>
      </c>
      <c r="CV138" s="185" t="s">
        <v>1093</v>
      </c>
      <c r="CW138" s="185" t="s">
        <v>1092</v>
      </c>
      <c r="CX138" s="185" t="s">
        <v>2391</v>
      </c>
      <c r="CY138" s="185">
        <v>20171772037</v>
      </c>
    </row>
    <row r="139" spans="1:103" ht="12.75" x14ac:dyDescent="0.2">
      <c r="A139" s="184">
        <v>42889.001781585648</v>
      </c>
      <c r="B139" s="185" t="s">
        <v>2392</v>
      </c>
      <c r="C139" s="185" t="s">
        <v>2237</v>
      </c>
      <c r="D139" s="185">
        <v>1</v>
      </c>
      <c r="E139" s="185" t="s">
        <v>3</v>
      </c>
      <c r="F139" s="185" t="s">
        <v>1092</v>
      </c>
      <c r="G139" s="185" t="s">
        <v>1092</v>
      </c>
      <c r="H139" s="185" t="s">
        <v>1092</v>
      </c>
      <c r="I139" s="185" t="s">
        <v>1093</v>
      </c>
      <c r="J139" s="185" t="s">
        <v>5</v>
      </c>
      <c r="K139" s="185" t="s">
        <v>3</v>
      </c>
      <c r="L139" s="185" t="s">
        <v>2</v>
      </c>
      <c r="M139" s="185" t="s">
        <v>2</v>
      </c>
      <c r="N139" s="185" t="s">
        <v>2</v>
      </c>
      <c r="O139" s="185" t="s">
        <v>2</v>
      </c>
      <c r="P139" s="185" t="s">
        <v>1093</v>
      </c>
      <c r="Q139" s="185" t="s">
        <v>2</v>
      </c>
      <c r="R139" s="185" t="s">
        <v>3</v>
      </c>
      <c r="S139" s="185" t="s">
        <v>3</v>
      </c>
      <c r="T139" s="185" t="s">
        <v>3</v>
      </c>
      <c r="U139" s="185" t="s">
        <v>3</v>
      </c>
      <c r="V139" s="185" t="s">
        <v>3</v>
      </c>
      <c r="W139" s="185" t="s">
        <v>3</v>
      </c>
      <c r="X139" s="185" t="s">
        <v>3</v>
      </c>
      <c r="Y139" s="185" t="s">
        <v>3</v>
      </c>
      <c r="Z139" s="185" t="s">
        <v>2</v>
      </c>
      <c r="AA139" s="185" t="s">
        <v>3</v>
      </c>
      <c r="AB139" s="185" t="s">
        <v>2</v>
      </c>
      <c r="AC139" s="185" t="s">
        <v>2</v>
      </c>
      <c r="AD139" s="185" t="s">
        <v>3</v>
      </c>
      <c r="AE139" s="185" t="s">
        <v>5</v>
      </c>
      <c r="AF139" s="185" t="s">
        <v>5</v>
      </c>
      <c r="AG139" s="185" t="s">
        <v>5</v>
      </c>
      <c r="AH139" s="185" t="s">
        <v>3</v>
      </c>
      <c r="AI139" s="185" t="s">
        <v>3</v>
      </c>
      <c r="AJ139" s="185" t="s">
        <v>3</v>
      </c>
      <c r="AK139" s="185" t="s">
        <v>1092</v>
      </c>
      <c r="AL139" s="185" t="s">
        <v>1</v>
      </c>
      <c r="AM139" s="185" t="s">
        <v>3</v>
      </c>
      <c r="AN139" s="185" t="s">
        <v>2</v>
      </c>
      <c r="AO139" s="185" t="s">
        <v>2</v>
      </c>
      <c r="AP139" s="185" t="s">
        <v>2</v>
      </c>
      <c r="AQ139" s="185" t="s">
        <v>3</v>
      </c>
      <c r="AR139" s="185" t="s">
        <v>3</v>
      </c>
      <c r="AS139" s="185" t="s">
        <v>2</v>
      </c>
      <c r="AT139" s="185" t="s">
        <v>3</v>
      </c>
      <c r="AU139" s="185" t="s">
        <v>3</v>
      </c>
      <c r="AV139" s="185" t="s">
        <v>3</v>
      </c>
      <c r="AW139" s="185" t="s">
        <v>3</v>
      </c>
      <c r="AX139" s="185" t="s">
        <v>3</v>
      </c>
      <c r="AY139" s="185" t="s">
        <v>3</v>
      </c>
      <c r="AZ139" s="185" t="s">
        <v>3</v>
      </c>
      <c r="BA139" s="185" t="s">
        <v>3</v>
      </c>
      <c r="BB139" s="185" t="s">
        <v>5</v>
      </c>
      <c r="BC139" s="185" t="s">
        <v>5</v>
      </c>
      <c r="BD139" s="185" t="s">
        <v>1093</v>
      </c>
      <c r="BE139" s="185" t="s">
        <v>5</v>
      </c>
      <c r="BF139" s="185" t="s">
        <v>5</v>
      </c>
      <c r="BG139" s="185" t="s">
        <v>5</v>
      </c>
      <c r="BH139" s="185" t="s">
        <v>5</v>
      </c>
      <c r="BI139" s="185" t="s">
        <v>5</v>
      </c>
      <c r="BJ139" s="185" t="s">
        <v>5</v>
      </c>
      <c r="BK139" s="185" t="s">
        <v>5</v>
      </c>
      <c r="BL139" s="185" t="s">
        <v>2</v>
      </c>
      <c r="BM139" s="185" t="s">
        <v>2</v>
      </c>
      <c r="BN139" s="185" t="s">
        <v>2</v>
      </c>
      <c r="BO139" s="185" t="s">
        <v>2</v>
      </c>
      <c r="BP139" s="185" t="s">
        <v>2</v>
      </c>
      <c r="BQ139" s="185" t="s">
        <v>2</v>
      </c>
      <c r="BR139" s="185" t="s">
        <v>2</v>
      </c>
      <c r="BS139" s="185" t="s">
        <v>3</v>
      </c>
      <c r="BT139" s="185" t="s">
        <v>2</v>
      </c>
      <c r="BU139" s="185" t="s">
        <v>2</v>
      </c>
      <c r="BV139" s="185" t="s">
        <v>2</v>
      </c>
      <c r="BW139" s="185" t="s">
        <v>2</v>
      </c>
      <c r="BX139" s="185" t="s">
        <v>3</v>
      </c>
      <c r="BY139" s="185" t="s">
        <v>5</v>
      </c>
      <c r="BZ139" s="185" t="s">
        <v>1093</v>
      </c>
      <c r="CA139" s="185" t="s">
        <v>2</v>
      </c>
      <c r="CB139" s="185" t="s">
        <v>2</v>
      </c>
      <c r="CC139" s="185" t="s">
        <v>2</v>
      </c>
      <c r="CD139" s="185" t="s">
        <v>2</v>
      </c>
      <c r="CE139" s="185" t="s">
        <v>2</v>
      </c>
      <c r="CF139" s="185" t="s">
        <v>2</v>
      </c>
      <c r="CG139" s="185" t="s">
        <v>2</v>
      </c>
      <c r="CH139" s="185" t="s">
        <v>2</v>
      </c>
      <c r="CI139" s="185" t="s">
        <v>2</v>
      </c>
      <c r="CJ139" s="185" t="s">
        <v>2</v>
      </c>
      <c r="CK139" s="185" t="s">
        <v>2</v>
      </c>
      <c r="CL139" s="185" t="s">
        <v>2</v>
      </c>
      <c r="CM139" s="185" t="s">
        <v>5</v>
      </c>
      <c r="CN139" s="185" t="s">
        <v>5</v>
      </c>
      <c r="CO139" s="185" t="s">
        <v>2</v>
      </c>
      <c r="CP139" s="185" t="s">
        <v>2</v>
      </c>
      <c r="CQ139" s="185" t="s">
        <v>2</v>
      </c>
      <c r="CR139" s="185" t="s">
        <v>2</v>
      </c>
      <c r="CS139" s="185" t="s">
        <v>5</v>
      </c>
      <c r="CT139" s="185" t="s">
        <v>5</v>
      </c>
      <c r="CU139" s="185" t="s">
        <v>3</v>
      </c>
      <c r="CV139" s="185" t="s">
        <v>2</v>
      </c>
      <c r="CW139" s="185" t="s">
        <v>3</v>
      </c>
      <c r="CX139" s="186"/>
      <c r="CY139" s="185">
        <v>20171572029</v>
      </c>
    </row>
    <row r="140" spans="1:103" ht="12.75" x14ac:dyDescent="0.2">
      <c r="A140" s="184">
        <v>42889.257743449074</v>
      </c>
      <c r="B140" s="185" t="s">
        <v>2393</v>
      </c>
      <c r="C140" s="185" t="s">
        <v>2235</v>
      </c>
      <c r="D140" s="185">
        <v>8</v>
      </c>
      <c r="E140" s="185" t="s">
        <v>1092</v>
      </c>
      <c r="F140" s="185" t="s">
        <v>1092</v>
      </c>
      <c r="G140" s="185" t="s">
        <v>3</v>
      </c>
      <c r="H140" s="185" t="s">
        <v>3</v>
      </c>
      <c r="I140" s="185" t="s">
        <v>1092</v>
      </c>
      <c r="J140" s="185" t="s">
        <v>3</v>
      </c>
      <c r="K140" s="185" t="s">
        <v>1092</v>
      </c>
      <c r="L140" s="185" t="s">
        <v>3</v>
      </c>
      <c r="M140" s="185" t="s">
        <v>3</v>
      </c>
      <c r="N140" s="185" t="s">
        <v>3</v>
      </c>
      <c r="O140" s="185" t="s">
        <v>1092</v>
      </c>
      <c r="P140" s="185" t="s">
        <v>1092</v>
      </c>
      <c r="Q140" s="185" t="s">
        <v>3</v>
      </c>
      <c r="R140" s="185" t="s">
        <v>3</v>
      </c>
      <c r="S140" s="185" t="s">
        <v>1092</v>
      </c>
      <c r="T140" s="185" t="s">
        <v>1092</v>
      </c>
      <c r="U140" s="185" t="s">
        <v>3</v>
      </c>
      <c r="V140" s="185" t="s">
        <v>3</v>
      </c>
      <c r="W140" s="185" t="s">
        <v>3</v>
      </c>
      <c r="X140" s="185" t="s">
        <v>1092</v>
      </c>
      <c r="Y140" s="185" t="s">
        <v>1092</v>
      </c>
      <c r="Z140" s="185" t="s">
        <v>1092</v>
      </c>
      <c r="AA140" s="185" t="s">
        <v>1092</v>
      </c>
      <c r="AB140" s="185" t="s">
        <v>3</v>
      </c>
      <c r="AC140" s="185" t="s">
        <v>1092</v>
      </c>
      <c r="AD140" s="185" t="s">
        <v>3</v>
      </c>
      <c r="AE140" s="185" t="s">
        <v>1092</v>
      </c>
      <c r="AF140" s="185" t="s">
        <v>1092</v>
      </c>
      <c r="AG140" s="185" t="s">
        <v>3</v>
      </c>
      <c r="AH140" s="185" t="s">
        <v>3</v>
      </c>
      <c r="AI140" s="185" t="s">
        <v>3</v>
      </c>
      <c r="AJ140" s="185" t="s">
        <v>3</v>
      </c>
      <c r="AK140" s="185" t="s">
        <v>1092</v>
      </c>
      <c r="AL140" s="185" t="s">
        <v>1092</v>
      </c>
      <c r="AM140" s="185" t="s">
        <v>1092</v>
      </c>
      <c r="AN140" s="185" t="s">
        <v>3</v>
      </c>
      <c r="AO140" s="185" t="s">
        <v>1092</v>
      </c>
      <c r="AP140" s="185" t="s">
        <v>3</v>
      </c>
      <c r="AQ140" s="185" t="s">
        <v>1092</v>
      </c>
      <c r="AR140" s="185" t="s">
        <v>3</v>
      </c>
      <c r="AS140" s="185" t="s">
        <v>1092</v>
      </c>
      <c r="AT140" s="185" t="s">
        <v>1092</v>
      </c>
      <c r="AU140" s="185" t="s">
        <v>3</v>
      </c>
      <c r="AV140" s="185" t="s">
        <v>1092</v>
      </c>
      <c r="AW140" s="185" t="s">
        <v>1092</v>
      </c>
      <c r="AX140" s="185" t="s">
        <v>1092</v>
      </c>
      <c r="AY140" s="185" t="s">
        <v>1092</v>
      </c>
      <c r="AZ140" s="185" t="s">
        <v>3</v>
      </c>
      <c r="BA140" s="185" t="s">
        <v>1092</v>
      </c>
      <c r="BB140" s="185" t="s">
        <v>1092</v>
      </c>
      <c r="BC140" s="185" t="s">
        <v>2</v>
      </c>
      <c r="BD140" s="185" t="s">
        <v>1092</v>
      </c>
      <c r="BE140" s="185" t="s">
        <v>3</v>
      </c>
      <c r="BF140" s="185" t="s">
        <v>3</v>
      </c>
      <c r="BG140" s="185" t="s">
        <v>1092</v>
      </c>
      <c r="BH140" s="185" t="s">
        <v>3</v>
      </c>
      <c r="BI140" s="185" t="s">
        <v>1092</v>
      </c>
      <c r="BJ140" s="185" t="s">
        <v>3</v>
      </c>
      <c r="BK140" s="185" t="s">
        <v>1092</v>
      </c>
      <c r="BL140" s="185" t="s">
        <v>3</v>
      </c>
      <c r="BM140" s="185" t="s">
        <v>1092</v>
      </c>
      <c r="BN140" s="185" t="s">
        <v>3</v>
      </c>
      <c r="BO140" s="185" t="s">
        <v>1092</v>
      </c>
      <c r="BP140" s="185" t="s">
        <v>2</v>
      </c>
      <c r="BQ140" s="185" t="s">
        <v>3</v>
      </c>
      <c r="BR140" s="185" t="s">
        <v>3</v>
      </c>
      <c r="BS140" s="185" t="s">
        <v>3</v>
      </c>
      <c r="BT140" s="185" t="s">
        <v>1092</v>
      </c>
      <c r="BU140" s="185" t="s">
        <v>1092</v>
      </c>
      <c r="BV140" s="185" t="s">
        <v>1092</v>
      </c>
      <c r="BW140" s="185" t="s">
        <v>3</v>
      </c>
      <c r="BX140" s="185" t="s">
        <v>3</v>
      </c>
      <c r="BY140" s="185" t="s">
        <v>3</v>
      </c>
      <c r="BZ140" s="185" t="s">
        <v>1092</v>
      </c>
      <c r="CA140" s="185" t="s">
        <v>1092</v>
      </c>
      <c r="CB140" s="185" t="s">
        <v>3</v>
      </c>
      <c r="CC140" s="185" t="s">
        <v>3</v>
      </c>
      <c r="CD140" s="185" t="s">
        <v>3</v>
      </c>
      <c r="CE140" s="185" t="s">
        <v>1092</v>
      </c>
      <c r="CF140" s="185" t="s">
        <v>1092</v>
      </c>
      <c r="CG140" s="185" t="s">
        <v>1</v>
      </c>
      <c r="CH140" s="185" t="s">
        <v>1093</v>
      </c>
      <c r="CI140" s="185" t="s">
        <v>2</v>
      </c>
      <c r="CJ140" s="185" t="s">
        <v>3</v>
      </c>
      <c r="CK140" s="185" t="s">
        <v>2</v>
      </c>
      <c r="CL140" s="185" t="s">
        <v>2</v>
      </c>
      <c r="CM140" s="185" t="s">
        <v>1092</v>
      </c>
      <c r="CN140" s="185" t="s">
        <v>3</v>
      </c>
      <c r="CO140" s="185" t="s">
        <v>3</v>
      </c>
      <c r="CP140" s="185" t="s">
        <v>3</v>
      </c>
      <c r="CQ140" s="185" t="s">
        <v>1092</v>
      </c>
      <c r="CR140" s="185" t="s">
        <v>2</v>
      </c>
      <c r="CS140" s="185" t="s">
        <v>2</v>
      </c>
      <c r="CT140" s="185" t="s">
        <v>2</v>
      </c>
      <c r="CU140" s="185" t="s">
        <v>1092</v>
      </c>
      <c r="CV140" s="185" t="s">
        <v>1092</v>
      </c>
      <c r="CW140" s="185" t="s">
        <v>3</v>
      </c>
      <c r="CX140" s="186"/>
      <c r="CY140" s="185">
        <v>20131072083</v>
      </c>
    </row>
    <row r="141" spans="1:103" ht="12.75" x14ac:dyDescent="0.2">
      <c r="A141" s="184">
        <v>42889.966586134258</v>
      </c>
      <c r="B141" s="185" t="s">
        <v>2394</v>
      </c>
      <c r="C141" s="185" t="s">
        <v>2235</v>
      </c>
      <c r="D141" s="185">
        <v>2</v>
      </c>
      <c r="E141" s="185" t="s">
        <v>2</v>
      </c>
      <c r="F141" s="185" t="s">
        <v>1092</v>
      </c>
      <c r="G141" s="185" t="s">
        <v>3</v>
      </c>
      <c r="H141" s="185" t="s">
        <v>2</v>
      </c>
      <c r="I141" s="185" t="s">
        <v>1093</v>
      </c>
      <c r="J141" s="185" t="s">
        <v>2</v>
      </c>
      <c r="K141" s="185" t="s">
        <v>1</v>
      </c>
      <c r="L141" s="185" t="s">
        <v>5</v>
      </c>
      <c r="M141" s="185" t="s">
        <v>5</v>
      </c>
      <c r="N141" s="185" t="s">
        <v>1</v>
      </c>
      <c r="O141" s="185" t="s">
        <v>1093</v>
      </c>
      <c r="P141" s="185" t="s">
        <v>1093</v>
      </c>
      <c r="Q141" s="185" t="s">
        <v>1092</v>
      </c>
      <c r="R141" s="185" t="s">
        <v>5</v>
      </c>
      <c r="S141" s="185" t="s">
        <v>2</v>
      </c>
      <c r="T141" s="185" t="s">
        <v>1</v>
      </c>
      <c r="U141" s="185" t="s">
        <v>1</v>
      </c>
      <c r="V141" s="185" t="s">
        <v>3</v>
      </c>
      <c r="W141" s="185" t="s">
        <v>1</v>
      </c>
      <c r="X141" s="185" t="s">
        <v>1092</v>
      </c>
      <c r="Y141" s="185" t="s">
        <v>1092</v>
      </c>
      <c r="Z141" s="185" t="s">
        <v>2</v>
      </c>
      <c r="AA141" s="185" t="s">
        <v>3</v>
      </c>
      <c r="AB141" s="185" t="s">
        <v>3</v>
      </c>
      <c r="AC141" s="185" t="s">
        <v>2</v>
      </c>
      <c r="AD141" s="185" t="s">
        <v>5</v>
      </c>
      <c r="AE141" s="185" t="s">
        <v>5</v>
      </c>
      <c r="AF141" s="185" t="s">
        <v>3</v>
      </c>
      <c r="AG141" s="185" t="s">
        <v>2</v>
      </c>
      <c r="AH141" s="185" t="s">
        <v>3</v>
      </c>
      <c r="AI141" s="185" t="s">
        <v>5</v>
      </c>
      <c r="AJ141" s="185" t="s">
        <v>1</v>
      </c>
      <c r="AK141" s="185" t="s">
        <v>3</v>
      </c>
      <c r="AL141" s="185" t="s">
        <v>1</v>
      </c>
      <c r="AM141" s="185" t="s">
        <v>3</v>
      </c>
      <c r="AN141" s="185" t="s">
        <v>1</v>
      </c>
      <c r="AO141" s="185" t="s">
        <v>2</v>
      </c>
      <c r="AP141" s="185" t="s">
        <v>1093</v>
      </c>
      <c r="AQ141" s="185" t="s">
        <v>1</v>
      </c>
      <c r="AR141" s="185" t="s">
        <v>3</v>
      </c>
      <c r="AS141" s="185" t="s">
        <v>1092</v>
      </c>
      <c r="AT141" s="185" t="s">
        <v>3</v>
      </c>
      <c r="AU141" s="185" t="s">
        <v>3</v>
      </c>
      <c r="AV141" s="185" t="s">
        <v>1093</v>
      </c>
      <c r="AW141" s="185" t="s">
        <v>1</v>
      </c>
      <c r="AX141" s="185" t="s">
        <v>3</v>
      </c>
      <c r="AY141" s="185" t="s">
        <v>3</v>
      </c>
      <c r="AZ141" s="185" t="s">
        <v>1093</v>
      </c>
      <c r="BA141" s="185" t="s">
        <v>1093</v>
      </c>
      <c r="BB141" s="185" t="s">
        <v>5</v>
      </c>
      <c r="BC141" s="185" t="s">
        <v>1093</v>
      </c>
      <c r="BD141" s="185" t="s">
        <v>1093</v>
      </c>
      <c r="BE141" s="185" t="s">
        <v>1092</v>
      </c>
      <c r="BF141" s="185" t="s">
        <v>1</v>
      </c>
      <c r="BG141" s="185" t="s">
        <v>3</v>
      </c>
      <c r="BH141" s="185" t="s">
        <v>1</v>
      </c>
      <c r="BI141" s="185" t="s">
        <v>2</v>
      </c>
      <c r="BJ141" s="185" t="s">
        <v>2</v>
      </c>
      <c r="BK141" s="185" t="s">
        <v>1093</v>
      </c>
      <c r="BL141" s="185" t="s">
        <v>2</v>
      </c>
      <c r="BM141" s="185" t="s">
        <v>1093</v>
      </c>
      <c r="BN141" s="185" t="s">
        <v>2</v>
      </c>
      <c r="BO141" s="185" t="s">
        <v>1</v>
      </c>
      <c r="BP141" s="185" t="s">
        <v>2</v>
      </c>
      <c r="BQ141" s="185" t="s">
        <v>2</v>
      </c>
      <c r="BR141" s="185" t="s">
        <v>2</v>
      </c>
      <c r="BS141" s="185" t="s">
        <v>5</v>
      </c>
      <c r="BT141" s="185" t="s">
        <v>2</v>
      </c>
      <c r="BU141" s="185" t="s">
        <v>2</v>
      </c>
      <c r="BV141" s="185" t="s">
        <v>2</v>
      </c>
      <c r="BW141" s="185" t="s">
        <v>5</v>
      </c>
      <c r="BX141" s="185" t="s">
        <v>1</v>
      </c>
      <c r="BY141" s="185" t="s">
        <v>5</v>
      </c>
      <c r="BZ141" s="185" t="s">
        <v>1093</v>
      </c>
      <c r="CA141" s="185" t="s">
        <v>2</v>
      </c>
      <c r="CB141" s="185" t="s">
        <v>1093</v>
      </c>
      <c r="CC141" s="185" t="s">
        <v>2</v>
      </c>
      <c r="CD141" s="185" t="s">
        <v>2</v>
      </c>
      <c r="CE141" s="185" t="s">
        <v>1092</v>
      </c>
      <c r="CF141" s="185" t="s">
        <v>1093</v>
      </c>
      <c r="CG141" s="185" t="s">
        <v>1</v>
      </c>
      <c r="CH141" s="185" t="s">
        <v>3</v>
      </c>
      <c r="CI141" s="185" t="s">
        <v>3</v>
      </c>
      <c r="CJ141" s="185" t="s">
        <v>1</v>
      </c>
      <c r="CK141" s="185" t="s">
        <v>1</v>
      </c>
      <c r="CL141" s="185" t="s">
        <v>1093</v>
      </c>
      <c r="CM141" s="185" t="s">
        <v>1</v>
      </c>
      <c r="CN141" s="185" t="s">
        <v>1</v>
      </c>
      <c r="CO141" s="185" t="s">
        <v>2</v>
      </c>
      <c r="CP141" s="185" t="s">
        <v>1</v>
      </c>
      <c r="CQ141" s="185" t="s">
        <v>2</v>
      </c>
      <c r="CR141" s="185" t="s">
        <v>2</v>
      </c>
      <c r="CS141" s="185" t="s">
        <v>2</v>
      </c>
      <c r="CT141" s="185" t="s">
        <v>2</v>
      </c>
      <c r="CU141" s="185" t="s">
        <v>2</v>
      </c>
      <c r="CV141" s="185" t="s">
        <v>2</v>
      </c>
      <c r="CW141" s="185" t="s">
        <v>1</v>
      </c>
      <c r="CX141" s="186"/>
      <c r="CY141" s="185">
        <v>20132072087</v>
      </c>
    </row>
    <row r="142" spans="1:103" ht="12.75" x14ac:dyDescent="0.2">
      <c r="A142" s="184">
        <v>42890.175864108794</v>
      </c>
      <c r="B142" s="185" t="s">
        <v>2395</v>
      </c>
      <c r="C142" s="185" t="s">
        <v>2235</v>
      </c>
      <c r="D142" s="185">
        <v>1</v>
      </c>
      <c r="E142" s="185" t="s">
        <v>2</v>
      </c>
      <c r="F142" s="185" t="s">
        <v>3</v>
      </c>
      <c r="G142" s="185" t="s">
        <v>2</v>
      </c>
      <c r="H142" s="185" t="s">
        <v>2</v>
      </c>
      <c r="I142" s="185" t="s">
        <v>1093</v>
      </c>
      <c r="J142" s="185" t="s">
        <v>1093</v>
      </c>
      <c r="K142" s="185" t="s">
        <v>1092</v>
      </c>
      <c r="L142" s="185" t="s">
        <v>3</v>
      </c>
      <c r="M142" s="185" t="s">
        <v>2</v>
      </c>
      <c r="N142" s="185" t="s">
        <v>1093</v>
      </c>
      <c r="O142" s="185" t="s">
        <v>1093</v>
      </c>
      <c r="P142" s="185" t="s">
        <v>2</v>
      </c>
      <c r="Q142" s="185" t="s">
        <v>1092</v>
      </c>
      <c r="R142" s="185" t="s">
        <v>1093</v>
      </c>
      <c r="S142" s="185" t="s">
        <v>1093</v>
      </c>
      <c r="T142" s="185" t="s">
        <v>2</v>
      </c>
      <c r="U142" s="185" t="s">
        <v>1</v>
      </c>
      <c r="V142" s="185" t="s">
        <v>2</v>
      </c>
      <c r="W142" s="185" t="s">
        <v>2</v>
      </c>
      <c r="X142" s="185" t="s">
        <v>1093</v>
      </c>
      <c r="Y142" s="185" t="s">
        <v>2</v>
      </c>
      <c r="Z142" s="185" t="s">
        <v>1</v>
      </c>
      <c r="AA142" s="185" t="s">
        <v>1</v>
      </c>
      <c r="AB142" s="185" t="s">
        <v>2</v>
      </c>
      <c r="AC142" s="185" t="s">
        <v>2</v>
      </c>
      <c r="AD142" s="185" t="s">
        <v>1</v>
      </c>
      <c r="AE142" s="185" t="s">
        <v>5</v>
      </c>
      <c r="AF142" s="185" t="s">
        <v>1092</v>
      </c>
      <c r="AG142" s="185" t="s">
        <v>5</v>
      </c>
      <c r="AH142" s="185" t="s">
        <v>1092</v>
      </c>
      <c r="AI142" s="185" t="s">
        <v>1092</v>
      </c>
      <c r="AJ142" s="185" t="s">
        <v>2</v>
      </c>
      <c r="AK142" s="185" t="s">
        <v>2</v>
      </c>
      <c r="AL142" s="185" t="s">
        <v>2</v>
      </c>
      <c r="AM142" s="185" t="s">
        <v>2</v>
      </c>
      <c r="AN142" s="185" t="s">
        <v>1093</v>
      </c>
      <c r="AO142" s="185" t="s">
        <v>2</v>
      </c>
      <c r="AP142" s="185" t="s">
        <v>1092</v>
      </c>
      <c r="AQ142" s="185" t="s">
        <v>1092</v>
      </c>
      <c r="AR142" s="185" t="s">
        <v>3</v>
      </c>
      <c r="AS142" s="185" t="s">
        <v>1092</v>
      </c>
      <c r="AT142" s="185" t="s">
        <v>1092</v>
      </c>
      <c r="AU142" s="185" t="s">
        <v>1092</v>
      </c>
      <c r="AV142" s="185" t="s">
        <v>3</v>
      </c>
      <c r="AW142" s="185" t="s">
        <v>2</v>
      </c>
      <c r="AX142" s="185" t="s">
        <v>2</v>
      </c>
      <c r="AY142" s="185" t="s">
        <v>2</v>
      </c>
      <c r="AZ142" s="185" t="s">
        <v>2</v>
      </c>
      <c r="BA142" s="185" t="s">
        <v>3</v>
      </c>
      <c r="BB142" s="185" t="s">
        <v>1</v>
      </c>
      <c r="BC142" s="185" t="s">
        <v>1093</v>
      </c>
      <c r="BD142" s="185" t="s">
        <v>1093</v>
      </c>
      <c r="BE142" s="185" t="s">
        <v>2</v>
      </c>
      <c r="BF142" s="185" t="s">
        <v>2</v>
      </c>
      <c r="BG142" s="185" t="s">
        <v>2</v>
      </c>
      <c r="BH142" s="185" t="s">
        <v>2</v>
      </c>
      <c r="BI142" s="185" t="s">
        <v>2</v>
      </c>
      <c r="BJ142" s="185" t="s">
        <v>3</v>
      </c>
      <c r="BK142" s="185" t="s">
        <v>3</v>
      </c>
      <c r="BL142" s="185" t="s">
        <v>2</v>
      </c>
      <c r="BM142" s="185" t="s">
        <v>2</v>
      </c>
      <c r="BN142" s="185" t="s">
        <v>2</v>
      </c>
      <c r="BO142" s="185" t="s">
        <v>2</v>
      </c>
      <c r="BP142" s="185" t="s">
        <v>1093</v>
      </c>
      <c r="BQ142" s="185" t="s">
        <v>3</v>
      </c>
      <c r="BR142" s="185" t="s">
        <v>2</v>
      </c>
      <c r="BS142" s="185" t="s">
        <v>1092</v>
      </c>
      <c r="BT142" s="185" t="s">
        <v>1093</v>
      </c>
      <c r="BU142" s="185" t="s">
        <v>2</v>
      </c>
      <c r="BV142" s="185" t="s">
        <v>3</v>
      </c>
      <c r="BW142" s="185" t="s">
        <v>2</v>
      </c>
      <c r="BX142" s="185" t="s">
        <v>2</v>
      </c>
      <c r="BY142" s="185" t="s">
        <v>1</v>
      </c>
      <c r="BZ142" s="185" t="s">
        <v>1093</v>
      </c>
      <c r="CA142" s="185" t="s">
        <v>1093</v>
      </c>
      <c r="CB142" s="185" t="s">
        <v>1093</v>
      </c>
      <c r="CC142" s="185" t="s">
        <v>2</v>
      </c>
      <c r="CD142" s="185" t="s">
        <v>1093</v>
      </c>
      <c r="CE142" s="185" t="s">
        <v>2</v>
      </c>
      <c r="CF142" s="185" t="s">
        <v>1093</v>
      </c>
      <c r="CG142" s="185" t="s">
        <v>2</v>
      </c>
      <c r="CH142" s="185" t="s">
        <v>2</v>
      </c>
      <c r="CI142" s="185" t="s">
        <v>2</v>
      </c>
      <c r="CJ142" s="185" t="s">
        <v>2</v>
      </c>
      <c r="CK142" s="185" t="s">
        <v>2</v>
      </c>
      <c r="CL142" s="185" t="s">
        <v>1093</v>
      </c>
      <c r="CM142" s="185" t="s">
        <v>2</v>
      </c>
      <c r="CN142" s="185" t="s">
        <v>2</v>
      </c>
      <c r="CO142" s="185" t="s">
        <v>2</v>
      </c>
      <c r="CP142" s="185" t="s">
        <v>1093</v>
      </c>
      <c r="CQ142" s="185" t="s">
        <v>2</v>
      </c>
      <c r="CR142" s="185" t="s">
        <v>1093</v>
      </c>
      <c r="CS142" s="185" t="s">
        <v>2</v>
      </c>
      <c r="CT142" s="185" t="s">
        <v>2</v>
      </c>
      <c r="CU142" s="185" t="s">
        <v>2</v>
      </c>
      <c r="CV142" s="185" t="s">
        <v>1</v>
      </c>
      <c r="CW142" s="185" t="s">
        <v>2</v>
      </c>
      <c r="CX142" s="186"/>
      <c r="CY142" s="185">
        <v>20131072061</v>
      </c>
    </row>
    <row r="143" spans="1:103" ht="12.75" x14ac:dyDescent="0.2">
      <c r="A143" s="184">
        <v>42890.521353298609</v>
      </c>
      <c r="B143" s="185" t="s">
        <v>2396</v>
      </c>
      <c r="C143" s="185" t="s">
        <v>2235</v>
      </c>
      <c r="D143" s="185">
        <v>10</v>
      </c>
      <c r="E143" s="185" t="s">
        <v>2</v>
      </c>
      <c r="F143" s="185" t="s">
        <v>1093</v>
      </c>
      <c r="G143" s="185" t="s">
        <v>1093</v>
      </c>
      <c r="H143" s="185" t="s">
        <v>2</v>
      </c>
      <c r="I143" s="185" t="s">
        <v>3</v>
      </c>
      <c r="J143" s="185" t="s">
        <v>2</v>
      </c>
      <c r="K143" s="185" t="s">
        <v>1</v>
      </c>
      <c r="L143" s="185" t="s">
        <v>1093</v>
      </c>
      <c r="M143" s="185" t="s">
        <v>3</v>
      </c>
      <c r="N143" s="185" t="s">
        <v>3</v>
      </c>
      <c r="O143" s="185" t="s">
        <v>2</v>
      </c>
      <c r="P143" s="185" t="s">
        <v>1</v>
      </c>
      <c r="Q143" s="185" t="s">
        <v>1093</v>
      </c>
      <c r="R143" s="185" t="s">
        <v>3</v>
      </c>
      <c r="S143" s="185" t="s">
        <v>3</v>
      </c>
      <c r="T143" s="185" t="s">
        <v>2</v>
      </c>
      <c r="U143" s="185" t="s">
        <v>3</v>
      </c>
      <c r="V143" s="185" t="s">
        <v>3</v>
      </c>
      <c r="W143" s="185" t="s">
        <v>1093</v>
      </c>
      <c r="X143" s="185" t="s">
        <v>3</v>
      </c>
      <c r="Y143" s="185" t="s">
        <v>3</v>
      </c>
      <c r="Z143" s="185" t="s">
        <v>1092</v>
      </c>
      <c r="AA143" s="185" t="s">
        <v>3</v>
      </c>
      <c r="AB143" s="185" t="s">
        <v>2</v>
      </c>
      <c r="AC143" s="185" t="s">
        <v>3</v>
      </c>
      <c r="AD143" s="185" t="s">
        <v>3</v>
      </c>
      <c r="AE143" s="185" t="s">
        <v>2</v>
      </c>
      <c r="AF143" s="185" t="s">
        <v>2</v>
      </c>
      <c r="AG143" s="185" t="s">
        <v>2</v>
      </c>
      <c r="AH143" s="185" t="s">
        <v>2</v>
      </c>
      <c r="AI143" s="185" t="s">
        <v>2</v>
      </c>
      <c r="AJ143" s="185" t="s">
        <v>3</v>
      </c>
      <c r="AK143" s="185" t="s">
        <v>3</v>
      </c>
      <c r="AL143" s="185" t="s">
        <v>3</v>
      </c>
      <c r="AM143" s="185" t="s">
        <v>3</v>
      </c>
      <c r="AN143" s="185" t="s">
        <v>3</v>
      </c>
      <c r="AO143" s="185" t="s">
        <v>3</v>
      </c>
      <c r="AP143" s="185" t="s">
        <v>3</v>
      </c>
      <c r="AQ143" s="185" t="s">
        <v>1093</v>
      </c>
      <c r="AR143" s="185" t="s">
        <v>1092</v>
      </c>
      <c r="AS143" s="185" t="s">
        <v>1092</v>
      </c>
      <c r="AT143" s="185" t="s">
        <v>1092</v>
      </c>
      <c r="AU143" s="185" t="s">
        <v>1092</v>
      </c>
      <c r="AV143" s="185" t="s">
        <v>3</v>
      </c>
      <c r="AW143" s="185" t="s">
        <v>3</v>
      </c>
      <c r="AX143" s="185" t="s">
        <v>3</v>
      </c>
      <c r="AY143" s="185" t="s">
        <v>3</v>
      </c>
      <c r="AZ143" s="185" t="s">
        <v>3</v>
      </c>
      <c r="BA143" s="185" t="s">
        <v>3</v>
      </c>
      <c r="BB143" s="185" t="s">
        <v>3</v>
      </c>
      <c r="BC143" s="185" t="s">
        <v>3</v>
      </c>
      <c r="BD143" s="185" t="s">
        <v>2</v>
      </c>
      <c r="BE143" s="185" t="s">
        <v>2</v>
      </c>
      <c r="BF143" s="185" t="s">
        <v>2</v>
      </c>
      <c r="BG143" s="185" t="s">
        <v>3</v>
      </c>
      <c r="BH143" s="185" t="s">
        <v>3</v>
      </c>
      <c r="BI143" s="185" t="s">
        <v>3</v>
      </c>
      <c r="BJ143" s="185" t="s">
        <v>3</v>
      </c>
      <c r="BK143" s="185" t="s">
        <v>3</v>
      </c>
      <c r="BL143" s="185" t="s">
        <v>3</v>
      </c>
      <c r="BM143" s="185" t="s">
        <v>3</v>
      </c>
      <c r="BN143" s="185" t="s">
        <v>3</v>
      </c>
      <c r="BO143" s="185" t="s">
        <v>3</v>
      </c>
      <c r="BP143" s="185" t="s">
        <v>3</v>
      </c>
      <c r="BQ143" s="185" t="s">
        <v>3</v>
      </c>
      <c r="BR143" s="185" t="s">
        <v>3</v>
      </c>
      <c r="BS143" s="185" t="s">
        <v>3</v>
      </c>
      <c r="BT143" s="185" t="s">
        <v>3</v>
      </c>
      <c r="BU143" s="185" t="s">
        <v>3</v>
      </c>
      <c r="BV143" s="185" t="s">
        <v>3</v>
      </c>
      <c r="BW143" s="185" t="s">
        <v>3</v>
      </c>
      <c r="BX143" s="185" t="s">
        <v>3</v>
      </c>
      <c r="BY143" s="185" t="s">
        <v>3</v>
      </c>
      <c r="BZ143" s="185" t="s">
        <v>3</v>
      </c>
      <c r="CA143" s="185" t="s">
        <v>3</v>
      </c>
      <c r="CB143" s="185" t="s">
        <v>3</v>
      </c>
      <c r="CC143" s="185" t="s">
        <v>3</v>
      </c>
      <c r="CD143" s="185" t="s">
        <v>3</v>
      </c>
      <c r="CE143" s="185" t="s">
        <v>3</v>
      </c>
      <c r="CF143" s="185" t="s">
        <v>3</v>
      </c>
      <c r="CG143" s="185" t="s">
        <v>3</v>
      </c>
      <c r="CH143" s="185" t="s">
        <v>3</v>
      </c>
      <c r="CI143" s="185" t="s">
        <v>3</v>
      </c>
      <c r="CJ143" s="185" t="s">
        <v>3</v>
      </c>
      <c r="CK143" s="185" t="s">
        <v>3</v>
      </c>
      <c r="CL143" s="185" t="s">
        <v>3</v>
      </c>
      <c r="CM143" s="185" t="s">
        <v>3</v>
      </c>
      <c r="CN143" s="185" t="s">
        <v>3</v>
      </c>
      <c r="CO143" s="185" t="s">
        <v>3</v>
      </c>
      <c r="CP143" s="185" t="s">
        <v>3</v>
      </c>
      <c r="CQ143" s="185" t="s">
        <v>3</v>
      </c>
      <c r="CR143" s="185" t="s">
        <v>3</v>
      </c>
      <c r="CS143" s="185" t="s">
        <v>3</v>
      </c>
      <c r="CT143" s="185" t="s">
        <v>3</v>
      </c>
      <c r="CU143" s="185" t="s">
        <v>3</v>
      </c>
      <c r="CV143" s="185" t="s">
        <v>3</v>
      </c>
      <c r="CW143" s="185" t="s">
        <v>3</v>
      </c>
      <c r="CX143" s="186"/>
      <c r="CY143" s="185">
        <v>200610762077</v>
      </c>
    </row>
    <row r="144" spans="1:103" ht="12.75" x14ac:dyDescent="0.2">
      <c r="A144" s="184">
        <v>42890.532914618059</v>
      </c>
      <c r="B144" s="185" t="s">
        <v>2397</v>
      </c>
      <c r="C144" s="185" t="s">
        <v>2237</v>
      </c>
      <c r="D144" s="185">
        <v>1</v>
      </c>
      <c r="E144" s="185" t="s">
        <v>1092</v>
      </c>
      <c r="F144" s="185" t="s">
        <v>2</v>
      </c>
      <c r="G144" s="185" t="s">
        <v>1092</v>
      </c>
      <c r="H144" s="185" t="s">
        <v>1092</v>
      </c>
      <c r="I144" s="185" t="s">
        <v>1093</v>
      </c>
      <c r="J144" s="185" t="s">
        <v>1093</v>
      </c>
      <c r="K144" s="185" t="s">
        <v>3</v>
      </c>
      <c r="L144" s="185" t="s">
        <v>2</v>
      </c>
      <c r="M144" s="185" t="s">
        <v>2</v>
      </c>
      <c r="N144" s="185" t="s">
        <v>2</v>
      </c>
      <c r="O144" s="185" t="s">
        <v>2</v>
      </c>
      <c r="P144" s="185" t="s">
        <v>1093</v>
      </c>
      <c r="Q144" s="185" t="s">
        <v>5</v>
      </c>
      <c r="R144" s="185" t="s">
        <v>1092</v>
      </c>
      <c r="S144" s="185" t="s">
        <v>3</v>
      </c>
      <c r="T144" s="185" t="s">
        <v>2</v>
      </c>
      <c r="U144" s="185" t="s">
        <v>2</v>
      </c>
      <c r="V144" s="185" t="s">
        <v>3</v>
      </c>
      <c r="W144" s="185" t="s">
        <v>3</v>
      </c>
      <c r="X144" s="185" t="s">
        <v>3</v>
      </c>
      <c r="Y144" s="185" t="s">
        <v>1092</v>
      </c>
      <c r="Z144" s="185" t="s">
        <v>1092</v>
      </c>
      <c r="AA144" s="185" t="s">
        <v>3</v>
      </c>
      <c r="AB144" s="185" t="s">
        <v>3</v>
      </c>
      <c r="AC144" s="185" t="s">
        <v>5</v>
      </c>
      <c r="AD144" s="185" t="s">
        <v>1093</v>
      </c>
      <c r="AE144" s="185" t="s">
        <v>1092</v>
      </c>
      <c r="AF144" s="185" t="s">
        <v>1092</v>
      </c>
      <c r="AG144" s="185" t="s">
        <v>1092</v>
      </c>
      <c r="AH144" s="185" t="s">
        <v>5</v>
      </c>
      <c r="AI144" s="185" t="s">
        <v>5</v>
      </c>
      <c r="AJ144" s="185" t="s">
        <v>3</v>
      </c>
      <c r="AK144" s="185" t="s">
        <v>3</v>
      </c>
      <c r="AL144" s="185" t="s">
        <v>1092</v>
      </c>
      <c r="AM144" s="185" t="s">
        <v>3</v>
      </c>
      <c r="AN144" s="185" t="s">
        <v>1092</v>
      </c>
      <c r="AO144" s="185" t="s">
        <v>1092</v>
      </c>
      <c r="AP144" s="185" t="s">
        <v>1092</v>
      </c>
      <c r="AQ144" s="185" t="s">
        <v>1092</v>
      </c>
      <c r="AR144" s="185" t="s">
        <v>1092</v>
      </c>
      <c r="AS144" s="185" t="s">
        <v>1092</v>
      </c>
      <c r="AT144" s="185" t="s">
        <v>1092</v>
      </c>
      <c r="AU144" s="185" t="s">
        <v>2</v>
      </c>
      <c r="AV144" s="185" t="s">
        <v>3</v>
      </c>
      <c r="AW144" s="185" t="s">
        <v>3</v>
      </c>
      <c r="AX144" s="185" t="s">
        <v>1092</v>
      </c>
      <c r="AY144" s="185" t="s">
        <v>2</v>
      </c>
      <c r="AZ144" s="185" t="s">
        <v>2</v>
      </c>
      <c r="BA144" s="185" t="s">
        <v>1093</v>
      </c>
      <c r="BB144" s="185" t="s">
        <v>1092</v>
      </c>
      <c r="BC144" s="185" t="s">
        <v>2</v>
      </c>
      <c r="BD144" s="185" t="s">
        <v>1093</v>
      </c>
      <c r="BE144" s="185" t="s">
        <v>1092</v>
      </c>
      <c r="BF144" s="185" t="s">
        <v>1092</v>
      </c>
      <c r="BG144" s="185" t="s">
        <v>1092</v>
      </c>
      <c r="BH144" s="185" t="s">
        <v>2</v>
      </c>
      <c r="BI144" s="185" t="s">
        <v>1092</v>
      </c>
      <c r="BJ144" s="185" t="s">
        <v>1092</v>
      </c>
      <c r="BK144" s="185" t="s">
        <v>1092</v>
      </c>
      <c r="BL144" s="185" t="s">
        <v>3</v>
      </c>
      <c r="BM144" s="185" t="s">
        <v>2</v>
      </c>
      <c r="BN144" s="185" t="s">
        <v>3</v>
      </c>
      <c r="BO144" s="185" t="s">
        <v>2</v>
      </c>
      <c r="BP144" s="185" t="s">
        <v>1092</v>
      </c>
      <c r="BQ144" s="185" t="s">
        <v>5</v>
      </c>
      <c r="BR144" s="185" t="s">
        <v>1092</v>
      </c>
      <c r="BS144" s="185" t="s">
        <v>5</v>
      </c>
      <c r="BT144" s="185" t="s">
        <v>2</v>
      </c>
      <c r="BU144" s="185" t="s">
        <v>3</v>
      </c>
      <c r="BV144" s="185" t="s">
        <v>2</v>
      </c>
      <c r="BW144" s="185" t="s">
        <v>1092</v>
      </c>
      <c r="BX144" s="185" t="s">
        <v>1092</v>
      </c>
      <c r="BY144" s="185" t="s">
        <v>1092</v>
      </c>
      <c r="BZ144" s="185" t="s">
        <v>5</v>
      </c>
      <c r="CA144" s="185" t="s">
        <v>1092</v>
      </c>
      <c r="CB144" s="185" t="s">
        <v>1092</v>
      </c>
      <c r="CC144" s="185" t="s">
        <v>1092</v>
      </c>
      <c r="CD144" s="185" t="s">
        <v>1092</v>
      </c>
      <c r="CE144" s="185" t="s">
        <v>1092</v>
      </c>
      <c r="CF144" s="185" t="s">
        <v>1092</v>
      </c>
      <c r="CG144" s="185" t="s">
        <v>5</v>
      </c>
      <c r="CH144" s="185" t="s">
        <v>1092</v>
      </c>
      <c r="CI144" s="185" t="s">
        <v>2</v>
      </c>
      <c r="CJ144" s="185" t="s">
        <v>2</v>
      </c>
      <c r="CK144" s="185" t="s">
        <v>3</v>
      </c>
      <c r="CL144" s="185" t="s">
        <v>2</v>
      </c>
      <c r="CM144" s="185" t="s">
        <v>1092</v>
      </c>
      <c r="CN144" s="185" t="s">
        <v>2</v>
      </c>
      <c r="CO144" s="185" t="s">
        <v>1092</v>
      </c>
      <c r="CP144" s="185" t="s">
        <v>5</v>
      </c>
      <c r="CQ144" s="185" t="s">
        <v>1092</v>
      </c>
      <c r="CR144" s="185" t="s">
        <v>1092</v>
      </c>
      <c r="CS144" s="185" t="s">
        <v>1092</v>
      </c>
      <c r="CT144" s="185" t="s">
        <v>2</v>
      </c>
      <c r="CU144" s="185" t="s">
        <v>2</v>
      </c>
      <c r="CV144" s="185" t="s">
        <v>2</v>
      </c>
      <c r="CW144" s="185" t="s">
        <v>2</v>
      </c>
      <c r="CX144" s="186"/>
      <c r="CY144" s="185">
        <v>20171772020</v>
      </c>
    </row>
    <row r="145" spans="1:103" ht="12.75" x14ac:dyDescent="0.2">
      <c r="A145" s="184">
        <v>42890.752370243055</v>
      </c>
      <c r="B145" s="185" t="s">
        <v>2398</v>
      </c>
      <c r="C145" s="185" t="s">
        <v>2237</v>
      </c>
      <c r="D145" s="185">
        <v>1</v>
      </c>
      <c r="E145" s="185" t="s">
        <v>3</v>
      </c>
      <c r="F145" s="185" t="s">
        <v>3</v>
      </c>
      <c r="G145" s="185" t="s">
        <v>3</v>
      </c>
      <c r="H145" s="185" t="s">
        <v>3</v>
      </c>
      <c r="I145" s="185" t="s">
        <v>5</v>
      </c>
      <c r="J145" s="185" t="s">
        <v>5</v>
      </c>
      <c r="K145" s="185" t="s">
        <v>3</v>
      </c>
      <c r="L145" s="185" t="s">
        <v>2</v>
      </c>
      <c r="M145" s="185" t="s">
        <v>5</v>
      </c>
      <c r="N145" s="185" t="s">
        <v>5</v>
      </c>
      <c r="O145" s="185" t="s">
        <v>5</v>
      </c>
      <c r="P145" s="185" t="s">
        <v>5</v>
      </c>
      <c r="Q145" s="185" t="s">
        <v>3</v>
      </c>
      <c r="R145" s="185" t="s">
        <v>1</v>
      </c>
      <c r="S145" s="185" t="s">
        <v>3</v>
      </c>
      <c r="T145" s="185" t="s">
        <v>3</v>
      </c>
      <c r="U145" s="185" t="s">
        <v>5</v>
      </c>
      <c r="V145" s="185" t="s">
        <v>2</v>
      </c>
      <c r="W145" s="185" t="s">
        <v>5</v>
      </c>
      <c r="X145" s="185" t="s">
        <v>3</v>
      </c>
      <c r="Y145" s="185" t="s">
        <v>3</v>
      </c>
      <c r="Z145" s="185" t="s">
        <v>2</v>
      </c>
      <c r="AA145" s="185" t="s">
        <v>2</v>
      </c>
      <c r="AB145" s="185" t="s">
        <v>3</v>
      </c>
      <c r="AC145" s="185" t="s">
        <v>5</v>
      </c>
      <c r="AD145" s="185" t="s">
        <v>3</v>
      </c>
      <c r="AE145" s="185" t="s">
        <v>5</v>
      </c>
      <c r="AF145" s="185" t="s">
        <v>5</v>
      </c>
      <c r="AG145" s="185" t="s">
        <v>5</v>
      </c>
      <c r="AH145" s="185" t="s">
        <v>3</v>
      </c>
      <c r="AI145" s="185" t="s">
        <v>3</v>
      </c>
      <c r="AJ145" s="185" t="s">
        <v>5</v>
      </c>
      <c r="AK145" s="185" t="s">
        <v>2</v>
      </c>
      <c r="AL145" s="185" t="s">
        <v>2</v>
      </c>
      <c r="AM145" s="185" t="s">
        <v>2</v>
      </c>
      <c r="AN145" s="185" t="s">
        <v>3</v>
      </c>
      <c r="AO145" s="185" t="s">
        <v>2</v>
      </c>
      <c r="AP145" s="185" t="s">
        <v>3</v>
      </c>
      <c r="AQ145" s="185" t="s">
        <v>2</v>
      </c>
      <c r="AR145" s="185" t="s">
        <v>3</v>
      </c>
      <c r="AS145" s="185" t="s">
        <v>3</v>
      </c>
      <c r="AT145" s="185" t="s">
        <v>3</v>
      </c>
      <c r="AU145" s="185" t="s">
        <v>5</v>
      </c>
      <c r="AV145" s="185" t="s">
        <v>5</v>
      </c>
      <c r="AW145" s="185" t="s">
        <v>3</v>
      </c>
      <c r="AX145" s="185" t="s">
        <v>3</v>
      </c>
      <c r="AY145" s="185" t="s">
        <v>3</v>
      </c>
      <c r="AZ145" s="185" t="s">
        <v>3</v>
      </c>
      <c r="BA145" s="185" t="s">
        <v>2</v>
      </c>
      <c r="BB145" s="185" t="s">
        <v>5</v>
      </c>
      <c r="BC145" s="185" t="s">
        <v>5</v>
      </c>
      <c r="BD145" s="185" t="s">
        <v>1093</v>
      </c>
      <c r="BE145" s="185" t="s">
        <v>2</v>
      </c>
      <c r="BF145" s="185" t="s">
        <v>3</v>
      </c>
      <c r="BG145" s="185" t="s">
        <v>3</v>
      </c>
      <c r="BH145" s="185" t="s">
        <v>3</v>
      </c>
      <c r="BI145" s="185" t="s">
        <v>2</v>
      </c>
      <c r="BJ145" s="185" t="s">
        <v>2</v>
      </c>
      <c r="BK145" s="185" t="s">
        <v>2</v>
      </c>
      <c r="BL145" s="185" t="s">
        <v>3</v>
      </c>
      <c r="BM145" s="185" t="s">
        <v>2</v>
      </c>
      <c r="BN145" s="185" t="s">
        <v>2</v>
      </c>
      <c r="BO145" s="185" t="s">
        <v>2</v>
      </c>
      <c r="BP145" s="185" t="s">
        <v>2</v>
      </c>
      <c r="BQ145" s="185" t="s">
        <v>2</v>
      </c>
      <c r="BR145" s="185" t="s">
        <v>3</v>
      </c>
      <c r="BS145" s="185" t="s">
        <v>5</v>
      </c>
      <c r="BT145" s="185" t="s">
        <v>2</v>
      </c>
      <c r="BU145" s="185" t="s">
        <v>3</v>
      </c>
      <c r="BV145" s="185" t="s">
        <v>3</v>
      </c>
      <c r="BW145" s="185" t="s">
        <v>5</v>
      </c>
      <c r="BX145" s="185" t="s">
        <v>5</v>
      </c>
      <c r="BY145" s="185" t="s">
        <v>3</v>
      </c>
      <c r="BZ145" s="185" t="s">
        <v>2</v>
      </c>
      <c r="CA145" s="185" t="s">
        <v>2</v>
      </c>
      <c r="CB145" s="185" t="s">
        <v>1</v>
      </c>
      <c r="CC145" s="185" t="s">
        <v>2</v>
      </c>
      <c r="CD145" s="185" t="s">
        <v>1</v>
      </c>
      <c r="CE145" s="185" t="s">
        <v>5</v>
      </c>
      <c r="CF145" s="185" t="s">
        <v>5</v>
      </c>
      <c r="CG145" s="185" t="s">
        <v>5</v>
      </c>
      <c r="CH145" s="185" t="s">
        <v>5</v>
      </c>
      <c r="CI145" s="185" t="s">
        <v>5</v>
      </c>
      <c r="CJ145" s="185" t="s">
        <v>5</v>
      </c>
      <c r="CK145" s="185" t="s">
        <v>5</v>
      </c>
      <c r="CL145" s="185" t="s">
        <v>2</v>
      </c>
      <c r="CM145" s="185" t="s">
        <v>5</v>
      </c>
      <c r="CN145" s="185" t="s">
        <v>1093</v>
      </c>
      <c r="CO145" s="185" t="s">
        <v>5</v>
      </c>
      <c r="CP145" s="185" t="s">
        <v>5</v>
      </c>
      <c r="CQ145" s="185" t="s">
        <v>5</v>
      </c>
      <c r="CR145" s="185" t="s">
        <v>5</v>
      </c>
      <c r="CS145" s="185" t="s">
        <v>5</v>
      </c>
      <c r="CT145" s="185" t="s">
        <v>5</v>
      </c>
      <c r="CU145" s="185" t="s">
        <v>5</v>
      </c>
      <c r="CV145" s="185" t="s">
        <v>5</v>
      </c>
      <c r="CW145" s="185" t="s">
        <v>5</v>
      </c>
      <c r="CX145" s="186"/>
      <c r="CY145" s="185">
        <v>20162572503</v>
      </c>
    </row>
    <row r="146" spans="1:103" ht="12.75" x14ac:dyDescent="0.2">
      <c r="A146" s="184">
        <v>42890.846968171296</v>
      </c>
      <c r="B146" s="185" t="s">
        <v>2399</v>
      </c>
      <c r="C146" s="185" t="s">
        <v>2237</v>
      </c>
      <c r="D146" s="185">
        <v>1</v>
      </c>
      <c r="E146" s="185" t="s">
        <v>3</v>
      </c>
      <c r="F146" s="185" t="s">
        <v>3</v>
      </c>
      <c r="G146" s="185" t="s">
        <v>1092</v>
      </c>
      <c r="H146" s="185" t="s">
        <v>3</v>
      </c>
      <c r="I146" s="185" t="s">
        <v>1093</v>
      </c>
      <c r="J146" s="185" t="s">
        <v>1093</v>
      </c>
      <c r="K146" s="185" t="s">
        <v>1093</v>
      </c>
      <c r="L146" s="185" t="s">
        <v>3</v>
      </c>
      <c r="M146" s="185" t="s">
        <v>1</v>
      </c>
      <c r="N146" s="185" t="s">
        <v>3</v>
      </c>
      <c r="O146" s="185" t="s">
        <v>1093</v>
      </c>
      <c r="P146" s="185" t="s">
        <v>1093</v>
      </c>
      <c r="Q146" s="185" t="s">
        <v>1092</v>
      </c>
      <c r="R146" s="185" t="s">
        <v>3</v>
      </c>
      <c r="S146" s="185" t="s">
        <v>2</v>
      </c>
      <c r="T146" s="185" t="s">
        <v>2</v>
      </c>
      <c r="U146" s="185" t="s">
        <v>3</v>
      </c>
      <c r="V146" s="185" t="s">
        <v>3</v>
      </c>
      <c r="W146" s="185" t="s">
        <v>3</v>
      </c>
      <c r="X146" s="185" t="s">
        <v>1092</v>
      </c>
      <c r="Y146" s="185" t="s">
        <v>3</v>
      </c>
      <c r="Z146" s="185" t="s">
        <v>1092</v>
      </c>
      <c r="AA146" s="185" t="s">
        <v>3</v>
      </c>
      <c r="AB146" s="185" t="s">
        <v>2</v>
      </c>
      <c r="AC146" s="185" t="s">
        <v>1093</v>
      </c>
      <c r="AD146" s="185" t="s">
        <v>2</v>
      </c>
      <c r="AE146" s="185" t="s">
        <v>3</v>
      </c>
      <c r="AF146" s="185" t="s">
        <v>3</v>
      </c>
      <c r="AG146" s="185" t="s">
        <v>5</v>
      </c>
      <c r="AH146" s="185" t="s">
        <v>5</v>
      </c>
      <c r="AI146" s="185" t="s">
        <v>2</v>
      </c>
      <c r="AJ146" s="185" t="s">
        <v>1092</v>
      </c>
      <c r="AK146" s="185" t="s">
        <v>3</v>
      </c>
      <c r="AL146" s="185" t="s">
        <v>3</v>
      </c>
      <c r="AM146" s="185" t="s">
        <v>3</v>
      </c>
      <c r="AN146" s="185" t="s">
        <v>3</v>
      </c>
      <c r="AO146" s="185" t="s">
        <v>2</v>
      </c>
      <c r="AP146" s="185" t="s">
        <v>1093</v>
      </c>
      <c r="AQ146" s="185" t="s">
        <v>3</v>
      </c>
      <c r="AR146" s="185" t="s">
        <v>1092</v>
      </c>
      <c r="AS146" s="185" t="s">
        <v>3</v>
      </c>
      <c r="AT146" s="185" t="s">
        <v>3</v>
      </c>
      <c r="AU146" s="185" t="s">
        <v>3</v>
      </c>
      <c r="AV146" s="185" t="s">
        <v>3</v>
      </c>
      <c r="AW146" s="185" t="s">
        <v>3</v>
      </c>
      <c r="AX146" s="185" t="s">
        <v>3</v>
      </c>
      <c r="AY146" s="185" t="s">
        <v>3</v>
      </c>
      <c r="AZ146" s="185" t="s">
        <v>1</v>
      </c>
      <c r="BA146" s="185" t="s">
        <v>1093</v>
      </c>
      <c r="BB146" s="185" t="s">
        <v>1</v>
      </c>
      <c r="BC146" s="185" t="s">
        <v>1</v>
      </c>
      <c r="BD146" s="185" t="s">
        <v>1</v>
      </c>
      <c r="BE146" s="185" t="s">
        <v>3</v>
      </c>
      <c r="BF146" s="185" t="s">
        <v>1092</v>
      </c>
      <c r="BG146" s="185" t="s">
        <v>3</v>
      </c>
      <c r="BH146" s="185" t="s">
        <v>2</v>
      </c>
      <c r="BI146" s="185" t="s">
        <v>3</v>
      </c>
      <c r="BJ146" s="185" t="s">
        <v>1092</v>
      </c>
      <c r="BK146" s="185" t="s">
        <v>3</v>
      </c>
      <c r="BL146" s="185" t="s">
        <v>3</v>
      </c>
      <c r="BM146" s="185" t="s">
        <v>3</v>
      </c>
      <c r="BN146" s="185" t="s">
        <v>3</v>
      </c>
      <c r="BO146" s="185" t="s">
        <v>3</v>
      </c>
      <c r="BP146" s="185" t="s">
        <v>3</v>
      </c>
      <c r="BQ146" s="185" t="s">
        <v>1</v>
      </c>
      <c r="BR146" s="185" t="s">
        <v>1</v>
      </c>
      <c r="BS146" s="185" t="s">
        <v>2</v>
      </c>
      <c r="BT146" s="185" t="s">
        <v>1</v>
      </c>
      <c r="BU146" s="185" t="s">
        <v>1093</v>
      </c>
      <c r="BV146" s="185" t="s">
        <v>1</v>
      </c>
      <c r="BW146" s="185" t="s">
        <v>3</v>
      </c>
      <c r="BX146" s="185" t="s">
        <v>1092</v>
      </c>
      <c r="BY146" s="185" t="s">
        <v>3</v>
      </c>
      <c r="BZ146" s="185" t="s">
        <v>1093</v>
      </c>
      <c r="CA146" s="185" t="s">
        <v>3</v>
      </c>
      <c r="CB146" s="185" t="s">
        <v>3</v>
      </c>
      <c r="CC146" s="185" t="s">
        <v>2</v>
      </c>
      <c r="CD146" s="185" t="s">
        <v>3</v>
      </c>
      <c r="CE146" s="185" t="s">
        <v>3</v>
      </c>
      <c r="CF146" s="185" t="s">
        <v>2</v>
      </c>
      <c r="CG146" s="185" t="s">
        <v>3</v>
      </c>
      <c r="CH146" s="185" t="s">
        <v>5</v>
      </c>
      <c r="CI146" s="185" t="s">
        <v>3</v>
      </c>
      <c r="CJ146" s="185" t="s">
        <v>3</v>
      </c>
      <c r="CK146" s="185" t="s">
        <v>3</v>
      </c>
      <c r="CL146" s="185" t="s">
        <v>1</v>
      </c>
      <c r="CM146" s="185" t="s">
        <v>1</v>
      </c>
      <c r="CN146" s="185" t="s">
        <v>1</v>
      </c>
      <c r="CO146" s="185" t="s">
        <v>3</v>
      </c>
      <c r="CP146" s="185" t="s">
        <v>2</v>
      </c>
      <c r="CQ146" s="185" t="s">
        <v>2</v>
      </c>
      <c r="CR146" s="185" t="s">
        <v>2</v>
      </c>
      <c r="CS146" s="185" t="s">
        <v>3</v>
      </c>
      <c r="CT146" s="185" t="s">
        <v>2</v>
      </c>
      <c r="CU146" s="185" t="s">
        <v>3</v>
      </c>
      <c r="CV146" s="185" t="s">
        <v>3</v>
      </c>
      <c r="CW146" s="185" t="s">
        <v>3</v>
      </c>
      <c r="CX146" s="186"/>
      <c r="CY146" s="185">
        <v>20171772022</v>
      </c>
    </row>
    <row r="147" spans="1:103" ht="12.75" x14ac:dyDescent="0.2">
      <c r="A147" s="184">
        <v>42891.329254456017</v>
      </c>
      <c r="B147" s="185" t="s">
        <v>2400</v>
      </c>
      <c r="C147" s="185" t="s">
        <v>2237</v>
      </c>
      <c r="D147" s="185">
        <v>1</v>
      </c>
      <c r="E147" s="185" t="s">
        <v>3</v>
      </c>
      <c r="F147" s="185" t="s">
        <v>1092</v>
      </c>
      <c r="G147" s="185" t="s">
        <v>1092</v>
      </c>
      <c r="H147" s="185" t="s">
        <v>3</v>
      </c>
      <c r="I147" s="185" t="s">
        <v>5</v>
      </c>
      <c r="J147" s="185" t="s">
        <v>2</v>
      </c>
      <c r="K147" s="185" t="s">
        <v>3</v>
      </c>
      <c r="L147" s="185" t="s">
        <v>1092</v>
      </c>
      <c r="M147" s="185" t="s">
        <v>3</v>
      </c>
      <c r="N147" s="185" t="s">
        <v>1092</v>
      </c>
      <c r="O147" s="185" t="s">
        <v>1</v>
      </c>
      <c r="P147" s="185" t="s">
        <v>1</v>
      </c>
      <c r="Q147" s="185" t="s">
        <v>2</v>
      </c>
      <c r="R147" s="185" t="s">
        <v>1092</v>
      </c>
      <c r="S147" s="185" t="s">
        <v>2</v>
      </c>
      <c r="T147" s="185" t="s">
        <v>5</v>
      </c>
      <c r="U147" s="185" t="s">
        <v>5</v>
      </c>
      <c r="V147" s="185" t="s">
        <v>3</v>
      </c>
      <c r="W147" s="185" t="s">
        <v>3</v>
      </c>
      <c r="X147" s="185" t="s">
        <v>3</v>
      </c>
      <c r="Y147" s="185" t="s">
        <v>1092</v>
      </c>
      <c r="Z147" s="185" t="s">
        <v>1092</v>
      </c>
      <c r="AA147" s="185" t="s">
        <v>1092</v>
      </c>
      <c r="AB147" s="185" t="s">
        <v>3</v>
      </c>
      <c r="AC147" s="185" t="s">
        <v>3</v>
      </c>
      <c r="AD147" s="185" t="s">
        <v>2</v>
      </c>
      <c r="AE147" s="185" t="s">
        <v>5</v>
      </c>
      <c r="AF147" s="185" t="s">
        <v>5</v>
      </c>
      <c r="AG147" s="185" t="s">
        <v>5</v>
      </c>
      <c r="AH147" s="185" t="s">
        <v>1</v>
      </c>
      <c r="AI147" s="185" t="s">
        <v>3</v>
      </c>
      <c r="AJ147" s="185" t="s">
        <v>2</v>
      </c>
      <c r="AK147" s="185" t="s">
        <v>2</v>
      </c>
      <c r="AL147" s="185" t="s">
        <v>2</v>
      </c>
      <c r="AM147" s="185" t="s">
        <v>3</v>
      </c>
      <c r="AN147" s="185" t="s">
        <v>2</v>
      </c>
      <c r="AO147" s="185" t="s">
        <v>2</v>
      </c>
      <c r="AP147" s="185" t="s">
        <v>1</v>
      </c>
      <c r="AQ147" s="185" t="s">
        <v>2</v>
      </c>
      <c r="AR147" s="185" t="s">
        <v>3</v>
      </c>
      <c r="AS147" s="185" t="s">
        <v>1092</v>
      </c>
      <c r="AT147" s="185" t="s">
        <v>1092</v>
      </c>
      <c r="AU147" s="185" t="s">
        <v>1</v>
      </c>
      <c r="AV147" s="185" t="s">
        <v>3</v>
      </c>
      <c r="AW147" s="185" t="s">
        <v>3</v>
      </c>
      <c r="AX147" s="185" t="s">
        <v>2</v>
      </c>
      <c r="AY147" s="185" t="s">
        <v>2</v>
      </c>
      <c r="AZ147" s="185" t="s">
        <v>1</v>
      </c>
      <c r="BA147" s="185" t="s">
        <v>1</v>
      </c>
      <c r="BB147" s="185" t="s">
        <v>5</v>
      </c>
      <c r="BC147" s="185" t="s">
        <v>5</v>
      </c>
      <c r="BD147" s="185" t="s">
        <v>2</v>
      </c>
      <c r="BE147" s="185" t="s">
        <v>2</v>
      </c>
      <c r="BF147" s="185" t="s">
        <v>3</v>
      </c>
      <c r="BG147" s="185" t="s">
        <v>3</v>
      </c>
      <c r="BH147" s="185" t="s">
        <v>3</v>
      </c>
      <c r="BI147" s="185" t="s">
        <v>2</v>
      </c>
      <c r="BJ147" s="185" t="s">
        <v>2</v>
      </c>
      <c r="BK147" s="185" t="s">
        <v>2</v>
      </c>
      <c r="BL147" s="185" t="s">
        <v>2</v>
      </c>
      <c r="BM147" s="185" t="s">
        <v>1</v>
      </c>
      <c r="BN147" s="185" t="s">
        <v>2</v>
      </c>
      <c r="BO147" s="185" t="s">
        <v>5</v>
      </c>
      <c r="BP147" s="185" t="s">
        <v>3</v>
      </c>
      <c r="BQ147" s="185" t="s">
        <v>3</v>
      </c>
      <c r="BR147" s="185" t="s">
        <v>3</v>
      </c>
      <c r="BS147" s="185" t="s">
        <v>5</v>
      </c>
      <c r="BT147" s="185" t="s">
        <v>2</v>
      </c>
      <c r="BU147" s="185" t="s">
        <v>2</v>
      </c>
      <c r="BV147" s="185" t="s">
        <v>2</v>
      </c>
      <c r="BW147" s="185" t="s">
        <v>3</v>
      </c>
      <c r="BX147" s="185" t="s">
        <v>5</v>
      </c>
      <c r="BY147" s="185" t="s">
        <v>2</v>
      </c>
      <c r="BZ147" s="185" t="s">
        <v>5</v>
      </c>
      <c r="CA147" s="185" t="s">
        <v>2</v>
      </c>
      <c r="CB147" s="185" t="s">
        <v>2</v>
      </c>
      <c r="CC147" s="185" t="s">
        <v>3</v>
      </c>
      <c r="CD147" s="185" t="s">
        <v>2</v>
      </c>
      <c r="CE147" s="185" t="s">
        <v>2</v>
      </c>
      <c r="CF147" s="185" t="s">
        <v>1093</v>
      </c>
      <c r="CG147" s="185" t="s">
        <v>1</v>
      </c>
      <c r="CH147" s="185" t="s">
        <v>2</v>
      </c>
      <c r="CI147" s="185" t="s">
        <v>3</v>
      </c>
      <c r="CJ147" s="185" t="s">
        <v>3</v>
      </c>
      <c r="CK147" s="185" t="s">
        <v>3</v>
      </c>
      <c r="CL147" s="185" t="s">
        <v>3</v>
      </c>
      <c r="CM147" s="185" t="s">
        <v>2</v>
      </c>
      <c r="CN147" s="185" t="s">
        <v>5</v>
      </c>
      <c r="CO147" s="185" t="s">
        <v>5</v>
      </c>
      <c r="CP147" s="185" t="s">
        <v>3</v>
      </c>
      <c r="CQ147" s="185" t="s">
        <v>3</v>
      </c>
      <c r="CR147" s="185" t="s">
        <v>3</v>
      </c>
      <c r="CS147" s="185" t="s">
        <v>3</v>
      </c>
      <c r="CT147" s="185" t="s">
        <v>3</v>
      </c>
      <c r="CU147" s="185" t="s">
        <v>3</v>
      </c>
      <c r="CV147" s="185" t="s">
        <v>3</v>
      </c>
      <c r="CW147" s="185" t="s">
        <v>3</v>
      </c>
      <c r="CX147" s="186"/>
      <c r="CY147" s="185">
        <v>20171572063</v>
      </c>
    </row>
    <row r="148" spans="1:103" ht="12.75" x14ac:dyDescent="0.2">
      <c r="A148" s="184">
        <v>42891.66089767361</v>
      </c>
      <c r="B148" s="185" t="s">
        <v>2401</v>
      </c>
      <c r="C148" s="185" t="s">
        <v>2271</v>
      </c>
      <c r="D148" s="185">
        <v>2</v>
      </c>
      <c r="E148" s="185" t="s">
        <v>3</v>
      </c>
      <c r="F148" s="185" t="s">
        <v>1092</v>
      </c>
      <c r="G148" s="185" t="s">
        <v>3</v>
      </c>
      <c r="H148" s="185" t="s">
        <v>3</v>
      </c>
      <c r="I148" s="185" t="s">
        <v>2</v>
      </c>
      <c r="J148" s="185" t="s">
        <v>1093</v>
      </c>
      <c r="K148" s="185" t="s">
        <v>3</v>
      </c>
      <c r="L148" s="185" t="s">
        <v>3</v>
      </c>
      <c r="M148" s="185" t="s">
        <v>2</v>
      </c>
      <c r="N148" s="185" t="s">
        <v>1</v>
      </c>
      <c r="O148" s="185" t="s">
        <v>3</v>
      </c>
      <c r="P148" s="185" t="s">
        <v>1093</v>
      </c>
      <c r="Q148" s="185" t="s">
        <v>2</v>
      </c>
      <c r="R148" s="185" t="s">
        <v>1</v>
      </c>
      <c r="S148" s="185" t="s">
        <v>2</v>
      </c>
      <c r="T148" s="185" t="s">
        <v>2</v>
      </c>
      <c r="U148" s="185" t="s">
        <v>2</v>
      </c>
      <c r="V148" s="185" t="s">
        <v>3</v>
      </c>
      <c r="W148" s="185" t="s">
        <v>3</v>
      </c>
      <c r="X148" s="185" t="s">
        <v>3</v>
      </c>
      <c r="Y148" s="185" t="s">
        <v>3</v>
      </c>
      <c r="Z148" s="185" t="s">
        <v>3</v>
      </c>
      <c r="AA148" s="185" t="s">
        <v>3</v>
      </c>
      <c r="AB148" s="185" t="s">
        <v>1</v>
      </c>
      <c r="AC148" s="185" t="s">
        <v>2</v>
      </c>
      <c r="AD148" s="185" t="s">
        <v>3</v>
      </c>
      <c r="AE148" s="185" t="s">
        <v>5</v>
      </c>
      <c r="AF148" s="185" t="s">
        <v>3</v>
      </c>
      <c r="AG148" s="185" t="s">
        <v>5</v>
      </c>
      <c r="AH148" s="185" t="s">
        <v>3</v>
      </c>
      <c r="AI148" s="185" t="s">
        <v>2</v>
      </c>
      <c r="AJ148" s="185" t="s">
        <v>2</v>
      </c>
      <c r="AK148" s="185" t="s">
        <v>3</v>
      </c>
      <c r="AL148" s="185" t="s">
        <v>2</v>
      </c>
      <c r="AM148" s="185" t="s">
        <v>2</v>
      </c>
      <c r="AN148" s="185" t="s">
        <v>2</v>
      </c>
      <c r="AO148" s="185" t="s">
        <v>3</v>
      </c>
      <c r="AP148" s="185" t="s">
        <v>3</v>
      </c>
      <c r="AQ148" s="185" t="s">
        <v>3</v>
      </c>
      <c r="AR148" s="185" t="s">
        <v>3</v>
      </c>
      <c r="AS148" s="185" t="s">
        <v>3</v>
      </c>
      <c r="AT148" s="185" t="s">
        <v>3</v>
      </c>
      <c r="AU148" s="185" t="s">
        <v>2</v>
      </c>
      <c r="AV148" s="185" t="s">
        <v>2</v>
      </c>
      <c r="AW148" s="185" t="s">
        <v>3</v>
      </c>
      <c r="AX148" s="185" t="s">
        <v>3</v>
      </c>
      <c r="AY148" s="185" t="s">
        <v>3</v>
      </c>
      <c r="AZ148" s="185" t="s">
        <v>3</v>
      </c>
      <c r="BA148" s="185" t="s">
        <v>2</v>
      </c>
      <c r="BB148" s="185" t="s">
        <v>1</v>
      </c>
      <c r="BC148" s="185" t="s">
        <v>2</v>
      </c>
      <c r="BD148" s="185" t="s">
        <v>5</v>
      </c>
      <c r="BE148" s="185" t="s">
        <v>2</v>
      </c>
      <c r="BF148" s="185" t="s">
        <v>1</v>
      </c>
      <c r="BG148" s="185" t="s">
        <v>3</v>
      </c>
      <c r="BH148" s="185" t="s">
        <v>1</v>
      </c>
      <c r="BI148" s="185" t="s">
        <v>1</v>
      </c>
      <c r="BJ148" s="185" t="s">
        <v>3</v>
      </c>
      <c r="BK148" s="185" t="s">
        <v>3</v>
      </c>
      <c r="BL148" s="185" t="s">
        <v>3</v>
      </c>
      <c r="BM148" s="185" t="s">
        <v>1</v>
      </c>
      <c r="BN148" s="185" t="s">
        <v>3</v>
      </c>
      <c r="BO148" s="185" t="s">
        <v>2</v>
      </c>
      <c r="BP148" s="185" t="s">
        <v>3</v>
      </c>
      <c r="BQ148" s="185" t="s">
        <v>3</v>
      </c>
      <c r="BR148" s="185" t="s">
        <v>3</v>
      </c>
      <c r="BS148" s="185" t="s">
        <v>3</v>
      </c>
      <c r="BT148" s="185" t="s">
        <v>1</v>
      </c>
      <c r="BU148" s="185" t="s">
        <v>3</v>
      </c>
      <c r="BV148" s="185" t="s">
        <v>2</v>
      </c>
      <c r="BW148" s="185" t="s">
        <v>3</v>
      </c>
      <c r="BX148" s="185" t="s">
        <v>3</v>
      </c>
      <c r="BY148" s="185" t="s">
        <v>5</v>
      </c>
      <c r="BZ148" s="185" t="s">
        <v>1</v>
      </c>
      <c r="CA148" s="185" t="s">
        <v>1</v>
      </c>
      <c r="CB148" s="185" t="s">
        <v>1</v>
      </c>
      <c r="CC148" s="185" t="s">
        <v>2</v>
      </c>
      <c r="CD148" s="185" t="s">
        <v>2</v>
      </c>
      <c r="CE148" s="185" t="s">
        <v>2</v>
      </c>
      <c r="CF148" s="185" t="s">
        <v>2</v>
      </c>
      <c r="CG148" s="185" t="s">
        <v>1</v>
      </c>
      <c r="CH148" s="185" t="s">
        <v>1093</v>
      </c>
      <c r="CI148" s="185" t="s">
        <v>1093</v>
      </c>
      <c r="CJ148" s="185" t="s">
        <v>2</v>
      </c>
      <c r="CK148" s="185" t="s">
        <v>5</v>
      </c>
      <c r="CL148" s="185" t="s">
        <v>2</v>
      </c>
      <c r="CM148" s="185" t="s">
        <v>1</v>
      </c>
      <c r="CN148" s="185" t="s">
        <v>1</v>
      </c>
      <c r="CO148" s="185" t="s">
        <v>2</v>
      </c>
      <c r="CP148" s="185" t="s">
        <v>1</v>
      </c>
      <c r="CQ148" s="185" t="s">
        <v>2</v>
      </c>
      <c r="CR148" s="185" t="s">
        <v>1</v>
      </c>
      <c r="CS148" s="185" t="s">
        <v>1</v>
      </c>
      <c r="CT148" s="185" t="s">
        <v>1</v>
      </c>
      <c r="CU148" s="185" t="s">
        <v>2</v>
      </c>
      <c r="CV148" s="185" t="s">
        <v>1</v>
      </c>
      <c r="CW148" s="185" t="s">
        <v>2</v>
      </c>
      <c r="CX148" s="185" t="s">
        <v>2402</v>
      </c>
      <c r="CY148" s="185">
        <v>20162372050</v>
      </c>
    </row>
    <row r="149" spans="1:103" ht="12.75" x14ac:dyDescent="0.2">
      <c r="A149" s="184">
        <v>42891.664400081019</v>
      </c>
      <c r="B149" s="185" t="s">
        <v>2403</v>
      </c>
      <c r="C149" s="185" t="s">
        <v>2235</v>
      </c>
      <c r="D149" s="185">
        <v>2</v>
      </c>
      <c r="E149" s="185" t="s">
        <v>1093</v>
      </c>
      <c r="F149" s="185" t="s">
        <v>2</v>
      </c>
      <c r="G149" s="185" t="s">
        <v>2</v>
      </c>
      <c r="H149" s="185" t="s">
        <v>3</v>
      </c>
      <c r="I149" s="185" t="s">
        <v>1093</v>
      </c>
      <c r="J149" s="185" t="s">
        <v>2</v>
      </c>
      <c r="K149" s="185" t="s">
        <v>2</v>
      </c>
      <c r="L149" s="185" t="s">
        <v>1092</v>
      </c>
      <c r="M149" s="185" t="s">
        <v>5</v>
      </c>
      <c r="N149" s="185" t="s">
        <v>1092</v>
      </c>
      <c r="O149" s="185" t="s">
        <v>1093</v>
      </c>
      <c r="P149" s="185" t="s">
        <v>1093</v>
      </c>
      <c r="Q149" s="185" t="s">
        <v>1</v>
      </c>
      <c r="R149" s="185" t="s">
        <v>3</v>
      </c>
      <c r="S149" s="185" t="s">
        <v>1093</v>
      </c>
      <c r="T149" s="185" t="s">
        <v>5</v>
      </c>
      <c r="U149" s="185" t="s">
        <v>5</v>
      </c>
      <c r="V149" s="185" t="s">
        <v>1092</v>
      </c>
      <c r="W149" s="185" t="s">
        <v>3</v>
      </c>
      <c r="X149" s="185" t="s">
        <v>2</v>
      </c>
      <c r="Y149" s="185" t="s">
        <v>3</v>
      </c>
      <c r="Z149" s="185" t="s">
        <v>2</v>
      </c>
      <c r="AA149" s="185" t="s">
        <v>3</v>
      </c>
      <c r="AB149" s="185" t="s">
        <v>3</v>
      </c>
      <c r="AC149" s="185" t="s">
        <v>2</v>
      </c>
      <c r="AD149" s="185" t="s">
        <v>3</v>
      </c>
      <c r="AE149" s="185" t="s">
        <v>5</v>
      </c>
      <c r="AF149" s="185" t="s">
        <v>1092</v>
      </c>
      <c r="AG149" s="185" t="s">
        <v>5</v>
      </c>
      <c r="AH149" s="185" t="s">
        <v>1092</v>
      </c>
      <c r="AI149" s="185" t="s">
        <v>1092</v>
      </c>
      <c r="AJ149" s="185" t="s">
        <v>3</v>
      </c>
      <c r="AK149" s="185" t="s">
        <v>2</v>
      </c>
      <c r="AL149" s="185" t="s">
        <v>3</v>
      </c>
      <c r="AM149" s="185" t="s">
        <v>2</v>
      </c>
      <c r="AN149" s="185" t="s">
        <v>3</v>
      </c>
      <c r="AO149" s="185" t="s">
        <v>2</v>
      </c>
      <c r="AP149" s="185" t="s">
        <v>5</v>
      </c>
      <c r="AQ149" s="185" t="s">
        <v>1</v>
      </c>
      <c r="AR149" s="185" t="s">
        <v>1092</v>
      </c>
      <c r="AS149" s="185" t="s">
        <v>3</v>
      </c>
      <c r="AT149" s="185" t="s">
        <v>5</v>
      </c>
      <c r="AU149" s="185" t="s">
        <v>1093</v>
      </c>
      <c r="AV149" s="185" t="s">
        <v>3</v>
      </c>
      <c r="AW149" s="185" t="s">
        <v>3</v>
      </c>
      <c r="AX149" s="185" t="s">
        <v>3</v>
      </c>
      <c r="AY149" s="185" t="s">
        <v>3</v>
      </c>
      <c r="AZ149" s="185" t="s">
        <v>5</v>
      </c>
      <c r="BA149" s="185" t="s">
        <v>5</v>
      </c>
      <c r="BB149" s="185" t="s">
        <v>5</v>
      </c>
      <c r="BC149" s="185" t="s">
        <v>3</v>
      </c>
      <c r="BD149" s="185" t="s">
        <v>1093</v>
      </c>
      <c r="BE149" s="185" t="s">
        <v>3</v>
      </c>
      <c r="BF149" s="185" t="s">
        <v>3</v>
      </c>
      <c r="BG149" s="185" t="s">
        <v>2</v>
      </c>
      <c r="BH149" s="185" t="s">
        <v>3</v>
      </c>
      <c r="BI149" s="185" t="s">
        <v>3</v>
      </c>
      <c r="BJ149" s="185" t="s">
        <v>3</v>
      </c>
      <c r="BK149" s="185" t="s">
        <v>3</v>
      </c>
      <c r="BL149" s="185" t="s">
        <v>3</v>
      </c>
      <c r="BM149" s="185" t="s">
        <v>2</v>
      </c>
      <c r="BN149" s="185" t="s">
        <v>3</v>
      </c>
      <c r="BO149" s="185" t="s">
        <v>3</v>
      </c>
      <c r="BP149" s="185" t="s">
        <v>3</v>
      </c>
      <c r="BQ149" s="185" t="s">
        <v>3</v>
      </c>
      <c r="BR149" s="185" t="s">
        <v>3</v>
      </c>
      <c r="BS149" s="185" t="s">
        <v>3</v>
      </c>
      <c r="BT149" s="185" t="s">
        <v>5</v>
      </c>
      <c r="BU149" s="185" t="s">
        <v>5</v>
      </c>
      <c r="BV149" s="185" t="s">
        <v>5</v>
      </c>
      <c r="BW149" s="185" t="s">
        <v>5</v>
      </c>
      <c r="BX149" s="185" t="s">
        <v>3</v>
      </c>
      <c r="BY149" s="185" t="s">
        <v>2</v>
      </c>
      <c r="BZ149" s="185" t="s">
        <v>1093</v>
      </c>
      <c r="CA149" s="185" t="s">
        <v>3</v>
      </c>
      <c r="CB149" s="185" t="s">
        <v>2</v>
      </c>
      <c r="CC149" s="185" t="s">
        <v>3</v>
      </c>
      <c r="CD149" s="185" t="s">
        <v>2</v>
      </c>
      <c r="CE149" s="185" t="s">
        <v>3</v>
      </c>
      <c r="CF149" s="185" t="s">
        <v>1093</v>
      </c>
      <c r="CG149" s="185" t="s">
        <v>1</v>
      </c>
      <c r="CH149" s="185" t="s">
        <v>3</v>
      </c>
      <c r="CI149" s="185" t="s">
        <v>3</v>
      </c>
      <c r="CJ149" s="185" t="s">
        <v>3</v>
      </c>
      <c r="CK149" s="185" t="s">
        <v>2</v>
      </c>
      <c r="CL149" s="185" t="s">
        <v>1093</v>
      </c>
      <c r="CM149" s="185" t="s">
        <v>5</v>
      </c>
      <c r="CN149" s="185" t="s">
        <v>5</v>
      </c>
      <c r="CO149" s="185" t="s">
        <v>3</v>
      </c>
      <c r="CP149" s="185" t="s">
        <v>3</v>
      </c>
      <c r="CQ149" s="185" t="s">
        <v>3</v>
      </c>
      <c r="CR149" s="185" t="s">
        <v>3</v>
      </c>
      <c r="CS149" s="185" t="s">
        <v>3</v>
      </c>
      <c r="CT149" s="185" t="s">
        <v>3</v>
      </c>
      <c r="CU149" s="185" t="s">
        <v>3</v>
      </c>
      <c r="CV149" s="185" t="s">
        <v>2</v>
      </c>
      <c r="CW149" s="185" t="s">
        <v>3</v>
      </c>
      <c r="CX149" s="185" t="s">
        <v>2404</v>
      </c>
      <c r="CY149" s="185">
        <v>200071072035</v>
      </c>
    </row>
    <row r="150" spans="1:103" ht="12.75" x14ac:dyDescent="0.2">
      <c r="A150" s="184">
        <v>42892.542658182865</v>
      </c>
      <c r="B150" s="185" t="s">
        <v>2405</v>
      </c>
      <c r="C150" s="185" t="s">
        <v>2237</v>
      </c>
      <c r="D150" s="185">
        <v>1</v>
      </c>
      <c r="E150" s="185" t="s">
        <v>3</v>
      </c>
      <c r="F150" s="185" t="s">
        <v>1092</v>
      </c>
      <c r="G150" s="185" t="s">
        <v>1092</v>
      </c>
      <c r="H150" s="185" t="s">
        <v>3</v>
      </c>
      <c r="I150" s="185" t="s">
        <v>5</v>
      </c>
      <c r="J150" s="185" t="s">
        <v>2</v>
      </c>
      <c r="K150" s="185" t="s">
        <v>3</v>
      </c>
      <c r="L150" s="185" t="s">
        <v>3</v>
      </c>
      <c r="M150" s="185" t="s">
        <v>3</v>
      </c>
      <c r="N150" s="185" t="s">
        <v>5</v>
      </c>
      <c r="O150" s="185" t="s">
        <v>1</v>
      </c>
      <c r="P150" s="185" t="s">
        <v>2</v>
      </c>
      <c r="Q150" s="185" t="s">
        <v>3</v>
      </c>
      <c r="R150" s="185" t="s">
        <v>3</v>
      </c>
      <c r="S150" s="185" t="s">
        <v>3</v>
      </c>
      <c r="T150" s="185" t="s">
        <v>3</v>
      </c>
      <c r="U150" s="185" t="s">
        <v>2</v>
      </c>
      <c r="V150" s="185" t="s">
        <v>1092</v>
      </c>
      <c r="W150" s="185" t="s">
        <v>3</v>
      </c>
      <c r="X150" s="185" t="s">
        <v>3</v>
      </c>
      <c r="Y150" s="185" t="s">
        <v>1092</v>
      </c>
      <c r="Z150" s="185" t="s">
        <v>1092</v>
      </c>
      <c r="AA150" s="185" t="s">
        <v>3</v>
      </c>
      <c r="AB150" s="185" t="s">
        <v>1092</v>
      </c>
      <c r="AC150" s="185" t="s">
        <v>2</v>
      </c>
      <c r="AD150" s="185" t="s">
        <v>3</v>
      </c>
      <c r="AE150" s="185" t="s">
        <v>3</v>
      </c>
      <c r="AF150" s="185" t="s">
        <v>5</v>
      </c>
      <c r="AG150" s="185" t="s">
        <v>3</v>
      </c>
      <c r="AH150" s="185" t="s">
        <v>2</v>
      </c>
      <c r="AI150" s="185" t="s">
        <v>2</v>
      </c>
      <c r="AJ150" s="185" t="s">
        <v>3</v>
      </c>
      <c r="AK150" s="185" t="s">
        <v>3</v>
      </c>
      <c r="AL150" s="185" t="s">
        <v>3</v>
      </c>
      <c r="AM150" s="185" t="s">
        <v>1092</v>
      </c>
      <c r="AN150" s="185" t="s">
        <v>1092</v>
      </c>
      <c r="AO150" s="185" t="s">
        <v>3</v>
      </c>
      <c r="AP150" s="185" t="s">
        <v>1092</v>
      </c>
      <c r="AQ150" s="185" t="s">
        <v>1092</v>
      </c>
      <c r="AR150" s="185" t="s">
        <v>3</v>
      </c>
      <c r="AS150" s="185" t="s">
        <v>1092</v>
      </c>
      <c r="AT150" s="185" t="s">
        <v>1092</v>
      </c>
      <c r="AU150" s="185" t="s">
        <v>3</v>
      </c>
      <c r="AV150" s="185" t="s">
        <v>3</v>
      </c>
      <c r="AW150" s="185" t="s">
        <v>5</v>
      </c>
      <c r="AX150" s="185" t="s">
        <v>3</v>
      </c>
      <c r="AY150" s="185" t="s">
        <v>3</v>
      </c>
      <c r="AZ150" s="185" t="s">
        <v>3</v>
      </c>
      <c r="BA150" s="185" t="s">
        <v>2</v>
      </c>
      <c r="BB150" s="185" t="s">
        <v>5</v>
      </c>
      <c r="BC150" s="185" t="s">
        <v>5</v>
      </c>
      <c r="BD150" s="185" t="s">
        <v>1093</v>
      </c>
      <c r="BE150" s="185" t="s">
        <v>1092</v>
      </c>
      <c r="BF150" s="185" t="s">
        <v>1</v>
      </c>
      <c r="BG150" s="185" t="s">
        <v>2</v>
      </c>
      <c r="BH150" s="185" t="s">
        <v>2</v>
      </c>
      <c r="BI150" s="185" t="s">
        <v>3</v>
      </c>
      <c r="BJ150" s="185" t="s">
        <v>3</v>
      </c>
      <c r="BK150" s="185" t="s">
        <v>3</v>
      </c>
      <c r="BL150" s="185" t="s">
        <v>3</v>
      </c>
      <c r="BM150" s="185" t="s">
        <v>1</v>
      </c>
      <c r="BN150" s="185" t="s">
        <v>2</v>
      </c>
      <c r="BO150" s="185" t="s">
        <v>3</v>
      </c>
      <c r="BP150" s="185" t="s">
        <v>3</v>
      </c>
      <c r="BQ150" s="185" t="s">
        <v>3</v>
      </c>
      <c r="BR150" s="185" t="s">
        <v>3</v>
      </c>
      <c r="BS150" s="185" t="s">
        <v>3</v>
      </c>
      <c r="BT150" s="185" t="s">
        <v>1</v>
      </c>
      <c r="BU150" s="185" t="s">
        <v>2</v>
      </c>
      <c r="BV150" s="185" t="s">
        <v>2</v>
      </c>
      <c r="BW150" s="185" t="s">
        <v>3</v>
      </c>
      <c r="BX150" s="185" t="s">
        <v>1092</v>
      </c>
      <c r="BY150" s="185" t="s">
        <v>3</v>
      </c>
      <c r="BZ150" s="185" t="s">
        <v>1093</v>
      </c>
      <c r="CA150" s="185" t="s">
        <v>3</v>
      </c>
      <c r="CB150" s="185" t="s">
        <v>2</v>
      </c>
      <c r="CC150" s="185" t="s">
        <v>3</v>
      </c>
      <c r="CD150" s="185" t="s">
        <v>3</v>
      </c>
      <c r="CE150" s="185" t="s">
        <v>3</v>
      </c>
      <c r="CF150" s="185" t="s">
        <v>1093</v>
      </c>
      <c r="CG150" s="185" t="s">
        <v>3</v>
      </c>
      <c r="CH150" s="185" t="s">
        <v>3</v>
      </c>
      <c r="CI150" s="185" t="s">
        <v>3</v>
      </c>
      <c r="CJ150" s="185" t="s">
        <v>1092</v>
      </c>
      <c r="CK150" s="185" t="s">
        <v>3</v>
      </c>
      <c r="CL150" s="185" t="s">
        <v>2</v>
      </c>
      <c r="CM150" s="185" t="s">
        <v>1</v>
      </c>
      <c r="CN150" s="185" t="s">
        <v>1</v>
      </c>
      <c r="CO150" s="185" t="s">
        <v>3</v>
      </c>
      <c r="CP150" s="185" t="s">
        <v>2</v>
      </c>
      <c r="CQ150" s="185" t="s">
        <v>3</v>
      </c>
      <c r="CR150" s="185" t="s">
        <v>2</v>
      </c>
      <c r="CS150" s="185" t="s">
        <v>1092</v>
      </c>
      <c r="CT150" s="185" t="s">
        <v>1092</v>
      </c>
      <c r="CU150" s="185" t="s">
        <v>3</v>
      </c>
      <c r="CV150" s="185" t="s">
        <v>1</v>
      </c>
      <c r="CW150" s="185" t="s">
        <v>3</v>
      </c>
      <c r="CX150" s="186"/>
      <c r="CY150" s="185">
        <v>20171572036</v>
      </c>
    </row>
    <row r="151" spans="1:103" ht="12.75" x14ac:dyDescent="0.2">
      <c r="A151" s="184">
        <v>42892.741588645833</v>
      </c>
      <c r="B151" s="185" t="s">
        <v>2406</v>
      </c>
      <c r="C151" s="185" t="s">
        <v>2235</v>
      </c>
      <c r="D151" s="185">
        <v>10</v>
      </c>
      <c r="E151" s="185" t="s">
        <v>1092</v>
      </c>
      <c r="F151" s="185" t="s">
        <v>1092</v>
      </c>
      <c r="G151" s="185" t="s">
        <v>2</v>
      </c>
      <c r="H151" s="185" t="s">
        <v>5</v>
      </c>
      <c r="I151" s="185" t="s">
        <v>5</v>
      </c>
      <c r="J151" s="185" t="s">
        <v>1092</v>
      </c>
      <c r="K151" s="185" t="s">
        <v>1092</v>
      </c>
      <c r="L151" s="185" t="s">
        <v>1092</v>
      </c>
      <c r="M151" s="185" t="s">
        <v>1</v>
      </c>
      <c r="N151" s="185" t="s">
        <v>1092</v>
      </c>
      <c r="O151" s="185" t="s">
        <v>2</v>
      </c>
      <c r="P151" s="185" t="s">
        <v>1093</v>
      </c>
      <c r="Q151" s="185" t="s">
        <v>1093</v>
      </c>
      <c r="R151" s="185" t="s">
        <v>3</v>
      </c>
      <c r="S151" s="185" t="s">
        <v>1092</v>
      </c>
      <c r="T151" s="185" t="s">
        <v>3</v>
      </c>
      <c r="U151" s="185" t="s">
        <v>1093</v>
      </c>
      <c r="V151" s="185" t="s">
        <v>2</v>
      </c>
      <c r="W151" s="185" t="s">
        <v>1092</v>
      </c>
      <c r="X151" s="185" t="s">
        <v>1092</v>
      </c>
      <c r="Y151" s="185" t="s">
        <v>1093</v>
      </c>
      <c r="Z151" s="185" t="s">
        <v>1</v>
      </c>
      <c r="AA151" s="185" t="s">
        <v>2</v>
      </c>
      <c r="AB151" s="185" t="s">
        <v>1093</v>
      </c>
      <c r="AC151" s="185" t="s">
        <v>1092</v>
      </c>
      <c r="AD151" s="185" t="s">
        <v>1093</v>
      </c>
      <c r="AE151" s="185" t="s">
        <v>1093</v>
      </c>
      <c r="AF151" s="185" t="s">
        <v>3</v>
      </c>
      <c r="AG151" s="185" t="s">
        <v>1093</v>
      </c>
      <c r="AH151" s="185" t="s">
        <v>1</v>
      </c>
      <c r="AI151" s="185" t="s">
        <v>1093</v>
      </c>
      <c r="AJ151" s="185" t="s">
        <v>1093</v>
      </c>
      <c r="AK151" s="185" t="s">
        <v>1093</v>
      </c>
      <c r="AL151" s="185" t="s">
        <v>1093</v>
      </c>
      <c r="AM151" s="185" t="s">
        <v>3</v>
      </c>
      <c r="AN151" s="185" t="s">
        <v>1092</v>
      </c>
      <c r="AO151" s="185" t="s">
        <v>2</v>
      </c>
      <c r="AP151" s="185" t="s">
        <v>1093</v>
      </c>
      <c r="AQ151" s="185" t="s">
        <v>1092</v>
      </c>
      <c r="AR151" s="185" t="s">
        <v>2</v>
      </c>
      <c r="AS151" s="185" t="s">
        <v>1092</v>
      </c>
      <c r="AT151" s="185" t="s">
        <v>1092</v>
      </c>
      <c r="AU151" s="185" t="s">
        <v>1093</v>
      </c>
      <c r="AV151" s="185" t="s">
        <v>3</v>
      </c>
      <c r="AW151" s="185" t="s">
        <v>3</v>
      </c>
      <c r="AX151" s="185" t="s">
        <v>3</v>
      </c>
      <c r="AY151" s="185" t="s">
        <v>3</v>
      </c>
      <c r="AZ151" s="185" t="s">
        <v>1092</v>
      </c>
      <c r="BA151" s="185" t="s">
        <v>3</v>
      </c>
      <c r="BB151" s="185" t="s">
        <v>1093</v>
      </c>
      <c r="BC151" s="185" t="s">
        <v>2</v>
      </c>
      <c r="BD151" s="185" t="s">
        <v>1093</v>
      </c>
      <c r="BE151" s="185" t="s">
        <v>1093</v>
      </c>
      <c r="BF151" s="185" t="s">
        <v>1</v>
      </c>
      <c r="BG151" s="185" t="s">
        <v>3</v>
      </c>
      <c r="BH151" s="185" t="s">
        <v>2</v>
      </c>
      <c r="BI151" s="185" t="s">
        <v>2</v>
      </c>
      <c r="BJ151" s="185" t="s">
        <v>2</v>
      </c>
      <c r="BK151" s="185" t="s">
        <v>3</v>
      </c>
      <c r="BL151" s="185" t="s">
        <v>1092</v>
      </c>
      <c r="BM151" s="185" t="s">
        <v>2</v>
      </c>
      <c r="BN151" s="185" t="s">
        <v>1092</v>
      </c>
      <c r="BO151" s="185" t="s">
        <v>3</v>
      </c>
      <c r="BP151" s="185" t="s">
        <v>1092</v>
      </c>
      <c r="BQ151" s="185" t="s">
        <v>2</v>
      </c>
      <c r="BR151" s="185" t="s">
        <v>1092</v>
      </c>
      <c r="BS151" s="185" t="s">
        <v>1092</v>
      </c>
      <c r="BT151" s="185" t="s">
        <v>3</v>
      </c>
      <c r="BU151" s="185" t="s">
        <v>1092</v>
      </c>
      <c r="BV151" s="185" t="s">
        <v>1092</v>
      </c>
      <c r="BW151" s="185" t="s">
        <v>1092</v>
      </c>
      <c r="BX151" s="185" t="s">
        <v>3</v>
      </c>
      <c r="BY151" s="185" t="s">
        <v>1</v>
      </c>
      <c r="BZ151" s="185" t="s">
        <v>1093</v>
      </c>
      <c r="CA151" s="185" t="s">
        <v>5</v>
      </c>
      <c r="CB151" s="185" t="s">
        <v>5</v>
      </c>
      <c r="CC151" s="185" t="s">
        <v>5</v>
      </c>
      <c r="CD151" s="185" t="s">
        <v>5</v>
      </c>
      <c r="CE151" s="185" t="s">
        <v>1092</v>
      </c>
      <c r="CF151" s="185" t="s">
        <v>1093</v>
      </c>
      <c r="CG151" s="185" t="s">
        <v>1093</v>
      </c>
      <c r="CH151" s="185" t="s">
        <v>2</v>
      </c>
      <c r="CI151" s="185" t="s">
        <v>2</v>
      </c>
      <c r="CJ151" s="185" t="s">
        <v>2</v>
      </c>
      <c r="CK151" s="185" t="s">
        <v>1093</v>
      </c>
      <c r="CL151" s="185" t="s">
        <v>1093</v>
      </c>
      <c r="CM151" s="185" t="s">
        <v>1093</v>
      </c>
      <c r="CN151" s="185" t="s">
        <v>1093</v>
      </c>
      <c r="CO151" s="185" t="s">
        <v>2</v>
      </c>
      <c r="CP151" s="185" t="s">
        <v>2</v>
      </c>
      <c r="CQ151" s="185" t="s">
        <v>2</v>
      </c>
      <c r="CR151" s="185" t="s">
        <v>2</v>
      </c>
      <c r="CS151" s="185" t="s">
        <v>3</v>
      </c>
      <c r="CT151" s="185" t="s">
        <v>3</v>
      </c>
      <c r="CU151" s="185" t="s">
        <v>2</v>
      </c>
      <c r="CV151" s="185" t="s">
        <v>2</v>
      </c>
      <c r="CW151" s="185" t="s">
        <v>2</v>
      </c>
      <c r="CX151" s="186"/>
      <c r="CY151" s="185">
        <v>20121072079</v>
      </c>
    </row>
    <row r="152" spans="1:103" ht="12.75" x14ac:dyDescent="0.2">
      <c r="A152" s="184">
        <v>42892.773673518517</v>
      </c>
      <c r="B152" s="185" t="s">
        <v>2407</v>
      </c>
      <c r="C152" s="185" t="s">
        <v>2235</v>
      </c>
      <c r="D152" s="185">
        <v>6</v>
      </c>
      <c r="E152" s="185" t="s">
        <v>3</v>
      </c>
      <c r="F152" s="185" t="s">
        <v>1092</v>
      </c>
      <c r="G152" s="185" t="s">
        <v>1092</v>
      </c>
      <c r="H152" s="185" t="s">
        <v>3</v>
      </c>
      <c r="I152" s="185" t="s">
        <v>1</v>
      </c>
      <c r="J152" s="185" t="s">
        <v>3</v>
      </c>
      <c r="K152" s="185" t="s">
        <v>3</v>
      </c>
      <c r="L152" s="185" t="s">
        <v>2</v>
      </c>
      <c r="M152" s="185" t="s">
        <v>3</v>
      </c>
      <c r="N152" s="185" t="s">
        <v>3</v>
      </c>
      <c r="O152" s="185" t="s">
        <v>2</v>
      </c>
      <c r="P152" s="185" t="s">
        <v>2</v>
      </c>
      <c r="Q152" s="185" t="s">
        <v>3</v>
      </c>
      <c r="R152" s="185" t="s">
        <v>1</v>
      </c>
      <c r="S152" s="185" t="s">
        <v>2</v>
      </c>
      <c r="T152" s="185" t="s">
        <v>3</v>
      </c>
      <c r="U152" s="185" t="s">
        <v>2</v>
      </c>
      <c r="V152" s="185" t="s">
        <v>3</v>
      </c>
      <c r="W152" s="185" t="s">
        <v>3</v>
      </c>
      <c r="X152" s="185" t="s">
        <v>3</v>
      </c>
      <c r="Y152" s="185" t="s">
        <v>3</v>
      </c>
      <c r="Z152" s="185" t="s">
        <v>3</v>
      </c>
      <c r="AA152" s="185" t="s">
        <v>3</v>
      </c>
      <c r="AB152" s="185" t="s">
        <v>2</v>
      </c>
      <c r="AC152" s="185" t="s">
        <v>3</v>
      </c>
      <c r="AD152" s="185" t="s">
        <v>3</v>
      </c>
      <c r="AE152" s="185" t="s">
        <v>3</v>
      </c>
      <c r="AF152" s="185" t="s">
        <v>3</v>
      </c>
      <c r="AG152" s="185" t="s">
        <v>2</v>
      </c>
      <c r="AH152" s="185" t="s">
        <v>3</v>
      </c>
      <c r="AI152" s="185" t="s">
        <v>3</v>
      </c>
      <c r="AJ152" s="185" t="s">
        <v>3</v>
      </c>
      <c r="AK152" s="185" t="s">
        <v>3</v>
      </c>
      <c r="AL152" s="185" t="s">
        <v>3</v>
      </c>
      <c r="AM152" s="185" t="s">
        <v>2</v>
      </c>
      <c r="AN152" s="185" t="s">
        <v>2</v>
      </c>
      <c r="AO152" s="185" t="s">
        <v>3</v>
      </c>
      <c r="AP152" s="185" t="s">
        <v>3</v>
      </c>
      <c r="AQ152" s="185" t="s">
        <v>3</v>
      </c>
      <c r="AR152" s="185" t="s">
        <v>3</v>
      </c>
      <c r="AS152" s="185" t="s">
        <v>3</v>
      </c>
      <c r="AT152" s="185" t="s">
        <v>1092</v>
      </c>
      <c r="AU152" s="185" t="s">
        <v>1</v>
      </c>
      <c r="AV152" s="185" t="s">
        <v>2</v>
      </c>
      <c r="AW152" s="185" t="s">
        <v>3</v>
      </c>
      <c r="AX152" s="185" t="s">
        <v>1092</v>
      </c>
      <c r="AY152" s="185" t="s">
        <v>3</v>
      </c>
      <c r="AZ152" s="185" t="s">
        <v>5</v>
      </c>
      <c r="BA152" s="185" t="s">
        <v>1</v>
      </c>
      <c r="BB152" s="185" t="s">
        <v>1</v>
      </c>
      <c r="BC152" s="185" t="s">
        <v>5</v>
      </c>
      <c r="BD152" s="185" t="s">
        <v>1</v>
      </c>
      <c r="BE152" s="185" t="s">
        <v>3</v>
      </c>
      <c r="BF152" s="185" t="s">
        <v>2</v>
      </c>
      <c r="BG152" s="185" t="s">
        <v>3</v>
      </c>
      <c r="BH152" s="185" t="s">
        <v>2</v>
      </c>
      <c r="BI152" s="185" t="s">
        <v>1</v>
      </c>
      <c r="BJ152" s="185" t="s">
        <v>3</v>
      </c>
      <c r="BK152" s="185" t="s">
        <v>3</v>
      </c>
      <c r="BL152" s="185" t="s">
        <v>3</v>
      </c>
      <c r="BM152" s="185" t="s">
        <v>1</v>
      </c>
      <c r="BN152" s="185" t="s">
        <v>3</v>
      </c>
      <c r="BO152" s="185" t="s">
        <v>3</v>
      </c>
      <c r="BP152" s="185" t="s">
        <v>1</v>
      </c>
      <c r="BQ152" s="185" t="s">
        <v>3</v>
      </c>
      <c r="BR152" s="185" t="s">
        <v>3</v>
      </c>
      <c r="BS152" s="185" t="s">
        <v>3</v>
      </c>
      <c r="BT152" s="185" t="s">
        <v>2</v>
      </c>
      <c r="BU152" s="185" t="s">
        <v>3</v>
      </c>
      <c r="BV152" s="185" t="s">
        <v>3</v>
      </c>
      <c r="BW152" s="185" t="s">
        <v>3</v>
      </c>
      <c r="BX152" s="185" t="s">
        <v>1092</v>
      </c>
      <c r="BY152" s="185" t="s">
        <v>3</v>
      </c>
      <c r="BZ152" s="185" t="s">
        <v>1</v>
      </c>
      <c r="CA152" s="185" t="s">
        <v>3</v>
      </c>
      <c r="CB152" s="185" t="s">
        <v>1</v>
      </c>
      <c r="CC152" s="185" t="s">
        <v>3</v>
      </c>
      <c r="CD152" s="185" t="s">
        <v>2</v>
      </c>
      <c r="CE152" s="185" t="s">
        <v>3</v>
      </c>
      <c r="CF152" s="185" t="s">
        <v>2</v>
      </c>
      <c r="CG152" s="185" t="s">
        <v>2</v>
      </c>
      <c r="CH152" s="185" t="s">
        <v>3</v>
      </c>
      <c r="CI152" s="185" t="s">
        <v>3</v>
      </c>
      <c r="CJ152" s="185" t="s">
        <v>3</v>
      </c>
      <c r="CK152" s="185" t="s">
        <v>3</v>
      </c>
      <c r="CL152" s="185" t="s">
        <v>5</v>
      </c>
      <c r="CM152" s="185" t="s">
        <v>5</v>
      </c>
      <c r="CN152" s="185" t="s">
        <v>5</v>
      </c>
      <c r="CO152" s="185" t="s">
        <v>3</v>
      </c>
      <c r="CP152" s="185" t="s">
        <v>3</v>
      </c>
      <c r="CQ152" s="185" t="s">
        <v>3</v>
      </c>
      <c r="CR152" s="185" t="s">
        <v>3</v>
      </c>
      <c r="CS152" s="185" t="s">
        <v>3</v>
      </c>
      <c r="CT152" s="185" t="s">
        <v>3</v>
      </c>
      <c r="CU152" s="185" t="s">
        <v>2</v>
      </c>
      <c r="CV152" s="185" t="s">
        <v>2</v>
      </c>
      <c r="CW152" s="185" t="s">
        <v>3</v>
      </c>
      <c r="CX152" s="186"/>
      <c r="CY152" s="185">
        <v>20131072047</v>
      </c>
    </row>
    <row r="153" spans="1:103" ht="12.75" x14ac:dyDescent="0.2">
      <c r="A153" s="184">
        <v>42895.979865081019</v>
      </c>
      <c r="B153" s="185" t="s">
        <v>2408</v>
      </c>
      <c r="C153" s="185" t="s">
        <v>2271</v>
      </c>
      <c r="D153" s="185">
        <v>3</v>
      </c>
      <c r="E153" s="185" t="s">
        <v>2</v>
      </c>
      <c r="F153" s="185" t="s">
        <v>1092</v>
      </c>
      <c r="G153" s="185" t="s">
        <v>1</v>
      </c>
      <c r="H153" s="185" t="s">
        <v>1</v>
      </c>
      <c r="I153" s="185" t="s">
        <v>1</v>
      </c>
      <c r="J153" s="185" t="s">
        <v>1093</v>
      </c>
      <c r="K153" s="185" t="s">
        <v>3</v>
      </c>
      <c r="L153" s="185" t="s">
        <v>1092</v>
      </c>
      <c r="M153" s="185" t="s">
        <v>1</v>
      </c>
      <c r="N153" s="185" t="s">
        <v>1</v>
      </c>
      <c r="O153" s="185" t="s">
        <v>1093</v>
      </c>
      <c r="P153" s="185" t="s">
        <v>1093</v>
      </c>
      <c r="Q153" s="185" t="s">
        <v>1093</v>
      </c>
      <c r="R153" s="185" t="s">
        <v>1093</v>
      </c>
      <c r="S153" s="185" t="s">
        <v>1093</v>
      </c>
      <c r="T153" s="185" t="s">
        <v>1093</v>
      </c>
      <c r="U153" s="185" t="s">
        <v>1093</v>
      </c>
      <c r="V153" s="185" t="s">
        <v>1093</v>
      </c>
      <c r="W153" s="185" t="s">
        <v>1093</v>
      </c>
      <c r="X153" s="185" t="s">
        <v>1093</v>
      </c>
      <c r="Y153" s="185" t="s">
        <v>2</v>
      </c>
      <c r="Z153" s="185" t="s">
        <v>1</v>
      </c>
      <c r="AA153" s="185" t="s">
        <v>3</v>
      </c>
      <c r="AB153" s="185" t="s">
        <v>1093</v>
      </c>
      <c r="AC153" s="185" t="s">
        <v>1093</v>
      </c>
      <c r="AD153" s="185" t="s">
        <v>1</v>
      </c>
      <c r="AE153" s="185" t="s">
        <v>1093</v>
      </c>
      <c r="AF153" s="185" t="s">
        <v>2</v>
      </c>
      <c r="AG153" s="185" t="s">
        <v>2</v>
      </c>
      <c r="AH153" s="185" t="s">
        <v>1093</v>
      </c>
      <c r="AI153" s="185" t="s">
        <v>1093</v>
      </c>
      <c r="AJ153" s="185" t="s">
        <v>1093</v>
      </c>
      <c r="AK153" s="185" t="s">
        <v>1093</v>
      </c>
      <c r="AL153" s="185" t="s">
        <v>1</v>
      </c>
      <c r="AM153" s="185" t="s">
        <v>1093</v>
      </c>
      <c r="AN153" s="185" t="s">
        <v>1093</v>
      </c>
      <c r="AO153" s="185" t="s">
        <v>1093</v>
      </c>
      <c r="AP153" s="185" t="s">
        <v>1093</v>
      </c>
      <c r="AQ153" s="185" t="s">
        <v>1093</v>
      </c>
      <c r="AR153" s="185" t="s">
        <v>2</v>
      </c>
      <c r="AS153" s="185" t="s">
        <v>3</v>
      </c>
      <c r="AT153" s="185" t="s">
        <v>3</v>
      </c>
      <c r="AU153" s="185" t="s">
        <v>1092</v>
      </c>
      <c r="AV153" s="185" t="s">
        <v>1093</v>
      </c>
      <c r="AW153" s="185" t="s">
        <v>2</v>
      </c>
      <c r="AX153" s="185" t="s">
        <v>1093</v>
      </c>
      <c r="AY153" s="185" t="s">
        <v>1093</v>
      </c>
      <c r="AZ153" s="185" t="s">
        <v>1093</v>
      </c>
      <c r="BA153" s="185" t="s">
        <v>1</v>
      </c>
      <c r="BB153" s="185" t="s">
        <v>1093</v>
      </c>
      <c r="BC153" s="185" t="s">
        <v>1093</v>
      </c>
      <c r="BD153" s="185" t="s">
        <v>1093</v>
      </c>
      <c r="BE153" s="185" t="s">
        <v>1093</v>
      </c>
      <c r="BF153" s="185" t="s">
        <v>1093</v>
      </c>
      <c r="BG153" s="185" t="s">
        <v>1</v>
      </c>
      <c r="BH153" s="185" t="s">
        <v>1093</v>
      </c>
      <c r="BI153" s="185" t="s">
        <v>1093</v>
      </c>
      <c r="BJ153" s="185" t="s">
        <v>1093</v>
      </c>
      <c r="BK153" s="185" t="s">
        <v>1093</v>
      </c>
      <c r="BL153" s="185" t="s">
        <v>1</v>
      </c>
      <c r="BM153" s="185" t="s">
        <v>1093</v>
      </c>
      <c r="BN153" s="185" t="s">
        <v>1093</v>
      </c>
      <c r="BO153" s="185" t="s">
        <v>1093</v>
      </c>
      <c r="BP153" s="185" t="s">
        <v>1093</v>
      </c>
      <c r="BQ153" s="185" t="s">
        <v>1093</v>
      </c>
      <c r="BR153" s="185" t="s">
        <v>3</v>
      </c>
      <c r="BS153" s="185" t="s">
        <v>2</v>
      </c>
      <c r="BT153" s="185" t="s">
        <v>1</v>
      </c>
      <c r="BU153" s="185" t="s">
        <v>1</v>
      </c>
      <c r="BV153" s="185" t="s">
        <v>1093</v>
      </c>
      <c r="BW153" s="185" t="s">
        <v>1093</v>
      </c>
      <c r="BX153" s="185" t="s">
        <v>1093</v>
      </c>
      <c r="BY153" s="185" t="s">
        <v>1093</v>
      </c>
      <c r="BZ153" s="185" t="s">
        <v>3</v>
      </c>
      <c r="CA153" s="185" t="s">
        <v>1093</v>
      </c>
      <c r="CB153" s="185" t="s">
        <v>1093</v>
      </c>
      <c r="CC153" s="185" t="s">
        <v>1093</v>
      </c>
      <c r="CD153" s="185" t="s">
        <v>1093</v>
      </c>
      <c r="CE153" s="185" t="s">
        <v>1093</v>
      </c>
      <c r="CF153" s="185" t="s">
        <v>1093</v>
      </c>
      <c r="CG153" s="185" t="s">
        <v>1093</v>
      </c>
      <c r="CH153" s="185" t="s">
        <v>1093</v>
      </c>
      <c r="CI153" s="185" t="s">
        <v>1093</v>
      </c>
      <c r="CJ153" s="185" t="s">
        <v>1</v>
      </c>
      <c r="CK153" s="185" t="s">
        <v>1</v>
      </c>
      <c r="CL153" s="185" t="s">
        <v>1093</v>
      </c>
      <c r="CM153" s="185" t="s">
        <v>1093</v>
      </c>
      <c r="CN153" s="185" t="s">
        <v>1093</v>
      </c>
      <c r="CO153" s="185" t="s">
        <v>1093</v>
      </c>
      <c r="CP153" s="185" t="s">
        <v>1093</v>
      </c>
      <c r="CQ153" s="185" t="s">
        <v>1093</v>
      </c>
      <c r="CR153" s="185" t="s">
        <v>1093</v>
      </c>
      <c r="CS153" s="185" t="s">
        <v>1093</v>
      </c>
      <c r="CT153" s="185" t="s">
        <v>1093</v>
      </c>
      <c r="CU153" s="185" t="s">
        <v>1093</v>
      </c>
      <c r="CV153" s="185" t="s">
        <v>1</v>
      </c>
      <c r="CW153" s="185" t="s">
        <v>2</v>
      </c>
      <c r="CX153" s="185" t="s">
        <v>2409</v>
      </c>
      <c r="CY153" s="185">
        <v>20161372119</v>
      </c>
    </row>
    <row r="154" spans="1:103" ht="12.75" x14ac:dyDescent="0.2">
      <c r="A154" s="184">
        <v>43018.525217719907</v>
      </c>
      <c r="B154" s="185" t="s">
        <v>2410</v>
      </c>
      <c r="C154" s="185" t="s">
        <v>2237</v>
      </c>
      <c r="D154" s="185">
        <v>1</v>
      </c>
      <c r="E154" s="185" t="s">
        <v>3</v>
      </c>
      <c r="F154" s="185" t="s">
        <v>3</v>
      </c>
      <c r="G154" s="185" t="s">
        <v>3</v>
      </c>
      <c r="H154" s="185" t="s">
        <v>3</v>
      </c>
      <c r="I154" s="185" t="s">
        <v>2</v>
      </c>
      <c r="J154" s="185" t="s">
        <v>2</v>
      </c>
      <c r="K154" s="185" t="s">
        <v>2</v>
      </c>
      <c r="L154" s="185" t="s">
        <v>2</v>
      </c>
      <c r="M154" s="185" t="s">
        <v>3</v>
      </c>
      <c r="N154" s="185" t="s">
        <v>3</v>
      </c>
      <c r="O154" s="185" t="s">
        <v>3</v>
      </c>
      <c r="P154" s="185" t="s">
        <v>3</v>
      </c>
      <c r="Q154" s="185" t="s">
        <v>2</v>
      </c>
      <c r="R154" s="185" t="s">
        <v>2</v>
      </c>
      <c r="S154" s="185" t="s">
        <v>2</v>
      </c>
      <c r="T154" s="185" t="s">
        <v>3</v>
      </c>
      <c r="U154" s="185" t="s">
        <v>2</v>
      </c>
      <c r="V154" s="185" t="s">
        <v>2</v>
      </c>
      <c r="W154" s="185" t="s">
        <v>3</v>
      </c>
      <c r="X154" s="185" t="s">
        <v>3</v>
      </c>
      <c r="Y154" s="185" t="s">
        <v>2</v>
      </c>
      <c r="Z154" s="185" t="s">
        <v>2</v>
      </c>
      <c r="AA154" s="185" t="s">
        <v>2</v>
      </c>
      <c r="AB154" s="185" t="s">
        <v>3</v>
      </c>
      <c r="AC154" s="185" t="s">
        <v>2</v>
      </c>
      <c r="AD154" s="185" t="s">
        <v>2</v>
      </c>
      <c r="AE154" s="185" t="s">
        <v>2</v>
      </c>
      <c r="AF154" s="185" t="s">
        <v>3</v>
      </c>
      <c r="AG154" s="185" t="s">
        <v>3</v>
      </c>
      <c r="AH154" s="185" t="s">
        <v>3</v>
      </c>
      <c r="AI154" s="185" t="s">
        <v>3</v>
      </c>
      <c r="AJ154" s="185" t="s">
        <v>2</v>
      </c>
      <c r="AK154" s="185" t="s">
        <v>2</v>
      </c>
      <c r="AL154" s="185" t="s">
        <v>3</v>
      </c>
      <c r="AM154" s="185" t="s">
        <v>2</v>
      </c>
      <c r="AN154" s="185" t="s">
        <v>2</v>
      </c>
      <c r="AO154" s="185" t="s">
        <v>2</v>
      </c>
      <c r="AP154" s="185" t="s">
        <v>3</v>
      </c>
      <c r="AQ154" s="185" t="s">
        <v>3</v>
      </c>
      <c r="AR154" s="185" t="s">
        <v>3</v>
      </c>
      <c r="AS154" s="185" t="s">
        <v>3</v>
      </c>
      <c r="AT154" s="185" t="s">
        <v>2</v>
      </c>
      <c r="AU154" s="185" t="s">
        <v>3</v>
      </c>
      <c r="AV154" s="185" t="s">
        <v>3</v>
      </c>
      <c r="AW154" s="185" t="s">
        <v>3</v>
      </c>
      <c r="AX154" s="185" t="s">
        <v>2</v>
      </c>
      <c r="AY154" s="185" t="s">
        <v>3</v>
      </c>
      <c r="AZ154" s="185" t="s">
        <v>3</v>
      </c>
      <c r="BA154" s="185" t="s">
        <v>1</v>
      </c>
      <c r="BB154" s="185" t="s">
        <v>3</v>
      </c>
      <c r="BC154" s="185" t="s">
        <v>2</v>
      </c>
      <c r="BD154" s="185" t="s">
        <v>1</v>
      </c>
      <c r="BE154" s="185" t="s">
        <v>1</v>
      </c>
      <c r="BF154" s="185" t="s">
        <v>2</v>
      </c>
      <c r="BG154" s="185" t="s">
        <v>3</v>
      </c>
      <c r="BH154" s="185" t="s">
        <v>2</v>
      </c>
      <c r="BI154" s="185" t="s">
        <v>2</v>
      </c>
      <c r="BJ154" s="185" t="s">
        <v>3</v>
      </c>
      <c r="BK154" s="185" t="s">
        <v>3</v>
      </c>
      <c r="BL154" s="185" t="s">
        <v>3</v>
      </c>
      <c r="BM154" s="185" t="s">
        <v>3</v>
      </c>
      <c r="BN154" s="185" t="s">
        <v>3</v>
      </c>
      <c r="BO154" s="185" t="s">
        <v>3</v>
      </c>
      <c r="BP154" s="185" t="s">
        <v>3</v>
      </c>
      <c r="BQ154" s="185" t="s">
        <v>3</v>
      </c>
      <c r="BR154" s="185" t="s">
        <v>3</v>
      </c>
      <c r="BS154" s="185" t="s">
        <v>3</v>
      </c>
      <c r="BT154" s="185" t="s">
        <v>3</v>
      </c>
      <c r="BU154" s="185" t="s">
        <v>3</v>
      </c>
      <c r="BV154" s="185" t="s">
        <v>3</v>
      </c>
      <c r="BW154" s="185" t="s">
        <v>3</v>
      </c>
      <c r="BX154" s="185" t="s">
        <v>3</v>
      </c>
      <c r="BY154" s="185" t="s">
        <v>3</v>
      </c>
      <c r="BZ154" s="185" t="s">
        <v>1</v>
      </c>
      <c r="CA154" s="185" t="s">
        <v>3</v>
      </c>
      <c r="CB154" s="185" t="s">
        <v>1</v>
      </c>
      <c r="CC154" s="185" t="s">
        <v>3</v>
      </c>
      <c r="CD154" s="185" t="s">
        <v>3</v>
      </c>
      <c r="CE154" s="185" t="s">
        <v>2</v>
      </c>
      <c r="CF154" s="185" t="s">
        <v>1</v>
      </c>
      <c r="CG154" s="185" t="s">
        <v>1</v>
      </c>
      <c r="CH154" s="185" t="s">
        <v>3</v>
      </c>
      <c r="CI154" s="185" t="s">
        <v>3</v>
      </c>
      <c r="CJ154" s="185" t="s">
        <v>3</v>
      </c>
      <c r="CK154" s="185" t="s">
        <v>3</v>
      </c>
      <c r="CL154" s="185" t="s">
        <v>3</v>
      </c>
      <c r="CM154" s="185" t="s">
        <v>3</v>
      </c>
      <c r="CN154" s="185" t="s">
        <v>2</v>
      </c>
      <c r="CO154" s="185" t="s">
        <v>3</v>
      </c>
      <c r="CP154" s="185" t="s">
        <v>3</v>
      </c>
      <c r="CQ154" s="185" t="s">
        <v>3</v>
      </c>
      <c r="CR154" s="185" t="s">
        <v>3</v>
      </c>
      <c r="CS154" s="185" t="s">
        <v>3</v>
      </c>
      <c r="CT154" s="185" t="s">
        <v>3</v>
      </c>
      <c r="CU154" s="185" t="s">
        <v>3</v>
      </c>
      <c r="CV154" s="185" t="s">
        <v>3</v>
      </c>
      <c r="CW154" s="185" t="s">
        <v>3</v>
      </c>
      <c r="CX154" s="186"/>
      <c r="CY154" s="185">
        <v>20171572001</v>
      </c>
    </row>
    <row r="155" spans="1:103" ht="12.75" x14ac:dyDescent="0.2">
      <c r="A155" s="184">
        <v>43018.527197789357</v>
      </c>
      <c r="B155" s="185" t="s">
        <v>2411</v>
      </c>
      <c r="C155" s="185" t="s">
        <v>2237</v>
      </c>
      <c r="D155" s="185">
        <v>2</v>
      </c>
      <c r="E155" s="185" t="s">
        <v>3</v>
      </c>
      <c r="F155" s="185" t="s">
        <v>1092</v>
      </c>
      <c r="G155" s="185" t="s">
        <v>1092</v>
      </c>
      <c r="H155" s="185" t="s">
        <v>3</v>
      </c>
      <c r="I155" s="185" t="s">
        <v>1093</v>
      </c>
      <c r="J155" s="185" t="s">
        <v>1093</v>
      </c>
      <c r="K155" s="185" t="s">
        <v>1</v>
      </c>
      <c r="L155" s="185" t="s">
        <v>3</v>
      </c>
      <c r="M155" s="185" t="s">
        <v>2</v>
      </c>
      <c r="N155" s="185" t="s">
        <v>1092</v>
      </c>
      <c r="O155" s="185" t="s">
        <v>1093</v>
      </c>
      <c r="P155" s="185" t="s">
        <v>1</v>
      </c>
      <c r="Q155" s="185" t="s">
        <v>1</v>
      </c>
      <c r="R155" s="185" t="s">
        <v>1</v>
      </c>
      <c r="S155" s="185" t="s">
        <v>1092</v>
      </c>
      <c r="T155" s="185" t="s">
        <v>3</v>
      </c>
      <c r="U155" s="185" t="s">
        <v>3</v>
      </c>
      <c r="V155" s="185" t="s">
        <v>3</v>
      </c>
      <c r="W155" s="185" t="s">
        <v>3</v>
      </c>
      <c r="X155" s="185" t="s">
        <v>1092</v>
      </c>
      <c r="Y155" s="185" t="s">
        <v>1092</v>
      </c>
      <c r="Z155" s="185" t="s">
        <v>1092</v>
      </c>
      <c r="AA155" s="185" t="s">
        <v>3</v>
      </c>
      <c r="AB155" s="185" t="s">
        <v>3</v>
      </c>
      <c r="AC155" s="185" t="s">
        <v>3</v>
      </c>
      <c r="AD155" s="185" t="s">
        <v>3</v>
      </c>
      <c r="AE155" s="185" t="s">
        <v>3</v>
      </c>
      <c r="AF155" s="185" t="s">
        <v>3</v>
      </c>
      <c r="AG155" s="185" t="s">
        <v>1092</v>
      </c>
      <c r="AH155" s="185" t="s">
        <v>3</v>
      </c>
      <c r="AI155" s="185" t="s">
        <v>3</v>
      </c>
      <c r="AJ155" s="185" t="s">
        <v>3</v>
      </c>
      <c r="AK155" s="185" t="s">
        <v>3</v>
      </c>
      <c r="AL155" s="185" t="s">
        <v>1092</v>
      </c>
      <c r="AM155" s="185" t="s">
        <v>1092</v>
      </c>
      <c r="AN155" s="185" t="s">
        <v>2</v>
      </c>
      <c r="AO155" s="185" t="s">
        <v>1092</v>
      </c>
      <c r="AP155" s="185" t="s">
        <v>2</v>
      </c>
      <c r="AQ155" s="185" t="s">
        <v>3</v>
      </c>
      <c r="AR155" s="185" t="s">
        <v>1092</v>
      </c>
      <c r="AS155" s="185" t="s">
        <v>1092</v>
      </c>
      <c r="AT155" s="185" t="s">
        <v>1092</v>
      </c>
      <c r="AU155" s="185" t="s">
        <v>3</v>
      </c>
      <c r="AV155" s="185" t="s">
        <v>2</v>
      </c>
      <c r="AW155" s="185" t="s">
        <v>3</v>
      </c>
      <c r="AX155" s="185" t="s">
        <v>3</v>
      </c>
      <c r="AY155" s="185" t="s">
        <v>3</v>
      </c>
      <c r="AZ155" s="185" t="s">
        <v>1092</v>
      </c>
      <c r="BA155" s="185" t="s">
        <v>3</v>
      </c>
      <c r="BB155" s="185" t="s">
        <v>1092</v>
      </c>
      <c r="BC155" s="185" t="s">
        <v>1092</v>
      </c>
      <c r="BD155" s="185" t="s">
        <v>3</v>
      </c>
      <c r="BE155" s="185" t="s">
        <v>1092</v>
      </c>
      <c r="BF155" s="185" t="s">
        <v>1092</v>
      </c>
      <c r="BG155" s="185" t="s">
        <v>1092</v>
      </c>
      <c r="BH155" s="185" t="s">
        <v>2</v>
      </c>
      <c r="BI155" s="185" t="s">
        <v>1092</v>
      </c>
      <c r="BJ155" s="185" t="s">
        <v>1092</v>
      </c>
      <c r="BK155" s="185" t="s">
        <v>3</v>
      </c>
      <c r="BL155" s="185" t="s">
        <v>1092</v>
      </c>
      <c r="BM155" s="185" t="s">
        <v>3</v>
      </c>
      <c r="BN155" s="185" t="s">
        <v>1092</v>
      </c>
      <c r="BO155" s="185" t="s">
        <v>1092</v>
      </c>
      <c r="BP155" s="185" t="s">
        <v>2</v>
      </c>
      <c r="BQ155" s="185" t="s">
        <v>3</v>
      </c>
      <c r="BR155" s="185" t="s">
        <v>1092</v>
      </c>
      <c r="BS155" s="185" t="s">
        <v>3</v>
      </c>
      <c r="BT155" s="185" t="s">
        <v>3</v>
      </c>
      <c r="BU155" s="185" t="s">
        <v>1092</v>
      </c>
      <c r="BV155" s="185" t="s">
        <v>1092</v>
      </c>
      <c r="BW155" s="185" t="s">
        <v>1092</v>
      </c>
      <c r="BX155" s="185" t="s">
        <v>1092</v>
      </c>
      <c r="BY155" s="185" t="s">
        <v>3</v>
      </c>
      <c r="BZ155" s="185" t="s">
        <v>1092</v>
      </c>
      <c r="CA155" s="185" t="s">
        <v>1092</v>
      </c>
      <c r="CB155" s="185" t="s">
        <v>2</v>
      </c>
      <c r="CC155" s="185" t="s">
        <v>3</v>
      </c>
      <c r="CD155" s="185" t="s">
        <v>3</v>
      </c>
      <c r="CE155" s="185" t="s">
        <v>2</v>
      </c>
      <c r="CF155" s="185" t="s">
        <v>1093</v>
      </c>
      <c r="CG155" s="185" t="s">
        <v>1093</v>
      </c>
      <c r="CH155" s="185" t="s">
        <v>1092</v>
      </c>
      <c r="CI155" s="185" t="s">
        <v>1092</v>
      </c>
      <c r="CJ155" s="185" t="s">
        <v>3</v>
      </c>
      <c r="CK155" s="185" t="s">
        <v>3</v>
      </c>
      <c r="CL155" s="185" t="s">
        <v>3</v>
      </c>
      <c r="CM155" s="185" t="s">
        <v>3</v>
      </c>
      <c r="CN155" s="185" t="s">
        <v>3</v>
      </c>
      <c r="CO155" s="185" t="s">
        <v>1092</v>
      </c>
      <c r="CP155" s="185" t="s">
        <v>3</v>
      </c>
      <c r="CQ155" s="185" t="s">
        <v>1092</v>
      </c>
      <c r="CR155" s="185" t="s">
        <v>1092</v>
      </c>
      <c r="CS155" s="185" t="s">
        <v>1092</v>
      </c>
      <c r="CT155" s="185" t="s">
        <v>3</v>
      </c>
      <c r="CU155" s="185" t="s">
        <v>1092</v>
      </c>
      <c r="CV155" s="185" t="s">
        <v>1092</v>
      </c>
      <c r="CW155" s="185" t="s">
        <v>1092</v>
      </c>
      <c r="CX155" s="186"/>
      <c r="CY155" s="185">
        <v>20171572012</v>
      </c>
    </row>
    <row r="156" spans="1:103" ht="12.75" x14ac:dyDescent="0.2">
      <c r="A156" s="184">
        <v>43018.527737291668</v>
      </c>
      <c r="B156" s="185" t="s">
        <v>2412</v>
      </c>
      <c r="C156" s="185" t="s">
        <v>2237</v>
      </c>
      <c r="D156" s="185">
        <v>2</v>
      </c>
      <c r="E156" s="185" t="s">
        <v>1092</v>
      </c>
      <c r="F156" s="185" t="s">
        <v>1092</v>
      </c>
      <c r="G156" s="185" t="s">
        <v>1092</v>
      </c>
      <c r="H156" s="185" t="s">
        <v>3</v>
      </c>
      <c r="I156" s="185" t="s">
        <v>2</v>
      </c>
      <c r="J156" s="185" t="s">
        <v>1092</v>
      </c>
      <c r="K156" s="185" t="s">
        <v>1092</v>
      </c>
      <c r="L156" s="185" t="s">
        <v>1092</v>
      </c>
      <c r="M156" s="185" t="s">
        <v>3</v>
      </c>
      <c r="N156" s="185" t="s">
        <v>1092</v>
      </c>
      <c r="O156" s="185" t="s">
        <v>3</v>
      </c>
      <c r="P156" s="185" t="s">
        <v>3</v>
      </c>
      <c r="Q156" s="185" t="s">
        <v>1092</v>
      </c>
      <c r="R156" s="185" t="s">
        <v>1092</v>
      </c>
      <c r="S156" s="185" t="s">
        <v>1092</v>
      </c>
      <c r="T156" s="185" t="s">
        <v>3</v>
      </c>
      <c r="U156" s="185" t="s">
        <v>3</v>
      </c>
      <c r="V156" s="185" t="s">
        <v>1092</v>
      </c>
      <c r="W156" s="185" t="s">
        <v>1092</v>
      </c>
      <c r="X156" s="185" t="s">
        <v>1092</v>
      </c>
      <c r="Y156" s="185" t="s">
        <v>1092</v>
      </c>
      <c r="Z156" s="185" t="s">
        <v>1092</v>
      </c>
      <c r="AA156" s="185" t="s">
        <v>3</v>
      </c>
      <c r="AB156" s="185" t="s">
        <v>3</v>
      </c>
      <c r="AC156" s="185" t="s">
        <v>3</v>
      </c>
      <c r="AD156" s="185" t="s">
        <v>3</v>
      </c>
      <c r="AE156" s="185" t="s">
        <v>3</v>
      </c>
      <c r="AF156" s="185" t="s">
        <v>1092</v>
      </c>
      <c r="AG156" s="185" t="s">
        <v>1092</v>
      </c>
      <c r="AH156" s="185" t="s">
        <v>1092</v>
      </c>
      <c r="AI156" s="185" t="s">
        <v>3</v>
      </c>
      <c r="AJ156" s="185" t="s">
        <v>3</v>
      </c>
      <c r="AK156" s="185" t="s">
        <v>1092</v>
      </c>
      <c r="AL156" s="185" t="s">
        <v>1092</v>
      </c>
      <c r="AM156" s="185" t="s">
        <v>1092</v>
      </c>
      <c r="AN156" s="185" t="s">
        <v>1092</v>
      </c>
      <c r="AO156" s="185" t="s">
        <v>1092</v>
      </c>
      <c r="AP156" s="185" t="s">
        <v>1092</v>
      </c>
      <c r="AQ156" s="185" t="s">
        <v>1092</v>
      </c>
      <c r="AR156" s="185" t="s">
        <v>1092</v>
      </c>
      <c r="AS156" s="185" t="s">
        <v>1092</v>
      </c>
      <c r="AT156" s="185" t="s">
        <v>1092</v>
      </c>
      <c r="AU156" s="185" t="s">
        <v>3</v>
      </c>
      <c r="AV156" s="185" t="s">
        <v>1092</v>
      </c>
      <c r="AW156" s="185" t="s">
        <v>1092</v>
      </c>
      <c r="AX156" s="185" t="s">
        <v>1092</v>
      </c>
      <c r="AY156" s="185" t="s">
        <v>1092</v>
      </c>
      <c r="AZ156" s="185" t="s">
        <v>1092</v>
      </c>
      <c r="BA156" s="185" t="s">
        <v>3</v>
      </c>
      <c r="BB156" s="185" t="s">
        <v>1092</v>
      </c>
      <c r="BC156" s="185" t="s">
        <v>3</v>
      </c>
      <c r="BD156" s="185" t="s">
        <v>1093</v>
      </c>
      <c r="BE156" s="185" t="s">
        <v>1092</v>
      </c>
      <c r="BF156" s="185" t="s">
        <v>3</v>
      </c>
      <c r="BG156" s="185" t="s">
        <v>3</v>
      </c>
      <c r="BH156" s="185" t="s">
        <v>3</v>
      </c>
      <c r="BI156" s="185" t="s">
        <v>1092</v>
      </c>
      <c r="BJ156" s="185" t="s">
        <v>1092</v>
      </c>
      <c r="BK156" s="185" t="s">
        <v>1092</v>
      </c>
      <c r="BL156" s="185" t="s">
        <v>1092</v>
      </c>
      <c r="BM156" s="185" t="s">
        <v>1092</v>
      </c>
      <c r="BN156" s="185" t="s">
        <v>1092</v>
      </c>
      <c r="BO156" s="185" t="s">
        <v>1092</v>
      </c>
      <c r="BP156" s="185" t="s">
        <v>1092</v>
      </c>
      <c r="BQ156" s="185" t="s">
        <v>1092</v>
      </c>
      <c r="BR156" s="185" t="s">
        <v>1092</v>
      </c>
      <c r="BS156" s="185" t="s">
        <v>1092</v>
      </c>
      <c r="BT156" s="185" t="s">
        <v>1092</v>
      </c>
      <c r="BU156" s="185" t="s">
        <v>1092</v>
      </c>
      <c r="BV156" s="185" t="s">
        <v>1092</v>
      </c>
      <c r="BW156" s="185" t="s">
        <v>1092</v>
      </c>
      <c r="BX156" s="185" t="s">
        <v>1092</v>
      </c>
      <c r="BY156" s="185" t="s">
        <v>1092</v>
      </c>
      <c r="BZ156" s="185" t="s">
        <v>1093</v>
      </c>
      <c r="CA156" s="185" t="s">
        <v>3</v>
      </c>
      <c r="CB156" s="185" t="s">
        <v>1092</v>
      </c>
      <c r="CC156" s="185" t="s">
        <v>1092</v>
      </c>
      <c r="CD156" s="185" t="s">
        <v>1092</v>
      </c>
      <c r="CE156" s="185" t="s">
        <v>1092</v>
      </c>
      <c r="CF156" s="185" t="s">
        <v>2</v>
      </c>
      <c r="CG156" s="185" t="s">
        <v>2</v>
      </c>
      <c r="CH156" s="185" t="s">
        <v>3</v>
      </c>
      <c r="CI156" s="185" t="s">
        <v>3</v>
      </c>
      <c r="CJ156" s="185" t="s">
        <v>3</v>
      </c>
      <c r="CK156" s="185" t="s">
        <v>1092</v>
      </c>
      <c r="CL156" s="185" t="s">
        <v>1092</v>
      </c>
      <c r="CM156" s="185" t="s">
        <v>1092</v>
      </c>
      <c r="CN156" s="185" t="s">
        <v>2</v>
      </c>
      <c r="CO156" s="185" t="s">
        <v>3</v>
      </c>
      <c r="CP156" s="185" t="s">
        <v>3</v>
      </c>
      <c r="CQ156" s="185" t="s">
        <v>3</v>
      </c>
      <c r="CR156" s="185" t="s">
        <v>3</v>
      </c>
      <c r="CS156" s="185" t="s">
        <v>3</v>
      </c>
      <c r="CT156" s="185" t="s">
        <v>3</v>
      </c>
      <c r="CU156" s="185" t="s">
        <v>1092</v>
      </c>
      <c r="CV156" s="185" t="s">
        <v>1092</v>
      </c>
      <c r="CW156" s="185" t="s">
        <v>1092</v>
      </c>
      <c r="CX156" s="186"/>
      <c r="CY156" s="185">
        <v>20171572007</v>
      </c>
    </row>
    <row r="157" spans="1:103" ht="12.75" x14ac:dyDescent="0.2">
      <c r="A157" s="184">
        <v>43018.52778365741</v>
      </c>
      <c r="B157" s="185" t="s">
        <v>2413</v>
      </c>
      <c r="C157" s="185" t="s">
        <v>2237</v>
      </c>
      <c r="D157" s="185">
        <v>2</v>
      </c>
      <c r="E157" s="185" t="s">
        <v>3</v>
      </c>
      <c r="F157" s="185" t="s">
        <v>3</v>
      </c>
      <c r="G157" s="185" t="s">
        <v>3</v>
      </c>
      <c r="H157" s="185" t="s">
        <v>3</v>
      </c>
      <c r="I157" s="185" t="s">
        <v>1</v>
      </c>
      <c r="J157" s="185" t="s">
        <v>2</v>
      </c>
      <c r="K157" s="185" t="s">
        <v>3</v>
      </c>
      <c r="L157" s="185" t="s">
        <v>2</v>
      </c>
      <c r="M157" s="185" t="s">
        <v>1093</v>
      </c>
      <c r="N157" s="185" t="s">
        <v>2</v>
      </c>
      <c r="O157" s="185" t="s">
        <v>1</v>
      </c>
      <c r="P157" s="185" t="s">
        <v>1093</v>
      </c>
      <c r="Q157" s="185" t="s">
        <v>1093</v>
      </c>
      <c r="R157" s="185" t="s">
        <v>2</v>
      </c>
      <c r="S157" s="185" t="s">
        <v>2</v>
      </c>
      <c r="T157" s="185" t="s">
        <v>2</v>
      </c>
      <c r="U157" s="185" t="s">
        <v>1</v>
      </c>
      <c r="V157" s="185" t="s">
        <v>3</v>
      </c>
      <c r="W157" s="185" t="s">
        <v>2</v>
      </c>
      <c r="X157" s="185" t="s">
        <v>2</v>
      </c>
      <c r="Y157" s="185" t="s">
        <v>3</v>
      </c>
      <c r="Z157" s="185" t="s">
        <v>3</v>
      </c>
      <c r="AA157" s="185" t="s">
        <v>3</v>
      </c>
      <c r="AB157" s="185" t="s">
        <v>3</v>
      </c>
      <c r="AC157" s="185" t="s">
        <v>2</v>
      </c>
      <c r="AD157" s="185" t="s">
        <v>3</v>
      </c>
      <c r="AE157" s="185" t="s">
        <v>2</v>
      </c>
      <c r="AF157" s="185" t="s">
        <v>3</v>
      </c>
      <c r="AG157" s="185" t="s">
        <v>2</v>
      </c>
      <c r="AH157" s="185" t="s">
        <v>1093</v>
      </c>
      <c r="AI157" s="185" t="s">
        <v>1</v>
      </c>
      <c r="AJ157" s="185" t="s">
        <v>1093</v>
      </c>
      <c r="AK157" s="185" t="s">
        <v>1093</v>
      </c>
      <c r="AL157" s="185" t="s">
        <v>1</v>
      </c>
      <c r="AM157" s="185" t="s">
        <v>2</v>
      </c>
      <c r="AN157" s="185" t="s">
        <v>2</v>
      </c>
      <c r="AO157" s="185" t="s">
        <v>2</v>
      </c>
      <c r="AP157" s="185" t="s">
        <v>3</v>
      </c>
      <c r="AQ157" s="185" t="s">
        <v>1092</v>
      </c>
      <c r="AR157" s="185" t="s">
        <v>2</v>
      </c>
      <c r="AS157" s="185" t="s">
        <v>3</v>
      </c>
      <c r="AT157" s="185" t="s">
        <v>1092</v>
      </c>
      <c r="AU157" s="185" t="s">
        <v>3</v>
      </c>
      <c r="AV157" s="185" t="s">
        <v>2</v>
      </c>
      <c r="AW157" s="185" t="s">
        <v>3</v>
      </c>
      <c r="AX157" s="185" t="s">
        <v>2</v>
      </c>
      <c r="AY157" s="185" t="s">
        <v>2</v>
      </c>
      <c r="AZ157" s="185" t="s">
        <v>2</v>
      </c>
      <c r="BA157" s="185" t="s">
        <v>3</v>
      </c>
      <c r="BB157" s="185" t="s">
        <v>3</v>
      </c>
      <c r="BC157" s="185" t="s">
        <v>1093</v>
      </c>
      <c r="BD157" s="185" t="s">
        <v>1093</v>
      </c>
      <c r="BE157" s="185" t="s">
        <v>2</v>
      </c>
      <c r="BF157" s="185" t="s">
        <v>2</v>
      </c>
      <c r="BG157" s="185" t="s">
        <v>2</v>
      </c>
      <c r="BH157" s="185" t="s">
        <v>1</v>
      </c>
      <c r="BI157" s="185" t="s">
        <v>2</v>
      </c>
      <c r="BJ157" s="185" t="s">
        <v>2</v>
      </c>
      <c r="BK157" s="185" t="s">
        <v>2</v>
      </c>
      <c r="BL157" s="185" t="s">
        <v>2</v>
      </c>
      <c r="BM157" s="185" t="s">
        <v>2</v>
      </c>
      <c r="BN157" s="185" t="s">
        <v>2</v>
      </c>
      <c r="BO157" s="185" t="s">
        <v>2</v>
      </c>
      <c r="BP157" s="185" t="s">
        <v>2</v>
      </c>
      <c r="BQ157" s="185" t="s">
        <v>3</v>
      </c>
      <c r="BR157" s="185" t="s">
        <v>3</v>
      </c>
      <c r="BS157" s="185" t="s">
        <v>2</v>
      </c>
      <c r="BT157" s="185" t="s">
        <v>3</v>
      </c>
      <c r="BU157" s="185" t="s">
        <v>2</v>
      </c>
      <c r="BV157" s="185" t="s">
        <v>3</v>
      </c>
      <c r="BW157" s="185" t="s">
        <v>3</v>
      </c>
      <c r="BX157" s="185" t="s">
        <v>2</v>
      </c>
      <c r="BY157" s="185" t="s">
        <v>2</v>
      </c>
      <c r="BZ157" s="185" t="s">
        <v>2</v>
      </c>
      <c r="CA157" s="185" t="s">
        <v>2</v>
      </c>
      <c r="CB157" s="185" t="s">
        <v>2</v>
      </c>
      <c r="CC157" s="185" t="s">
        <v>1092</v>
      </c>
      <c r="CD157" s="185" t="s">
        <v>2</v>
      </c>
      <c r="CE157" s="185" t="s">
        <v>3</v>
      </c>
      <c r="CF157" s="185" t="s">
        <v>3</v>
      </c>
      <c r="CG157" s="185" t="s">
        <v>3</v>
      </c>
      <c r="CH157" s="185" t="s">
        <v>3</v>
      </c>
      <c r="CI157" s="185" t="s">
        <v>3</v>
      </c>
      <c r="CJ157" s="185" t="s">
        <v>3</v>
      </c>
      <c r="CK157" s="185" t="s">
        <v>3</v>
      </c>
      <c r="CL157" s="185" t="s">
        <v>1093</v>
      </c>
      <c r="CM157" s="185" t="s">
        <v>5</v>
      </c>
      <c r="CN157" s="185" t="s">
        <v>5</v>
      </c>
      <c r="CO157" s="185" t="s">
        <v>5</v>
      </c>
      <c r="CP157" s="185" t="s">
        <v>5</v>
      </c>
      <c r="CQ157" s="185" t="s">
        <v>5</v>
      </c>
      <c r="CR157" s="185" t="s">
        <v>2</v>
      </c>
      <c r="CS157" s="185" t="s">
        <v>2</v>
      </c>
      <c r="CT157" s="185" t="s">
        <v>1</v>
      </c>
      <c r="CU157" s="185" t="s">
        <v>2</v>
      </c>
      <c r="CV157" s="185" t="s">
        <v>2</v>
      </c>
      <c r="CW157" s="185" t="s">
        <v>3</v>
      </c>
      <c r="CX157" s="186"/>
      <c r="CY157" s="185">
        <v>20171572028</v>
      </c>
    </row>
    <row r="158" spans="1:103" ht="12.75" x14ac:dyDescent="0.2">
      <c r="A158" s="184">
        <v>43018.527840439812</v>
      </c>
      <c r="B158" s="185" t="s">
        <v>2260</v>
      </c>
      <c r="C158" s="185" t="s">
        <v>2237</v>
      </c>
      <c r="D158" s="185">
        <v>2</v>
      </c>
      <c r="E158" s="185" t="s">
        <v>1092</v>
      </c>
      <c r="F158" s="185" t="s">
        <v>2</v>
      </c>
      <c r="G158" s="185" t="s">
        <v>1092</v>
      </c>
      <c r="H158" s="185" t="s">
        <v>3</v>
      </c>
      <c r="I158" s="185" t="s">
        <v>2</v>
      </c>
      <c r="J158" s="185" t="s">
        <v>2</v>
      </c>
      <c r="K158" s="185" t="s">
        <v>1092</v>
      </c>
      <c r="L158" s="185" t="s">
        <v>1092</v>
      </c>
      <c r="M158" s="185" t="s">
        <v>3</v>
      </c>
      <c r="N158" s="185" t="s">
        <v>3</v>
      </c>
      <c r="O158" s="185" t="s">
        <v>2</v>
      </c>
      <c r="P158" s="185" t="s">
        <v>2</v>
      </c>
      <c r="Q158" s="185" t="s">
        <v>2</v>
      </c>
      <c r="R158" s="185" t="s">
        <v>2</v>
      </c>
      <c r="S158" s="185" t="s">
        <v>2</v>
      </c>
      <c r="T158" s="185" t="s">
        <v>3</v>
      </c>
      <c r="U158" s="185" t="s">
        <v>2</v>
      </c>
      <c r="V158" s="185" t="s">
        <v>3</v>
      </c>
      <c r="W158" s="185" t="s">
        <v>2</v>
      </c>
      <c r="X158" s="185" t="s">
        <v>1092</v>
      </c>
      <c r="Y158" s="185" t="s">
        <v>1092</v>
      </c>
      <c r="Z158" s="185" t="s">
        <v>3</v>
      </c>
      <c r="AA158" s="185" t="s">
        <v>3</v>
      </c>
      <c r="AB158" s="185" t="s">
        <v>1092</v>
      </c>
      <c r="AC158" s="185" t="s">
        <v>3</v>
      </c>
      <c r="AD158" s="185" t="s">
        <v>3</v>
      </c>
      <c r="AE158" s="185" t="s">
        <v>5</v>
      </c>
      <c r="AF158" s="185" t="s">
        <v>3</v>
      </c>
      <c r="AG158" s="185" t="s">
        <v>5</v>
      </c>
      <c r="AH158" s="185" t="s">
        <v>1092</v>
      </c>
      <c r="AI158" s="185" t="s">
        <v>2</v>
      </c>
      <c r="AJ158" s="185" t="s">
        <v>3</v>
      </c>
      <c r="AK158" s="185" t="s">
        <v>3</v>
      </c>
      <c r="AL158" s="185" t="s">
        <v>2</v>
      </c>
      <c r="AM158" s="185" t="s">
        <v>3</v>
      </c>
      <c r="AN158" s="185" t="s">
        <v>3</v>
      </c>
      <c r="AO158" s="185" t="s">
        <v>3</v>
      </c>
      <c r="AP158" s="185" t="s">
        <v>1092</v>
      </c>
      <c r="AQ158" s="185" t="s">
        <v>1092</v>
      </c>
      <c r="AR158" s="185" t="s">
        <v>1092</v>
      </c>
      <c r="AS158" s="185" t="s">
        <v>1092</v>
      </c>
      <c r="AT158" s="185" t="s">
        <v>1092</v>
      </c>
      <c r="AU158" s="185" t="s">
        <v>3</v>
      </c>
      <c r="AV158" s="185" t="s">
        <v>3</v>
      </c>
      <c r="AW158" s="185" t="s">
        <v>3</v>
      </c>
      <c r="AX158" s="185" t="s">
        <v>3</v>
      </c>
      <c r="AY158" s="185" t="s">
        <v>3</v>
      </c>
      <c r="AZ158" s="185" t="s">
        <v>5</v>
      </c>
      <c r="BA158" s="185" t="s">
        <v>5</v>
      </c>
      <c r="BB158" s="185" t="s">
        <v>2</v>
      </c>
      <c r="BC158" s="185" t="s">
        <v>5</v>
      </c>
      <c r="BD158" s="185" t="s">
        <v>1093</v>
      </c>
      <c r="BE158" s="185" t="s">
        <v>2</v>
      </c>
      <c r="BF158" s="185" t="s">
        <v>2</v>
      </c>
      <c r="BG158" s="185" t="s">
        <v>2</v>
      </c>
      <c r="BH158" s="185" t="s">
        <v>2</v>
      </c>
      <c r="BI158" s="185" t="s">
        <v>1</v>
      </c>
      <c r="BJ158" s="185" t="s">
        <v>2</v>
      </c>
      <c r="BK158" s="185" t="s">
        <v>2</v>
      </c>
      <c r="BL158" s="185" t="s">
        <v>1093</v>
      </c>
      <c r="BM158" s="185" t="s">
        <v>1</v>
      </c>
      <c r="BN158" s="185" t="s">
        <v>2</v>
      </c>
      <c r="BO158" s="185" t="s">
        <v>2</v>
      </c>
      <c r="BP158" s="185" t="s">
        <v>3</v>
      </c>
      <c r="BQ158" s="185" t="s">
        <v>2</v>
      </c>
      <c r="BR158" s="185" t="s">
        <v>2</v>
      </c>
      <c r="BS158" s="185" t="s">
        <v>3</v>
      </c>
      <c r="BT158" s="185" t="s">
        <v>1</v>
      </c>
      <c r="BU158" s="185" t="s">
        <v>1</v>
      </c>
      <c r="BV158" s="185" t="s">
        <v>1</v>
      </c>
      <c r="BW158" s="185" t="s">
        <v>2</v>
      </c>
      <c r="BX158" s="185" t="s">
        <v>3</v>
      </c>
      <c r="BY158" s="185" t="s">
        <v>2</v>
      </c>
      <c r="BZ158" s="185" t="s">
        <v>1093</v>
      </c>
      <c r="CA158" s="185" t="s">
        <v>3</v>
      </c>
      <c r="CB158" s="185" t="s">
        <v>2</v>
      </c>
      <c r="CC158" s="185" t="s">
        <v>2</v>
      </c>
      <c r="CD158" s="185" t="s">
        <v>3</v>
      </c>
      <c r="CE158" s="185" t="s">
        <v>1092</v>
      </c>
      <c r="CF158" s="185" t="s">
        <v>2</v>
      </c>
      <c r="CG158" s="185" t="s">
        <v>2</v>
      </c>
      <c r="CH158" s="185" t="s">
        <v>2</v>
      </c>
      <c r="CI158" s="185" t="s">
        <v>2</v>
      </c>
      <c r="CJ158" s="185" t="s">
        <v>2</v>
      </c>
      <c r="CK158" s="185" t="s">
        <v>2</v>
      </c>
      <c r="CL158" s="185" t="s">
        <v>1</v>
      </c>
      <c r="CM158" s="185" t="s">
        <v>1</v>
      </c>
      <c r="CN158" s="185" t="s">
        <v>5</v>
      </c>
      <c r="CO158" s="185" t="s">
        <v>2</v>
      </c>
      <c r="CP158" s="185" t="s">
        <v>2</v>
      </c>
      <c r="CQ158" s="185" t="s">
        <v>2</v>
      </c>
      <c r="CR158" s="185" t="s">
        <v>2</v>
      </c>
      <c r="CS158" s="185" t="s">
        <v>2</v>
      </c>
      <c r="CT158" s="185" t="s">
        <v>2</v>
      </c>
      <c r="CU158" s="185" t="s">
        <v>2</v>
      </c>
      <c r="CV158" s="185" t="s">
        <v>1</v>
      </c>
      <c r="CW158" s="185" t="s">
        <v>2</v>
      </c>
      <c r="CX158" s="186"/>
      <c r="CY158" s="185">
        <v>20171572020</v>
      </c>
    </row>
    <row r="159" spans="1:103" ht="12.75" x14ac:dyDescent="0.2">
      <c r="A159" s="184">
        <v>43018.529083703703</v>
      </c>
      <c r="B159" s="185" t="s">
        <v>2414</v>
      </c>
      <c r="C159" s="185" t="s">
        <v>2271</v>
      </c>
      <c r="D159" s="185">
        <v>1</v>
      </c>
      <c r="E159" s="185" t="s">
        <v>3</v>
      </c>
      <c r="F159" s="185" t="s">
        <v>1092</v>
      </c>
      <c r="G159" s="185" t="s">
        <v>1092</v>
      </c>
      <c r="H159" s="185" t="s">
        <v>1092</v>
      </c>
      <c r="I159" s="185" t="s">
        <v>3</v>
      </c>
      <c r="J159" s="185" t="s">
        <v>3</v>
      </c>
      <c r="K159" s="185" t="s">
        <v>3</v>
      </c>
      <c r="L159" s="185" t="s">
        <v>3</v>
      </c>
      <c r="M159" s="185" t="s">
        <v>2</v>
      </c>
      <c r="N159" s="185" t="s">
        <v>3</v>
      </c>
      <c r="O159" s="185" t="s">
        <v>3</v>
      </c>
      <c r="P159" s="185" t="s">
        <v>2</v>
      </c>
      <c r="Q159" s="185" t="s">
        <v>3</v>
      </c>
      <c r="R159" s="185" t="s">
        <v>2</v>
      </c>
      <c r="S159" s="185" t="s">
        <v>2</v>
      </c>
      <c r="T159" s="185" t="s">
        <v>2</v>
      </c>
      <c r="U159" s="185" t="s">
        <v>3</v>
      </c>
      <c r="V159" s="185" t="s">
        <v>3</v>
      </c>
      <c r="W159" s="185" t="s">
        <v>3</v>
      </c>
      <c r="X159" s="185" t="s">
        <v>3</v>
      </c>
      <c r="Y159" s="185" t="s">
        <v>3</v>
      </c>
      <c r="Z159" s="185" t="s">
        <v>3</v>
      </c>
      <c r="AA159" s="185" t="s">
        <v>3</v>
      </c>
      <c r="AB159" s="185" t="s">
        <v>3</v>
      </c>
      <c r="AC159" s="185" t="s">
        <v>3</v>
      </c>
      <c r="AD159" s="185" t="s">
        <v>3</v>
      </c>
      <c r="AE159" s="185" t="s">
        <v>2</v>
      </c>
      <c r="AF159" s="185" t="s">
        <v>3</v>
      </c>
      <c r="AG159" s="185" t="s">
        <v>3</v>
      </c>
      <c r="AH159" s="185" t="s">
        <v>2</v>
      </c>
      <c r="AI159" s="185" t="s">
        <v>3</v>
      </c>
      <c r="AJ159" s="185" t="s">
        <v>3</v>
      </c>
      <c r="AK159" s="185" t="s">
        <v>3</v>
      </c>
      <c r="AL159" s="185" t="s">
        <v>3</v>
      </c>
      <c r="AM159" s="185" t="s">
        <v>2</v>
      </c>
      <c r="AN159" s="185" t="s">
        <v>3</v>
      </c>
      <c r="AO159" s="185" t="s">
        <v>3</v>
      </c>
      <c r="AP159" s="185" t="s">
        <v>3</v>
      </c>
      <c r="AQ159" s="185" t="s">
        <v>3</v>
      </c>
      <c r="AR159" s="185" t="s">
        <v>3</v>
      </c>
      <c r="AS159" s="185" t="s">
        <v>3</v>
      </c>
      <c r="AT159" s="185" t="s">
        <v>3</v>
      </c>
      <c r="AU159" s="185" t="s">
        <v>3</v>
      </c>
      <c r="AV159" s="185" t="s">
        <v>3</v>
      </c>
      <c r="AW159" s="185" t="s">
        <v>3</v>
      </c>
      <c r="AX159" s="185" t="s">
        <v>3</v>
      </c>
      <c r="AY159" s="185" t="s">
        <v>3</v>
      </c>
      <c r="AZ159" s="185" t="s">
        <v>3</v>
      </c>
      <c r="BA159" s="185" t="s">
        <v>2</v>
      </c>
      <c r="BB159" s="185" t="s">
        <v>3</v>
      </c>
      <c r="BC159" s="185" t="s">
        <v>2</v>
      </c>
      <c r="BD159" s="185" t="s">
        <v>2</v>
      </c>
      <c r="BE159" s="185" t="s">
        <v>3</v>
      </c>
      <c r="BF159" s="185" t="s">
        <v>3</v>
      </c>
      <c r="BG159" s="185" t="s">
        <v>3</v>
      </c>
      <c r="BH159" s="185" t="s">
        <v>3</v>
      </c>
      <c r="BI159" s="185" t="s">
        <v>3</v>
      </c>
      <c r="BJ159" s="185" t="s">
        <v>3</v>
      </c>
      <c r="BK159" s="185" t="s">
        <v>3</v>
      </c>
      <c r="BL159" s="185" t="s">
        <v>3</v>
      </c>
      <c r="BM159" s="185" t="s">
        <v>1093</v>
      </c>
      <c r="BN159" s="185" t="s">
        <v>2</v>
      </c>
      <c r="BO159" s="185" t="s">
        <v>2</v>
      </c>
      <c r="BP159" s="185" t="s">
        <v>3</v>
      </c>
      <c r="BQ159" s="185" t="s">
        <v>2</v>
      </c>
      <c r="BR159" s="185" t="s">
        <v>2</v>
      </c>
      <c r="BS159" s="185" t="s">
        <v>2</v>
      </c>
      <c r="BT159" s="185" t="s">
        <v>3</v>
      </c>
      <c r="BU159" s="185" t="s">
        <v>2</v>
      </c>
      <c r="BV159" s="185" t="s">
        <v>3</v>
      </c>
      <c r="BW159" s="185" t="s">
        <v>3</v>
      </c>
      <c r="BX159" s="185" t="s">
        <v>3</v>
      </c>
      <c r="BY159" s="185" t="s">
        <v>3</v>
      </c>
      <c r="BZ159" s="185" t="s">
        <v>2</v>
      </c>
      <c r="CA159" s="185" t="s">
        <v>3</v>
      </c>
      <c r="CB159" s="185" t="s">
        <v>3</v>
      </c>
      <c r="CC159" s="185" t="s">
        <v>3</v>
      </c>
      <c r="CD159" s="185" t="s">
        <v>3</v>
      </c>
      <c r="CE159" s="185" t="s">
        <v>1092</v>
      </c>
      <c r="CF159" s="185" t="s">
        <v>3</v>
      </c>
      <c r="CG159" s="185" t="s">
        <v>3</v>
      </c>
      <c r="CH159" s="185" t="s">
        <v>3</v>
      </c>
      <c r="CI159" s="185" t="s">
        <v>3</v>
      </c>
      <c r="CJ159" s="185" t="s">
        <v>3</v>
      </c>
      <c r="CK159" s="185" t="s">
        <v>3</v>
      </c>
      <c r="CL159" s="185" t="s">
        <v>2</v>
      </c>
      <c r="CM159" s="185" t="s">
        <v>1092</v>
      </c>
      <c r="CN159" s="185" t="s">
        <v>3</v>
      </c>
      <c r="CO159" s="185" t="s">
        <v>3</v>
      </c>
      <c r="CP159" s="185" t="s">
        <v>3</v>
      </c>
      <c r="CQ159" s="185" t="s">
        <v>3</v>
      </c>
      <c r="CR159" s="185" t="s">
        <v>3</v>
      </c>
      <c r="CS159" s="185" t="s">
        <v>3</v>
      </c>
      <c r="CT159" s="185" t="s">
        <v>3</v>
      </c>
      <c r="CU159" s="185" t="s">
        <v>2</v>
      </c>
      <c r="CV159" s="185" t="s">
        <v>2</v>
      </c>
      <c r="CW159" s="185" t="s">
        <v>2</v>
      </c>
      <c r="CX159" s="186"/>
      <c r="CY159" s="185">
        <v>20172572070</v>
      </c>
    </row>
    <row r="160" spans="1:103" ht="12.75" x14ac:dyDescent="0.2">
      <c r="A160" s="184">
        <v>43018.529887685188</v>
      </c>
      <c r="B160" s="185" t="s">
        <v>2415</v>
      </c>
      <c r="C160" s="185" t="s">
        <v>2271</v>
      </c>
      <c r="D160" s="185">
        <v>1</v>
      </c>
      <c r="E160" s="185" t="s">
        <v>3</v>
      </c>
      <c r="F160" s="185" t="s">
        <v>1092</v>
      </c>
      <c r="G160" s="185" t="s">
        <v>1092</v>
      </c>
      <c r="H160" s="185" t="s">
        <v>1092</v>
      </c>
      <c r="I160" s="185" t="s">
        <v>2</v>
      </c>
      <c r="J160" s="185" t="s">
        <v>1092</v>
      </c>
      <c r="K160" s="185" t="s">
        <v>1092</v>
      </c>
      <c r="L160" s="185" t="s">
        <v>1092</v>
      </c>
      <c r="M160" s="185" t="s">
        <v>1092</v>
      </c>
      <c r="N160" s="185" t="s">
        <v>1092</v>
      </c>
      <c r="O160" s="185" t="s">
        <v>2</v>
      </c>
      <c r="P160" s="185" t="s">
        <v>2</v>
      </c>
      <c r="Q160" s="185" t="s">
        <v>3</v>
      </c>
      <c r="R160" s="185" t="s">
        <v>1092</v>
      </c>
      <c r="S160" s="185" t="s">
        <v>3</v>
      </c>
      <c r="T160" s="185" t="s">
        <v>3</v>
      </c>
      <c r="U160" s="185" t="s">
        <v>3</v>
      </c>
      <c r="V160" s="185" t="s">
        <v>1092</v>
      </c>
      <c r="W160" s="185" t="s">
        <v>1092</v>
      </c>
      <c r="X160" s="185" t="s">
        <v>1092</v>
      </c>
      <c r="Y160" s="185" t="s">
        <v>1092</v>
      </c>
      <c r="Z160" s="185" t="s">
        <v>1092</v>
      </c>
      <c r="AA160" s="185" t="s">
        <v>1092</v>
      </c>
      <c r="AB160" s="185" t="s">
        <v>1092</v>
      </c>
      <c r="AC160" s="185" t="s">
        <v>1092</v>
      </c>
      <c r="AD160" s="185" t="s">
        <v>3</v>
      </c>
      <c r="AE160" s="185" t="s">
        <v>1092</v>
      </c>
      <c r="AF160" s="185" t="s">
        <v>1092</v>
      </c>
      <c r="AG160" s="185" t="s">
        <v>1092</v>
      </c>
      <c r="AH160" s="185" t="s">
        <v>1093</v>
      </c>
      <c r="AI160" s="185" t="s">
        <v>1092</v>
      </c>
      <c r="AJ160" s="185" t="s">
        <v>2</v>
      </c>
      <c r="AK160" s="185" t="s">
        <v>1092</v>
      </c>
      <c r="AL160" s="185" t="s">
        <v>1092</v>
      </c>
      <c r="AM160" s="185" t="s">
        <v>3</v>
      </c>
      <c r="AN160" s="185" t="s">
        <v>1092</v>
      </c>
      <c r="AO160" s="185" t="s">
        <v>3</v>
      </c>
      <c r="AP160" s="185" t="s">
        <v>1092</v>
      </c>
      <c r="AQ160" s="185" t="s">
        <v>1092</v>
      </c>
      <c r="AR160" s="185" t="s">
        <v>3</v>
      </c>
      <c r="AS160" s="185" t="s">
        <v>1092</v>
      </c>
      <c r="AT160" s="185" t="s">
        <v>1092</v>
      </c>
      <c r="AU160" s="185" t="s">
        <v>2</v>
      </c>
      <c r="AV160" s="185" t="s">
        <v>3</v>
      </c>
      <c r="AW160" s="185" t="s">
        <v>1092</v>
      </c>
      <c r="AX160" s="185" t="s">
        <v>1092</v>
      </c>
      <c r="AY160" s="185" t="s">
        <v>1092</v>
      </c>
      <c r="AZ160" s="185" t="s">
        <v>1092</v>
      </c>
      <c r="BA160" s="185" t="s">
        <v>1092</v>
      </c>
      <c r="BB160" s="185" t="s">
        <v>1092</v>
      </c>
      <c r="BC160" s="185" t="s">
        <v>1092</v>
      </c>
      <c r="BD160" s="185" t="s">
        <v>1</v>
      </c>
      <c r="BE160" s="185" t="s">
        <v>2</v>
      </c>
      <c r="BF160" s="185" t="s">
        <v>1092</v>
      </c>
      <c r="BG160" s="185" t="s">
        <v>1092</v>
      </c>
      <c r="BH160" s="185" t="s">
        <v>1092</v>
      </c>
      <c r="BI160" s="185" t="s">
        <v>1092</v>
      </c>
      <c r="BJ160" s="185" t="s">
        <v>1092</v>
      </c>
      <c r="BK160" s="185" t="s">
        <v>1092</v>
      </c>
      <c r="BL160" s="185" t="s">
        <v>1092</v>
      </c>
      <c r="BM160" s="185" t="s">
        <v>1092</v>
      </c>
      <c r="BN160" s="185" t="s">
        <v>1092</v>
      </c>
      <c r="BO160" s="185" t="s">
        <v>1092</v>
      </c>
      <c r="BP160" s="185" t="s">
        <v>1092</v>
      </c>
      <c r="BQ160" s="185" t="s">
        <v>1092</v>
      </c>
      <c r="BR160" s="185" t="s">
        <v>1092</v>
      </c>
      <c r="BS160" s="185" t="s">
        <v>1092</v>
      </c>
      <c r="BT160" s="185" t="s">
        <v>1092</v>
      </c>
      <c r="BU160" s="185" t="s">
        <v>1092</v>
      </c>
      <c r="BV160" s="185" t="s">
        <v>1092</v>
      </c>
      <c r="BW160" s="185" t="s">
        <v>1092</v>
      </c>
      <c r="BX160" s="185" t="s">
        <v>1092</v>
      </c>
      <c r="BY160" s="185" t="s">
        <v>1092</v>
      </c>
      <c r="BZ160" s="185" t="s">
        <v>1092</v>
      </c>
      <c r="CA160" s="185" t="s">
        <v>1092</v>
      </c>
      <c r="CB160" s="185" t="s">
        <v>1092</v>
      </c>
      <c r="CC160" s="185" t="s">
        <v>1092</v>
      </c>
      <c r="CD160" s="185" t="s">
        <v>1092</v>
      </c>
      <c r="CE160" s="185" t="s">
        <v>1092</v>
      </c>
      <c r="CF160" s="185" t="s">
        <v>1092</v>
      </c>
      <c r="CG160" s="185" t="s">
        <v>1092</v>
      </c>
      <c r="CH160" s="185" t="s">
        <v>1092</v>
      </c>
      <c r="CI160" s="185" t="s">
        <v>1092</v>
      </c>
      <c r="CJ160" s="185" t="s">
        <v>1092</v>
      </c>
      <c r="CK160" s="185" t="s">
        <v>1092</v>
      </c>
      <c r="CL160" s="185" t="s">
        <v>1092</v>
      </c>
      <c r="CM160" s="185" t="s">
        <v>1092</v>
      </c>
      <c r="CN160" s="185" t="s">
        <v>1092</v>
      </c>
      <c r="CO160" s="185" t="s">
        <v>1092</v>
      </c>
      <c r="CP160" s="185" t="s">
        <v>1092</v>
      </c>
      <c r="CQ160" s="185" t="s">
        <v>1092</v>
      </c>
      <c r="CR160" s="185" t="s">
        <v>1092</v>
      </c>
      <c r="CS160" s="185" t="s">
        <v>1092</v>
      </c>
      <c r="CT160" s="185" t="s">
        <v>1092</v>
      </c>
      <c r="CU160" s="185" t="s">
        <v>1092</v>
      </c>
      <c r="CV160" s="185" t="s">
        <v>1092</v>
      </c>
      <c r="CW160" s="185" t="s">
        <v>1092</v>
      </c>
      <c r="CX160" s="186"/>
      <c r="CY160" s="185">
        <v>20172572075</v>
      </c>
    </row>
    <row r="161" spans="1:103" ht="12.75" x14ac:dyDescent="0.2">
      <c r="A161" s="184">
        <v>43018.529952916666</v>
      </c>
      <c r="B161" s="185" t="s">
        <v>2416</v>
      </c>
      <c r="C161" s="185" t="s">
        <v>2237</v>
      </c>
      <c r="D161" s="185">
        <v>1</v>
      </c>
      <c r="E161" s="185" t="s">
        <v>3</v>
      </c>
      <c r="F161" s="185" t="s">
        <v>1092</v>
      </c>
      <c r="G161" s="185" t="s">
        <v>1092</v>
      </c>
      <c r="H161" s="185" t="s">
        <v>3</v>
      </c>
      <c r="I161" s="185" t="s">
        <v>2</v>
      </c>
      <c r="J161" s="185" t="s">
        <v>2</v>
      </c>
      <c r="K161" s="185" t="s">
        <v>3</v>
      </c>
      <c r="L161" s="185" t="s">
        <v>1092</v>
      </c>
      <c r="M161" s="185" t="s">
        <v>1092</v>
      </c>
      <c r="N161" s="185" t="s">
        <v>1092</v>
      </c>
      <c r="O161" s="185" t="s">
        <v>3</v>
      </c>
      <c r="P161" s="185" t="s">
        <v>2</v>
      </c>
      <c r="Q161" s="185" t="s">
        <v>3</v>
      </c>
      <c r="R161" s="185" t="s">
        <v>1092</v>
      </c>
      <c r="S161" s="185" t="s">
        <v>1092</v>
      </c>
      <c r="T161" s="185" t="s">
        <v>3</v>
      </c>
      <c r="U161" s="185" t="s">
        <v>1092</v>
      </c>
      <c r="V161" s="185" t="s">
        <v>3</v>
      </c>
      <c r="W161" s="185" t="s">
        <v>1092</v>
      </c>
      <c r="X161" s="185" t="s">
        <v>1092</v>
      </c>
      <c r="Y161" s="185" t="s">
        <v>1092</v>
      </c>
      <c r="Z161" s="185" t="s">
        <v>1092</v>
      </c>
      <c r="AA161" s="185" t="s">
        <v>3</v>
      </c>
      <c r="AB161" s="185" t="s">
        <v>3</v>
      </c>
      <c r="AC161" s="185" t="s">
        <v>1092</v>
      </c>
      <c r="AD161" s="185" t="s">
        <v>3</v>
      </c>
      <c r="AE161" s="185" t="s">
        <v>3</v>
      </c>
      <c r="AF161" s="185" t="s">
        <v>3</v>
      </c>
      <c r="AG161" s="185" t="s">
        <v>3</v>
      </c>
      <c r="AH161" s="185" t="s">
        <v>5</v>
      </c>
      <c r="AI161" s="185" t="s">
        <v>1092</v>
      </c>
      <c r="AJ161" s="185" t="s">
        <v>3</v>
      </c>
      <c r="AK161" s="185" t="s">
        <v>3</v>
      </c>
      <c r="AL161" s="185" t="s">
        <v>1092</v>
      </c>
      <c r="AM161" s="185" t="s">
        <v>1092</v>
      </c>
      <c r="AN161" s="185" t="s">
        <v>1092</v>
      </c>
      <c r="AO161" s="185" t="s">
        <v>1092</v>
      </c>
      <c r="AP161" s="185" t="s">
        <v>1092</v>
      </c>
      <c r="AQ161" s="185" t="s">
        <v>3</v>
      </c>
      <c r="AR161" s="185" t="s">
        <v>1092</v>
      </c>
      <c r="AS161" s="185" t="s">
        <v>1092</v>
      </c>
      <c r="AT161" s="185" t="s">
        <v>3</v>
      </c>
      <c r="AU161" s="185" t="s">
        <v>1092</v>
      </c>
      <c r="AV161" s="185" t="s">
        <v>1092</v>
      </c>
      <c r="AW161" s="185" t="s">
        <v>1092</v>
      </c>
      <c r="AX161" s="185" t="s">
        <v>1092</v>
      </c>
      <c r="AY161" s="185" t="s">
        <v>3</v>
      </c>
      <c r="AZ161" s="185" t="s">
        <v>1092</v>
      </c>
      <c r="BA161" s="185" t="s">
        <v>3</v>
      </c>
      <c r="BB161" s="185" t="s">
        <v>3</v>
      </c>
      <c r="BC161" s="185" t="s">
        <v>1</v>
      </c>
      <c r="BD161" s="185" t="s">
        <v>1</v>
      </c>
      <c r="BE161" s="185" t="s">
        <v>1092</v>
      </c>
      <c r="BF161" s="185" t="s">
        <v>3</v>
      </c>
      <c r="BG161" s="185" t="s">
        <v>3</v>
      </c>
      <c r="BH161" s="185" t="s">
        <v>3</v>
      </c>
      <c r="BI161" s="185" t="s">
        <v>1092</v>
      </c>
      <c r="BJ161" s="185" t="s">
        <v>1092</v>
      </c>
      <c r="BK161" s="185" t="s">
        <v>1092</v>
      </c>
      <c r="BL161" s="185" t="s">
        <v>1092</v>
      </c>
      <c r="BM161" s="185" t="s">
        <v>1092</v>
      </c>
      <c r="BN161" s="185" t="s">
        <v>1092</v>
      </c>
      <c r="BO161" s="185" t="s">
        <v>1092</v>
      </c>
      <c r="BP161" s="185" t="s">
        <v>3</v>
      </c>
      <c r="BQ161" s="185" t="s">
        <v>1092</v>
      </c>
      <c r="BR161" s="185" t="s">
        <v>1092</v>
      </c>
      <c r="BS161" s="185" t="s">
        <v>3</v>
      </c>
      <c r="BT161" s="185" t="s">
        <v>1092</v>
      </c>
      <c r="BU161" s="185" t="s">
        <v>1092</v>
      </c>
      <c r="BV161" s="185" t="s">
        <v>1092</v>
      </c>
      <c r="BW161" s="185" t="s">
        <v>1092</v>
      </c>
      <c r="BX161" s="185" t="s">
        <v>1092</v>
      </c>
      <c r="BY161" s="185" t="s">
        <v>2</v>
      </c>
      <c r="BZ161" s="185" t="s">
        <v>2</v>
      </c>
      <c r="CA161" s="185" t="s">
        <v>3</v>
      </c>
      <c r="CB161" s="185" t="s">
        <v>1092</v>
      </c>
      <c r="CC161" s="185" t="s">
        <v>1092</v>
      </c>
      <c r="CD161" s="185" t="s">
        <v>1092</v>
      </c>
      <c r="CE161" s="185" t="s">
        <v>1092</v>
      </c>
      <c r="CF161" s="185" t="s">
        <v>1092</v>
      </c>
      <c r="CG161" s="185" t="s">
        <v>1092</v>
      </c>
      <c r="CH161" s="185" t="s">
        <v>1092</v>
      </c>
      <c r="CI161" s="185" t="s">
        <v>1092</v>
      </c>
      <c r="CJ161" s="185" t="s">
        <v>1092</v>
      </c>
      <c r="CK161" s="185" t="s">
        <v>1092</v>
      </c>
      <c r="CL161" s="185" t="s">
        <v>3</v>
      </c>
      <c r="CM161" s="185" t="s">
        <v>1092</v>
      </c>
      <c r="CN161" s="185" t="s">
        <v>1092</v>
      </c>
      <c r="CO161" s="185" t="s">
        <v>1092</v>
      </c>
      <c r="CP161" s="185" t="s">
        <v>1092</v>
      </c>
      <c r="CQ161" s="185" t="s">
        <v>1092</v>
      </c>
      <c r="CR161" s="185" t="s">
        <v>3</v>
      </c>
      <c r="CS161" s="185" t="s">
        <v>1092</v>
      </c>
      <c r="CT161" s="185" t="s">
        <v>1092</v>
      </c>
      <c r="CU161" s="185" t="s">
        <v>1092</v>
      </c>
      <c r="CV161" s="185" t="s">
        <v>3</v>
      </c>
      <c r="CW161" s="185" t="s">
        <v>3</v>
      </c>
      <c r="CX161" s="186"/>
      <c r="CY161" s="185">
        <v>20172572074</v>
      </c>
    </row>
    <row r="162" spans="1:103" ht="12.75" x14ac:dyDescent="0.2">
      <c r="A162" s="184">
        <v>43018.530500243054</v>
      </c>
      <c r="B162" s="185" t="s">
        <v>2417</v>
      </c>
      <c r="C162" s="185" t="s">
        <v>2237</v>
      </c>
      <c r="D162" s="185">
        <v>1</v>
      </c>
      <c r="E162" s="185" t="s">
        <v>3</v>
      </c>
      <c r="F162" s="185" t="s">
        <v>3</v>
      </c>
      <c r="G162" s="185" t="s">
        <v>3</v>
      </c>
      <c r="H162" s="185" t="s">
        <v>1092</v>
      </c>
      <c r="I162" s="185" t="s">
        <v>5</v>
      </c>
      <c r="J162" s="185" t="s">
        <v>3</v>
      </c>
      <c r="K162" s="185" t="s">
        <v>3</v>
      </c>
      <c r="L162" s="185" t="s">
        <v>1</v>
      </c>
      <c r="M162" s="185" t="s">
        <v>3</v>
      </c>
      <c r="N162" s="185" t="s">
        <v>3</v>
      </c>
      <c r="O162" s="185" t="s">
        <v>3</v>
      </c>
      <c r="P162" s="185" t="s">
        <v>5</v>
      </c>
      <c r="Q162" s="185" t="s">
        <v>2</v>
      </c>
      <c r="R162" s="185" t="s">
        <v>3</v>
      </c>
      <c r="S162" s="185" t="s">
        <v>3</v>
      </c>
      <c r="T162" s="185" t="s">
        <v>3</v>
      </c>
      <c r="U162" s="185" t="s">
        <v>3</v>
      </c>
      <c r="V162" s="185" t="s">
        <v>2</v>
      </c>
      <c r="W162" s="185" t="s">
        <v>2</v>
      </c>
      <c r="X162" s="185" t="s">
        <v>3</v>
      </c>
      <c r="Y162" s="185" t="s">
        <v>3</v>
      </c>
      <c r="Z162" s="185" t="s">
        <v>3</v>
      </c>
      <c r="AA162" s="185" t="s">
        <v>3</v>
      </c>
      <c r="AB162" s="185" t="s">
        <v>2</v>
      </c>
      <c r="AC162" s="185" t="s">
        <v>2</v>
      </c>
      <c r="AD162" s="185" t="s">
        <v>5</v>
      </c>
      <c r="AE162" s="185" t="s">
        <v>5</v>
      </c>
      <c r="AF162" s="185" t="s">
        <v>3</v>
      </c>
      <c r="AG162" s="185" t="s">
        <v>1092</v>
      </c>
      <c r="AH162" s="185" t="s">
        <v>3</v>
      </c>
      <c r="AI162" s="185" t="s">
        <v>3</v>
      </c>
      <c r="AJ162" s="185" t="s">
        <v>3</v>
      </c>
      <c r="AK162" s="185" t="s">
        <v>1092</v>
      </c>
      <c r="AL162" s="185" t="s">
        <v>3</v>
      </c>
      <c r="AM162" s="185" t="s">
        <v>2</v>
      </c>
      <c r="AN162" s="185" t="s">
        <v>3</v>
      </c>
      <c r="AO162" s="185" t="s">
        <v>2</v>
      </c>
      <c r="AP162" s="185" t="s">
        <v>1092</v>
      </c>
      <c r="AQ162" s="185" t="s">
        <v>1092</v>
      </c>
      <c r="AR162" s="185" t="s">
        <v>1092</v>
      </c>
      <c r="AS162" s="185" t="s">
        <v>1092</v>
      </c>
      <c r="AT162" s="185" t="s">
        <v>1092</v>
      </c>
      <c r="AU162" s="185" t="s">
        <v>1093</v>
      </c>
      <c r="AV162" s="185" t="s">
        <v>3</v>
      </c>
      <c r="AW162" s="185" t="s">
        <v>1092</v>
      </c>
      <c r="AX162" s="185" t="s">
        <v>2</v>
      </c>
      <c r="AY162" s="185" t="s">
        <v>3</v>
      </c>
      <c r="AZ162" s="185" t="s">
        <v>3</v>
      </c>
      <c r="BA162" s="185" t="s">
        <v>5</v>
      </c>
      <c r="BB162" s="185" t="s">
        <v>5</v>
      </c>
      <c r="BC162" s="185" t="s">
        <v>5</v>
      </c>
      <c r="BD162" s="185" t="s">
        <v>5</v>
      </c>
      <c r="BE162" s="185" t="s">
        <v>3</v>
      </c>
      <c r="BF162" s="185" t="s">
        <v>3</v>
      </c>
      <c r="BG162" s="185" t="s">
        <v>3</v>
      </c>
      <c r="BH162" s="185" t="s">
        <v>3</v>
      </c>
      <c r="BI162" s="185" t="s">
        <v>3</v>
      </c>
      <c r="BJ162" s="185" t="s">
        <v>3</v>
      </c>
      <c r="BK162" s="185" t="s">
        <v>3</v>
      </c>
      <c r="BL162" s="185" t="s">
        <v>3</v>
      </c>
      <c r="BM162" s="185" t="s">
        <v>3</v>
      </c>
      <c r="BN162" s="185" t="s">
        <v>3</v>
      </c>
      <c r="BO162" s="185" t="s">
        <v>3</v>
      </c>
      <c r="BP162" s="185" t="s">
        <v>3</v>
      </c>
      <c r="BQ162" s="185" t="s">
        <v>3</v>
      </c>
      <c r="BR162" s="185" t="s">
        <v>3</v>
      </c>
      <c r="BS162" s="185" t="s">
        <v>3</v>
      </c>
      <c r="BT162" s="185" t="s">
        <v>3</v>
      </c>
      <c r="BU162" s="185" t="s">
        <v>3</v>
      </c>
      <c r="BV162" s="185" t="s">
        <v>3</v>
      </c>
      <c r="BW162" s="185" t="s">
        <v>3</v>
      </c>
      <c r="BX162" s="185" t="s">
        <v>3</v>
      </c>
      <c r="BY162" s="185" t="s">
        <v>3</v>
      </c>
      <c r="BZ162" s="185" t="s">
        <v>5</v>
      </c>
      <c r="CA162" s="185" t="s">
        <v>1092</v>
      </c>
      <c r="CB162" s="185" t="s">
        <v>1092</v>
      </c>
      <c r="CC162" s="185" t="s">
        <v>1092</v>
      </c>
      <c r="CD162" s="185" t="s">
        <v>1092</v>
      </c>
      <c r="CE162" s="185" t="s">
        <v>1092</v>
      </c>
      <c r="CF162" s="185" t="s">
        <v>1092</v>
      </c>
      <c r="CG162" s="185" t="s">
        <v>1092</v>
      </c>
      <c r="CH162" s="185" t="s">
        <v>1092</v>
      </c>
      <c r="CI162" s="185" t="s">
        <v>1092</v>
      </c>
      <c r="CJ162" s="185" t="s">
        <v>1092</v>
      </c>
      <c r="CK162" s="185" t="s">
        <v>1092</v>
      </c>
      <c r="CL162" s="185" t="s">
        <v>3</v>
      </c>
      <c r="CM162" s="185" t="s">
        <v>3</v>
      </c>
      <c r="CN162" s="185" t="s">
        <v>3</v>
      </c>
      <c r="CO162" s="185" t="s">
        <v>3</v>
      </c>
      <c r="CP162" s="185" t="s">
        <v>3</v>
      </c>
      <c r="CQ162" s="185" t="s">
        <v>3</v>
      </c>
      <c r="CR162" s="185" t="s">
        <v>3</v>
      </c>
      <c r="CS162" s="185" t="s">
        <v>3</v>
      </c>
      <c r="CT162" s="185" t="s">
        <v>3</v>
      </c>
      <c r="CU162" s="185" t="s">
        <v>3</v>
      </c>
      <c r="CV162" s="185" t="s">
        <v>3</v>
      </c>
      <c r="CW162" s="185" t="s">
        <v>3</v>
      </c>
      <c r="CX162" s="186"/>
      <c r="CY162" s="185">
        <v>20172572068</v>
      </c>
    </row>
    <row r="163" spans="1:103" ht="12.75" x14ac:dyDescent="0.2">
      <c r="A163" s="184">
        <v>43018.530540949076</v>
      </c>
      <c r="B163" s="185" t="s">
        <v>2418</v>
      </c>
      <c r="C163" s="185" t="s">
        <v>2237</v>
      </c>
      <c r="D163" s="185">
        <v>2</v>
      </c>
      <c r="E163" s="185" t="s">
        <v>1092</v>
      </c>
      <c r="F163" s="185" t="s">
        <v>1092</v>
      </c>
      <c r="G163" s="185" t="s">
        <v>1092</v>
      </c>
      <c r="H163" s="185" t="s">
        <v>5</v>
      </c>
      <c r="I163" s="185" t="s">
        <v>5</v>
      </c>
      <c r="J163" s="185" t="s">
        <v>2</v>
      </c>
      <c r="K163" s="185" t="s">
        <v>2</v>
      </c>
      <c r="L163" s="185" t="s">
        <v>2</v>
      </c>
      <c r="M163" s="185" t="s">
        <v>1092</v>
      </c>
      <c r="N163" s="185" t="s">
        <v>1092</v>
      </c>
      <c r="O163" s="185" t="s">
        <v>2</v>
      </c>
      <c r="P163" s="185" t="s">
        <v>2</v>
      </c>
      <c r="Q163" s="185" t="s">
        <v>5</v>
      </c>
      <c r="R163" s="185" t="s">
        <v>3</v>
      </c>
      <c r="S163" s="185" t="s">
        <v>3</v>
      </c>
      <c r="T163" s="185" t="s">
        <v>3</v>
      </c>
      <c r="U163" s="185" t="s">
        <v>3</v>
      </c>
      <c r="V163" s="185" t="s">
        <v>1092</v>
      </c>
      <c r="W163" s="185" t="s">
        <v>3</v>
      </c>
      <c r="X163" s="185" t="s">
        <v>1092</v>
      </c>
      <c r="Y163" s="185" t="s">
        <v>1092</v>
      </c>
      <c r="Z163" s="185" t="s">
        <v>1092</v>
      </c>
      <c r="AA163" s="185" t="s">
        <v>3</v>
      </c>
      <c r="AB163" s="185" t="s">
        <v>3</v>
      </c>
      <c r="AC163" s="185" t="s">
        <v>1092</v>
      </c>
      <c r="AD163" s="185" t="s">
        <v>3</v>
      </c>
      <c r="AE163" s="185" t="s">
        <v>3</v>
      </c>
      <c r="AF163" s="185" t="s">
        <v>3</v>
      </c>
      <c r="AG163" s="185" t="s">
        <v>1092</v>
      </c>
      <c r="AH163" s="185" t="s">
        <v>1092</v>
      </c>
      <c r="AI163" s="185" t="s">
        <v>3</v>
      </c>
      <c r="AJ163" s="185" t="s">
        <v>3</v>
      </c>
      <c r="AK163" s="185" t="s">
        <v>2</v>
      </c>
      <c r="AL163" s="185" t="s">
        <v>2</v>
      </c>
      <c r="AM163" s="185" t="s">
        <v>3</v>
      </c>
      <c r="AN163" s="185" t="s">
        <v>3</v>
      </c>
      <c r="AO163" s="185" t="s">
        <v>3</v>
      </c>
      <c r="AP163" s="185" t="s">
        <v>1092</v>
      </c>
      <c r="AQ163" s="185" t="s">
        <v>3</v>
      </c>
      <c r="AR163" s="185" t="s">
        <v>1092</v>
      </c>
      <c r="AS163" s="185" t="s">
        <v>1092</v>
      </c>
      <c r="AT163" s="185" t="s">
        <v>1092</v>
      </c>
      <c r="AU163" s="185" t="s">
        <v>2</v>
      </c>
      <c r="AV163" s="185" t="s">
        <v>3</v>
      </c>
      <c r="AW163" s="185" t="s">
        <v>2</v>
      </c>
      <c r="AX163" s="185" t="s">
        <v>3</v>
      </c>
      <c r="AY163" s="185" t="s">
        <v>2</v>
      </c>
      <c r="AZ163" s="185" t="s">
        <v>3</v>
      </c>
      <c r="BA163" s="185" t="s">
        <v>5</v>
      </c>
      <c r="BB163" s="185" t="s">
        <v>5</v>
      </c>
      <c r="BC163" s="185" t="s">
        <v>5</v>
      </c>
      <c r="BD163" s="185" t="s">
        <v>5</v>
      </c>
      <c r="BE163" s="185" t="s">
        <v>5</v>
      </c>
      <c r="BF163" s="185" t="s">
        <v>3</v>
      </c>
      <c r="BG163" s="185" t="s">
        <v>2</v>
      </c>
      <c r="BH163" s="185" t="s">
        <v>2</v>
      </c>
      <c r="BI163" s="185" t="s">
        <v>3</v>
      </c>
      <c r="BJ163" s="185" t="s">
        <v>3</v>
      </c>
      <c r="BK163" s="185" t="s">
        <v>2</v>
      </c>
      <c r="BL163" s="185" t="s">
        <v>3</v>
      </c>
      <c r="BM163" s="185" t="s">
        <v>2</v>
      </c>
      <c r="BN163" s="185" t="s">
        <v>3</v>
      </c>
      <c r="BO163" s="185" t="s">
        <v>2</v>
      </c>
      <c r="BP163" s="185" t="s">
        <v>3</v>
      </c>
      <c r="BQ163" s="185" t="s">
        <v>3</v>
      </c>
      <c r="BR163" s="185" t="s">
        <v>3</v>
      </c>
      <c r="BS163" s="185" t="s">
        <v>3</v>
      </c>
      <c r="BT163" s="185" t="s">
        <v>3</v>
      </c>
      <c r="BU163" s="185" t="s">
        <v>3</v>
      </c>
      <c r="BV163" s="185" t="s">
        <v>2</v>
      </c>
      <c r="BW163" s="185" t="s">
        <v>2</v>
      </c>
      <c r="BX163" s="185" t="s">
        <v>1092</v>
      </c>
      <c r="BY163" s="185" t="s">
        <v>1092</v>
      </c>
      <c r="BZ163" s="185" t="s">
        <v>5</v>
      </c>
      <c r="CA163" s="185" t="s">
        <v>2</v>
      </c>
      <c r="CB163" s="185" t="s">
        <v>3</v>
      </c>
      <c r="CC163" s="185" t="s">
        <v>3</v>
      </c>
      <c r="CD163" s="185" t="s">
        <v>3</v>
      </c>
      <c r="CE163" s="185" t="s">
        <v>1092</v>
      </c>
      <c r="CF163" s="185" t="s">
        <v>1</v>
      </c>
      <c r="CG163" s="185" t="s">
        <v>2</v>
      </c>
      <c r="CH163" s="185" t="s">
        <v>2</v>
      </c>
      <c r="CI163" s="185" t="s">
        <v>3</v>
      </c>
      <c r="CJ163" s="185" t="s">
        <v>3</v>
      </c>
      <c r="CK163" s="185" t="s">
        <v>5</v>
      </c>
      <c r="CL163" s="185" t="s">
        <v>3</v>
      </c>
      <c r="CM163" s="185" t="s">
        <v>3</v>
      </c>
      <c r="CN163" s="185" t="s">
        <v>3</v>
      </c>
      <c r="CO163" s="185" t="s">
        <v>3</v>
      </c>
      <c r="CP163" s="185" t="s">
        <v>3</v>
      </c>
      <c r="CQ163" s="185" t="s">
        <v>5</v>
      </c>
      <c r="CR163" s="185" t="s">
        <v>5</v>
      </c>
      <c r="CS163" s="185" t="s">
        <v>2</v>
      </c>
      <c r="CT163" s="185" t="s">
        <v>2</v>
      </c>
      <c r="CU163" s="185" t="s">
        <v>5</v>
      </c>
      <c r="CV163" s="185" t="s">
        <v>5</v>
      </c>
      <c r="CW163" s="185" t="s">
        <v>5</v>
      </c>
      <c r="CX163" s="186"/>
      <c r="CY163" s="185">
        <v>20171572074</v>
      </c>
    </row>
    <row r="164" spans="1:103" ht="12.75" x14ac:dyDescent="0.2">
      <c r="A164" s="184">
        <v>43018.531555196758</v>
      </c>
      <c r="B164" s="185" t="s">
        <v>2419</v>
      </c>
      <c r="C164" s="185" t="s">
        <v>2235</v>
      </c>
      <c r="D164" s="185">
        <v>1</v>
      </c>
      <c r="E164" s="185" t="s">
        <v>3</v>
      </c>
      <c r="F164" s="185" t="s">
        <v>1092</v>
      </c>
      <c r="G164" s="185" t="s">
        <v>1092</v>
      </c>
      <c r="H164" s="185" t="s">
        <v>1092</v>
      </c>
      <c r="I164" s="185" t="s">
        <v>3</v>
      </c>
      <c r="J164" s="185" t="s">
        <v>2</v>
      </c>
      <c r="K164" s="185" t="s">
        <v>3</v>
      </c>
      <c r="L164" s="185" t="s">
        <v>3</v>
      </c>
      <c r="M164" s="185" t="s">
        <v>3</v>
      </c>
      <c r="N164" s="185" t="s">
        <v>2</v>
      </c>
      <c r="O164" s="185" t="s">
        <v>2</v>
      </c>
      <c r="P164" s="185" t="s">
        <v>1</v>
      </c>
      <c r="Q164" s="185" t="s">
        <v>3</v>
      </c>
      <c r="R164" s="185" t="s">
        <v>3</v>
      </c>
      <c r="S164" s="185" t="s">
        <v>3</v>
      </c>
      <c r="T164" s="185" t="s">
        <v>3</v>
      </c>
      <c r="U164" s="185" t="s">
        <v>3</v>
      </c>
      <c r="V164" s="185" t="s">
        <v>1092</v>
      </c>
      <c r="W164" s="185" t="s">
        <v>3</v>
      </c>
      <c r="X164" s="185" t="s">
        <v>1092</v>
      </c>
      <c r="Y164" s="185" t="s">
        <v>1092</v>
      </c>
      <c r="Z164" s="185" t="s">
        <v>1092</v>
      </c>
      <c r="AA164" s="185" t="s">
        <v>3</v>
      </c>
      <c r="AB164" s="185" t="s">
        <v>1092</v>
      </c>
      <c r="AC164" s="185" t="s">
        <v>1092</v>
      </c>
      <c r="AD164" s="185" t="s">
        <v>1092</v>
      </c>
      <c r="AE164" s="185" t="s">
        <v>3</v>
      </c>
      <c r="AF164" s="185" t="s">
        <v>1092</v>
      </c>
      <c r="AG164" s="185" t="s">
        <v>2</v>
      </c>
      <c r="AH164" s="185" t="s">
        <v>3</v>
      </c>
      <c r="AI164" s="185" t="s">
        <v>3</v>
      </c>
      <c r="AJ164" s="185" t="s">
        <v>3</v>
      </c>
      <c r="AK164" s="185" t="s">
        <v>1092</v>
      </c>
      <c r="AL164" s="185" t="s">
        <v>3</v>
      </c>
      <c r="AM164" s="185" t="s">
        <v>2</v>
      </c>
      <c r="AN164" s="185" t="s">
        <v>3</v>
      </c>
      <c r="AO164" s="185" t="s">
        <v>3</v>
      </c>
      <c r="AP164" s="185" t="s">
        <v>3</v>
      </c>
      <c r="AQ164" s="185" t="s">
        <v>3</v>
      </c>
      <c r="AR164" s="185" t="s">
        <v>3</v>
      </c>
      <c r="AS164" s="185" t="s">
        <v>5</v>
      </c>
      <c r="AT164" s="185" t="s">
        <v>1092</v>
      </c>
      <c r="AU164" s="185" t="s">
        <v>1092</v>
      </c>
      <c r="AV164" s="185" t="s">
        <v>3</v>
      </c>
      <c r="AW164" s="185" t="s">
        <v>2</v>
      </c>
      <c r="AX164" s="185" t="s">
        <v>3</v>
      </c>
      <c r="AY164" s="185" t="s">
        <v>3</v>
      </c>
      <c r="AZ164" s="185" t="s">
        <v>3</v>
      </c>
      <c r="BA164" s="185" t="s">
        <v>2</v>
      </c>
      <c r="BB164" s="185" t="s">
        <v>1092</v>
      </c>
      <c r="BC164" s="185" t="s">
        <v>1</v>
      </c>
      <c r="BD164" s="185" t="s">
        <v>1093</v>
      </c>
      <c r="BE164" s="185" t="s">
        <v>1092</v>
      </c>
      <c r="BF164" s="185" t="s">
        <v>3</v>
      </c>
      <c r="BG164" s="185" t="s">
        <v>3</v>
      </c>
      <c r="BH164" s="185" t="s">
        <v>3</v>
      </c>
      <c r="BI164" s="185" t="s">
        <v>3</v>
      </c>
      <c r="BJ164" s="185" t="s">
        <v>3</v>
      </c>
      <c r="BK164" s="185" t="s">
        <v>3</v>
      </c>
      <c r="BL164" s="185" t="s">
        <v>3</v>
      </c>
      <c r="BM164" s="185" t="s">
        <v>3</v>
      </c>
      <c r="BN164" s="185" t="s">
        <v>3</v>
      </c>
      <c r="BO164" s="185" t="s">
        <v>3</v>
      </c>
      <c r="BP164" s="185" t="s">
        <v>3</v>
      </c>
      <c r="BQ164" s="185" t="s">
        <v>3</v>
      </c>
      <c r="BR164" s="185" t="s">
        <v>1092</v>
      </c>
      <c r="BS164" s="185" t="s">
        <v>3</v>
      </c>
      <c r="BT164" s="185" t="s">
        <v>3</v>
      </c>
      <c r="BU164" s="185" t="s">
        <v>3</v>
      </c>
      <c r="BV164" s="185" t="s">
        <v>3</v>
      </c>
      <c r="BW164" s="185" t="s">
        <v>3</v>
      </c>
      <c r="BX164" s="185" t="s">
        <v>3</v>
      </c>
      <c r="BY164" s="185" t="s">
        <v>3</v>
      </c>
      <c r="BZ164" s="185" t="s">
        <v>2</v>
      </c>
      <c r="CA164" s="185" t="s">
        <v>3</v>
      </c>
      <c r="CB164" s="185" t="s">
        <v>3</v>
      </c>
      <c r="CC164" s="185" t="s">
        <v>3</v>
      </c>
      <c r="CD164" s="185" t="s">
        <v>3</v>
      </c>
      <c r="CE164" s="185" t="s">
        <v>3</v>
      </c>
      <c r="CF164" s="185" t="s">
        <v>2</v>
      </c>
      <c r="CG164" s="185" t="s">
        <v>3</v>
      </c>
      <c r="CH164" s="185" t="s">
        <v>3</v>
      </c>
      <c r="CI164" s="185" t="s">
        <v>3</v>
      </c>
      <c r="CJ164" s="185" t="s">
        <v>3</v>
      </c>
      <c r="CK164" s="185" t="s">
        <v>3</v>
      </c>
      <c r="CL164" s="185" t="s">
        <v>3</v>
      </c>
      <c r="CM164" s="185" t="s">
        <v>3</v>
      </c>
      <c r="CN164" s="185" t="s">
        <v>3</v>
      </c>
      <c r="CO164" s="185" t="s">
        <v>3</v>
      </c>
      <c r="CP164" s="185" t="s">
        <v>3</v>
      </c>
      <c r="CQ164" s="185" t="s">
        <v>1092</v>
      </c>
      <c r="CR164" s="185" t="s">
        <v>3</v>
      </c>
      <c r="CS164" s="185" t="s">
        <v>3</v>
      </c>
      <c r="CT164" s="185" t="s">
        <v>3</v>
      </c>
      <c r="CU164" s="185" t="s">
        <v>3</v>
      </c>
      <c r="CV164" s="185" t="s">
        <v>3</v>
      </c>
      <c r="CW164" s="185" t="s">
        <v>2</v>
      </c>
      <c r="CX164" s="186"/>
      <c r="CY164" s="185">
        <v>20172572077</v>
      </c>
    </row>
    <row r="165" spans="1:103" ht="12.75" x14ac:dyDescent="0.2">
      <c r="A165" s="184">
        <v>43018.532613402778</v>
      </c>
      <c r="B165" s="185" t="s">
        <v>2420</v>
      </c>
      <c r="C165" s="185" t="s">
        <v>2235</v>
      </c>
      <c r="D165" s="185">
        <v>1</v>
      </c>
      <c r="E165" s="185" t="s">
        <v>1092</v>
      </c>
      <c r="F165" s="185" t="s">
        <v>1092</v>
      </c>
      <c r="G165" s="185" t="s">
        <v>1092</v>
      </c>
      <c r="H165" s="185" t="s">
        <v>1092</v>
      </c>
      <c r="I165" s="185" t="s">
        <v>1093</v>
      </c>
      <c r="J165" s="185" t="s">
        <v>1093</v>
      </c>
      <c r="K165" s="185" t="s">
        <v>3</v>
      </c>
      <c r="L165" s="185" t="s">
        <v>5</v>
      </c>
      <c r="M165" s="185" t="s">
        <v>1093</v>
      </c>
      <c r="N165" s="185" t="s">
        <v>3</v>
      </c>
      <c r="O165" s="185" t="s">
        <v>1093</v>
      </c>
      <c r="P165" s="185" t="s">
        <v>2</v>
      </c>
      <c r="Q165" s="185" t="s">
        <v>1</v>
      </c>
      <c r="R165" s="185" t="s">
        <v>2</v>
      </c>
      <c r="S165" s="185" t="s">
        <v>2</v>
      </c>
      <c r="T165" s="185" t="s">
        <v>1</v>
      </c>
      <c r="U165" s="185" t="s">
        <v>1093</v>
      </c>
      <c r="V165" s="185" t="s">
        <v>1092</v>
      </c>
      <c r="W165" s="185" t="s">
        <v>1092</v>
      </c>
      <c r="X165" s="185" t="s">
        <v>1092</v>
      </c>
      <c r="Y165" s="185" t="s">
        <v>1092</v>
      </c>
      <c r="Z165" s="185" t="s">
        <v>1092</v>
      </c>
      <c r="AA165" s="185" t="s">
        <v>1092</v>
      </c>
      <c r="AB165" s="185" t="s">
        <v>1092</v>
      </c>
      <c r="AC165" s="185" t="s">
        <v>1092</v>
      </c>
      <c r="AD165" s="185" t="s">
        <v>5</v>
      </c>
      <c r="AE165" s="185" t="s">
        <v>5</v>
      </c>
      <c r="AF165" s="185" t="s">
        <v>1092</v>
      </c>
      <c r="AG165" s="185" t="s">
        <v>1092</v>
      </c>
      <c r="AH165" s="185" t="s">
        <v>1092</v>
      </c>
      <c r="AI165" s="185" t="s">
        <v>1092</v>
      </c>
      <c r="AJ165" s="185" t="s">
        <v>3</v>
      </c>
      <c r="AK165" s="185" t="s">
        <v>1092</v>
      </c>
      <c r="AL165" s="185" t="s">
        <v>1092</v>
      </c>
      <c r="AM165" s="185" t="s">
        <v>3</v>
      </c>
      <c r="AN165" s="185" t="s">
        <v>1092</v>
      </c>
      <c r="AO165" s="185" t="s">
        <v>1092</v>
      </c>
      <c r="AP165" s="185" t="s">
        <v>1092</v>
      </c>
      <c r="AQ165" s="185" t="s">
        <v>2</v>
      </c>
      <c r="AR165" s="185" t="s">
        <v>1092</v>
      </c>
      <c r="AS165" s="185" t="s">
        <v>1092</v>
      </c>
      <c r="AT165" s="185" t="s">
        <v>1092</v>
      </c>
      <c r="AU165" s="185" t="s">
        <v>2</v>
      </c>
      <c r="AV165" s="185" t="s">
        <v>1092</v>
      </c>
      <c r="AW165" s="185" t="s">
        <v>1092</v>
      </c>
      <c r="AX165" s="185" t="s">
        <v>1092</v>
      </c>
      <c r="AY165" s="185" t="s">
        <v>1092</v>
      </c>
      <c r="AZ165" s="185" t="s">
        <v>2</v>
      </c>
      <c r="BA165" s="185" t="s">
        <v>1093</v>
      </c>
      <c r="BB165" s="185" t="s">
        <v>5</v>
      </c>
      <c r="BC165" s="185" t="s">
        <v>1093</v>
      </c>
      <c r="BD165" s="185" t="s">
        <v>1093</v>
      </c>
      <c r="BE165" s="185" t="s">
        <v>5</v>
      </c>
      <c r="BF165" s="185" t="s">
        <v>1093</v>
      </c>
      <c r="BG165" s="185" t="s">
        <v>3</v>
      </c>
      <c r="BH165" s="185" t="s">
        <v>1093</v>
      </c>
      <c r="BI165" s="185" t="s">
        <v>1093</v>
      </c>
      <c r="BJ165" s="185" t="s">
        <v>3</v>
      </c>
      <c r="BK165" s="185" t="s">
        <v>3</v>
      </c>
      <c r="BL165" s="185" t="s">
        <v>3</v>
      </c>
      <c r="BM165" s="185" t="s">
        <v>1093</v>
      </c>
      <c r="BN165" s="185" t="s">
        <v>3</v>
      </c>
      <c r="BO165" s="185" t="s">
        <v>2</v>
      </c>
      <c r="BP165" s="185" t="s">
        <v>3</v>
      </c>
      <c r="BQ165" s="185" t="s">
        <v>2</v>
      </c>
      <c r="BR165" s="185" t="s">
        <v>2</v>
      </c>
      <c r="BS165" s="185" t="s">
        <v>1</v>
      </c>
      <c r="BT165" s="185" t="s">
        <v>1093</v>
      </c>
      <c r="BU165" s="185" t="s">
        <v>2</v>
      </c>
      <c r="BV165" s="185" t="s">
        <v>2</v>
      </c>
      <c r="BW165" s="185" t="s">
        <v>3</v>
      </c>
      <c r="BX165" s="185" t="s">
        <v>5</v>
      </c>
      <c r="BY165" s="185" t="s">
        <v>3</v>
      </c>
      <c r="BZ165" s="185" t="s">
        <v>1092</v>
      </c>
      <c r="CA165" s="185" t="s">
        <v>2</v>
      </c>
      <c r="CB165" s="185" t="s">
        <v>1093</v>
      </c>
      <c r="CC165" s="185" t="s">
        <v>1</v>
      </c>
      <c r="CD165" s="185" t="s">
        <v>1</v>
      </c>
      <c r="CE165" s="185" t="s">
        <v>1093</v>
      </c>
      <c r="CF165" s="185" t="s">
        <v>3</v>
      </c>
      <c r="CG165" s="185" t="s">
        <v>3</v>
      </c>
      <c r="CH165" s="185" t="s">
        <v>1</v>
      </c>
      <c r="CI165" s="185" t="s">
        <v>2</v>
      </c>
      <c r="CJ165" s="185" t="s">
        <v>2</v>
      </c>
      <c r="CK165" s="185" t="s">
        <v>1</v>
      </c>
      <c r="CL165" s="185" t="s">
        <v>1093</v>
      </c>
      <c r="CM165" s="185" t="s">
        <v>1092</v>
      </c>
      <c r="CN165" s="185" t="s">
        <v>3</v>
      </c>
      <c r="CO165" s="185" t="s">
        <v>3</v>
      </c>
      <c r="CP165" s="185" t="s">
        <v>2</v>
      </c>
      <c r="CQ165" s="185" t="s">
        <v>3</v>
      </c>
      <c r="CR165" s="185" t="s">
        <v>2</v>
      </c>
      <c r="CS165" s="185" t="s">
        <v>3</v>
      </c>
      <c r="CT165" s="185" t="s">
        <v>2</v>
      </c>
      <c r="CU165" s="185" t="s">
        <v>2</v>
      </c>
      <c r="CV165" s="185" t="s">
        <v>2</v>
      </c>
      <c r="CW165" s="185" t="s">
        <v>2</v>
      </c>
      <c r="CX165" s="186"/>
      <c r="CY165" s="185">
        <v>20172572076</v>
      </c>
    </row>
    <row r="166" spans="1:103" ht="12.75" x14ac:dyDescent="0.2">
      <c r="A166" s="184">
        <v>43018.533291030093</v>
      </c>
      <c r="B166" s="185" t="s">
        <v>2386</v>
      </c>
      <c r="C166" s="185" t="s">
        <v>2237</v>
      </c>
      <c r="D166" s="185">
        <v>2</v>
      </c>
      <c r="E166" s="185" t="s">
        <v>3</v>
      </c>
      <c r="F166" s="185" t="s">
        <v>1092</v>
      </c>
      <c r="G166" s="185" t="s">
        <v>1092</v>
      </c>
      <c r="H166" s="185" t="s">
        <v>5</v>
      </c>
      <c r="I166" s="185" t="s">
        <v>5</v>
      </c>
      <c r="J166" s="185" t="s">
        <v>5</v>
      </c>
      <c r="K166" s="185" t="s">
        <v>1092</v>
      </c>
      <c r="L166" s="185" t="s">
        <v>1092</v>
      </c>
      <c r="M166" s="185" t="s">
        <v>3</v>
      </c>
      <c r="N166" s="185" t="s">
        <v>3</v>
      </c>
      <c r="O166" s="185" t="s">
        <v>2</v>
      </c>
      <c r="P166" s="185" t="s">
        <v>3</v>
      </c>
      <c r="Q166" s="185" t="s">
        <v>1</v>
      </c>
      <c r="R166" s="185" t="s">
        <v>1</v>
      </c>
      <c r="S166" s="185" t="s">
        <v>1092</v>
      </c>
      <c r="T166" s="185" t="s">
        <v>3</v>
      </c>
      <c r="U166" s="185" t="s">
        <v>3</v>
      </c>
      <c r="V166" s="185" t="s">
        <v>2</v>
      </c>
      <c r="W166" s="185" t="s">
        <v>3</v>
      </c>
      <c r="X166" s="185" t="s">
        <v>1092</v>
      </c>
      <c r="Y166" s="185" t="s">
        <v>1092</v>
      </c>
      <c r="Z166" s="185" t="s">
        <v>1092</v>
      </c>
      <c r="AA166" s="185" t="s">
        <v>1</v>
      </c>
      <c r="AB166" s="185" t="s">
        <v>1</v>
      </c>
      <c r="AC166" s="185" t="s">
        <v>2</v>
      </c>
      <c r="AD166" s="185" t="s">
        <v>1092</v>
      </c>
      <c r="AE166" s="185" t="s">
        <v>5</v>
      </c>
      <c r="AF166" s="185" t="s">
        <v>1092</v>
      </c>
      <c r="AG166" s="185" t="s">
        <v>5</v>
      </c>
      <c r="AH166" s="185" t="s">
        <v>1092</v>
      </c>
      <c r="AI166" s="185" t="s">
        <v>5</v>
      </c>
      <c r="AJ166" s="185" t="s">
        <v>3</v>
      </c>
      <c r="AK166" s="185" t="s">
        <v>1092</v>
      </c>
      <c r="AL166" s="185" t="s">
        <v>3</v>
      </c>
      <c r="AM166" s="185" t="s">
        <v>3</v>
      </c>
      <c r="AN166" s="185" t="s">
        <v>3</v>
      </c>
      <c r="AO166" s="185" t="s">
        <v>3</v>
      </c>
      <c r="AP166" s="185" t="s">
        <v>1092</v>
      </c>
      <c r="AQ166" s="185" t="s">
        <v>1092</v>
      </c>
      <c r="AR166" s="185" t="s">
        <v>1092</v>
      </c>
      <c r="AS166" s="185" t="s">
        <v>1092</v>
      </c>
      <c r="AT166" s="185" t="s">
        <v>3</v>
      </c>
      <c r="AU166" s="185" t="s">
        <v>2</v>
      </c>
      <c r="AV166" s="185" t="s">
        <v>3</v>
      </c>
      <c r="AW166" s="185" t="s">
        <v>1092</v>
      </c>
      <c r="AX166" s="185" t="s">
        <v>1092</v>
      </c>
      <c r="AY166" s="185" t="s">
        <v>1092</v>
      </c>
      <c r="AZ166" s="185" t="s">
        <v>5</v>
      </c>
      <c r="BA166" s="185" t="s">
        <v>5</v>
      </c>
      <c r="BB166" s="185" t="s">
        <v>5</v>
      </c>
      <c r="BC166" s="185" t="s">
        <v>5</v>
      </c>
      <c r="BD166" s="185" t="s">
        <v>5</v>
      </c>
      <c r="BE166" s="185" t="s">
        <v>5</v>
      </c>
      <c r="BF166" s="185" t="s">
        <v>5</v>
      </c>
      <c r="BG166" s="185" t="s">
        <v>5</v>
      </c>
      <c r="BH166" s="185" t="s">
        <v>5</v>
      </c>
      <c r="BI166" s="185" t="s">
        <v>2</v>
      </c>
      <c r="BJ166" s="185" t="s">
        <v>2</v>
      </c>
      <c r="BK166" s="185" t="s">
        <v>2</v>
      </c>
      <c r="BL166" s="185" t="s">
        <v>1092</v>
      </c>
      <c r="BM166" s="185" t="s">
        <v>3</v>
      </c>
      <c r="BN166" s="185" t="s">
        <v>3</v>
      </c>
      <c r="BO166" s="185" t="s">
        <v>3</v>
      </c>
      <c r="BP166" s="185" t="s">
        <v>1092</v>
      </c>
      <c r="BQ166" s="185" t="s">
        <v>1093</v>
      </c>
      <c r="BR166" s="185" t="s">
        <v>1092</v>
      </c>
      <c r="BS166" s="185" t="s">
        <v>1092</v>
      </c>
      <c r="BT166" s="185" t="s">
        <v>1092</v>
      </c>
      <c r="BU166" s="185" t="s">
        <v>1092</v>
      </c>
      <c r="BV166" s="185" t="s">
        <v>1092</v>
      </c>
      <c r="BW166" s="185" t="s">
        <v>1092</v>
      </c>
      <c r="BX166" s="185" t="s">
        <v>1092</v>
      </c>
      <c r="BY166" s="185" t="s">
        <v>5</v>
      </c>
      <c r="BZ166" s="185" t="s">
        <v>1093</v>
      </c>
      <c r="CA166" s="185" t="s">
        <v>5</v>
      </c>
      <c r="CB166" s="185" t="s">
        <v>5</v>
      </c>
      <c r="CC166" s="185" t="s">
        <v>5</v>
      </c>
      <c r="CD166" s="185" t="s">
        <v>5</v>
      </c>
      <c r="CE166" s="185" t="s">
        <v>1092</v>
      </c>
      <c r="CF166" s="185" t="s">
        <v>2</v>
      </c>
      <c r="CG166" s="185" t="s">
        <v>2</v>
      </c>
      <c r="CH166" s="185" t="s">
        <v>1092</v>
      </c>
      <c r="CI166" s="185" t="s">
        <v>5</v>
      </c>
      <c r="CJ166" s="185" t="s">
        <v>3</v>
      </c>
      <c r="CK166" s="185" t="s">
        <v>1092</v>
      </c>
      <c r="CL166" s="185" t="s">
        <v>5</v>
      </c>
      <c r="CM166" s="185" t="s">
        <v>5</v>
      </c>
      <c r="CN166" s="185" t="s">
        <v>5</v>
      </c>
      <c r="CO166" s="185" t="s">
        <v>3</v>
      </c>
      <c r="CP166" s="185" t="s">
        <v>1092</v>
      </c>
      <c r="CQ166" s="185" t="s">
        <v>1092</v>
      </c>
      <c r="CR166" s="185" t="s">
        <v>1092</v>
      </c>
      <c r="CS166" s="185" t="s">
        <v>1092</v>
      </c>
      <c r="CT166" s="185" t="s">
        <v>1092</v>
      </c>
      <c r="CU166" s="185" t="s">
        <v>1092</v>
      </c>
      <c r="CV166" s="185" t="s">
        <v>1092</v>
      </c>
      <c r="CW166" s="185" t="s">
        <v>1092</v>
      </c>
      <c r="CX166" s="185" t="s">
        <v>2421</v>
      </c>
      <c r="CY166" s="185">
        <v>20171572008</v>
      </c>
    </row>
    <row r="167" spans="1:103" ht="12.75" x14ac:dyDescent="0.2">
      <c r="A167" s="184">
        <v>43018.534138900461</v>
      </c>
      <c r="B167" s="185" t="s">
        <v>2422</v>
      </c>
      <c r="C167" s="185" t="s">
        <v>2237</v>
      </c>
      <c r="D167" s="185">
        <v>1</v>
      </c>
      <c r="E167" s="185" t="s">
        <v>3</v>
      </c>
      <c r="F167" s="185" t="s">
        <v>3</v>
      </c>
      <c r="G167" s="185" t="s">
        <v>1092</v>
      </c>
      <c r="H167" s="185" t="s">
        <v>1092</v>
      </c>
      <c r="I167" s="185" t="s">
        <v>1</v>
      </c>
      <c r="J167" s="185" t="s">
        <v>3</v>
      </c>
      <c r="K167" s="185" t="s">
        <v>3</v>
      </c>
      <c r="L167" s="185" t="s">
        <v>1092</v>
      </c>
      <c r="M167" s="185" t="s">
        <v>1092</v>
      </c>
      <c r="N167" s="185" t="s">
        <v>3</v>
      </c>
      <c r="O167" s="185" t="s">
        <v>2</v>
      </c>
      <c r="P167" s="185" t="s">
        <v>1093</v>
      </c>
      <c r="Q167" s="185" t="s">
        <v>1093</v>
      </c>
      <c r="R167" s="185" t="s">
        <v>2</v>
      </c>
      <c r="S167" s="185" t="s">
        <v>1092</v>
      </c>
      <c r="T167" s="185" t="s">
        <v>1092</v>
      </c>
      <c r="U167" s="185" t="s">
        <v>1092</v>
      </c>
      <c r="V167" s="185" t="s">
        <v>1092</v>
      </c>
      <c r="W167" s="185" t="s">
        <v>1092</v>
      </c>
      <c r="X167" s="185" t="s">
        <v>1092</v>
      </c>
      <c r="Y167" s="185" t="s">
        <v>1092</v>
      </c>
      <c r="Z167" s="185" t="s">
        <v>1092</v>
      </c>
      <c r="AA167" s="185" t="s">
        <v>3</v>
      </c>
      <c r="AB167" s="185" t="s">
        <v>3</v>
      </c>
      <c r="AC167" s="185" t="s">
        <v>3</v>
      </c>
      <c r="AD167" s="185" t="s">
        <v>2</v>
      </c>
      <c r="AE167" s="185" t="s">
        <v>3</v>
      </c>
      <c r="AF167" s="185" t="s">
        <v>3</v>
      </c>
      <c r="AG167" s="185" t="s">
        <v>1092</v>
      </c>
      <c r="AH167" s="185" t="s">
        <v>1092</v>
      </c>
      <c r="AI167" s="185" t="s">
        <v>1092</v>
      </c>
      <c r="AJ167" s="185" t="s">
        <v>3</v>
      </c>
      <c r="AK167" s="185" t="s">
        <v>1092</v>
      </c>
      <c r="AL167" s="185" t="s">
        <v>1092</v>
      </c>
      <c r="AM167" s="185" t="s">
        <v>2</v>
      </c>
      <c r="AN167" s="185" t="s">
        <v>1092</v>
      </c>
      <c r="AO167" s="185" t="s">
        <v>3</v>
      </c>
      <c r="AP167" s="185" t="s">
        <v>1092</v>
      </c>
      <c r="AQ167" s="185" t="s">
        <v>1092</v>
      </c>
      <c r="AR167" s="185" t="s">
        <v>1092</v>
      </c>
      <c r="AS167" s="185" t="s">
        <v>1092</v>
      </c>
      <c r="AT167" s="185" t="s">
        <v>2</v>
      </c>
      <c r="AU167" s="185" t="s">
        <v>1092</v>
      </c>
      <c r="AV167" s="185" t="s">
        <v>3</v>
      </c>
      <c r="AW167" s="185" t="s">
        <v>1092</v>
      </c>
      <c r="AX167" s="185" t="s">
        <v>3</v>
      </c>
      <c r="AY167" s="185" t="s">
        <v>3</v>
      </c>
      <c r="AZ167" s="185" t="s">
        <v>1093</v>
      </c>
      <c r="BA167" s="185" t="s">
        <v>1093</v>
      </c>
      <c r="BB167" s="185" t="s">
        <v>2</v>
      </c>
      <c r="BC167" s="185" t="s">
        <v>1093</v>
      </c>
      <c r="BD167" s="185" t="s">
        <v>1093</v>
      </c>
      <c r="BE167" s="185" t="s">
        <v>1092</v>
      </c>
      <c r="BF167" s="185" t="s">
        <v>3</v>
      </c>
      <c r="BG167" s="185" t="s">
        <v>3</v>
      </c>
      <c r="BH167" s="185" t="s">
        <v>3</v>
      </c>
      <c r="BI167" s="185" t="s">
        <v>1092</v>
      </c>
      <c r="BJ167" s="185" t="s">
        <v>1092</v>
      </c>
      <c r="BK167" s="185" t="s">
        <v>1092</v>
      </c>
      <c r="BL167" s="185" t="s">
        <v>1092</v>
      </c>
      <c r="BM167" s="185" t="s">
        <v>1092</v>
      </c>
      <c r="BN167" s="185" t="s">
        <v>3</v>
      </c>
      <c r="BO167" s="185" t="s">
        <v>1092</v>
      </c>
      <c r="BP167" s="185" t="s">
        <v>1092</v>
      </c>
      <c r="BQ167" s="185" t="s">
        <v>5</v>
      </c>
      <c r="BR167" s="185" t="s">
        <v>1092</v>
      </c>
      <c r="BS167" s="185" t="s">
        <v>1092</v>
      </c>
      <c r="BT167" s="185" t="s">
        <v>1092</v>
      </c>
      <c r="BU167" s="185" t="s">
        <v>1092</v>
      </c>
      <c r="BV167" s="185" t="s">
        <v>1092</v>
      </c>
      <c r="BW167" s="185" t="s">
        <v>3</v>
      </c>
      <c r="BX167" s="185" t="s">
        <v>1092</v>
      </c>
      <c r="BY167" s="185" t="s">
        <v>1092</v>
      </c>
      <c r="BZ167" s="185" t="s">
        <v>1093</v>
      </c>
      <c r="CA167" s="185" t="s">
        <v>1</v>
      </c>
      <c r="CB167" s="185" t="s">
        <v>5</v>
      </c>
      <c r="CC167" s="185" t="s">
        <v>5</v>
      </c>
      <c r="CD167" s="185" t="s">
        <v>5</v>
      </c>
      <c r="CE167" s="185" t="s">
        <v>1092</v>
      </c>
      <c r="CF167" s="185" t="s">
        <v>1092</v>
      </c>
      <c r="CG167" s="185" t="s">
        <v>1092</v>
      </c>
      <c r="CH167" s="185" t="s">
        <v>5</v>
      </c>
      <c r="CI167" s="185" t="s">
        <v>3</v>
      </c>
      <c r="CJ167" s="185" t="s">
        <v>3</v>
      </c>
      <c r="CK167" s="185" t="s">
        <v>3</v>
      </c>
      <c r="CL167" s="185" t="s">
        <v>1092</v>
      </c>
      <c r="CM167" s="185" t="s">
        <v>5</v>
      </c>
      <c r="CN167" s="185" t="s">
        <v>3</v>
      </c>
      <c r="CO167" s="185" t="s">
        <v>5</v>
      </c>
      <c r="CP167" s="185" t="s">
        <v>1092</v>
      </c>
      <c r="CQ167" s="185" t="s">
        <v>5</v>
      </c>
      <c r="CR167" s="185" t="s">
        <v>3</v>
      </c>
      <c r="CS167" s="185" t="s">
        <v>3</v>
      </c>
      <c r="CT167" s="185" t="s">
        <v>5</v>
      </c>
      <c r="CU167" s="185" t="s">
        <v>5</v>
      </c>
      <c r="CV167" s="185" t="s">
        <v>5</v>
      </c>
      <c r="CW167" s="185" t="s">
        <v>5</v>
      </c>
      <c r="CX167" s="186"/>
      <c r="CY167" s="185">
        <v>20172572069</v>
      </c>
    </row>
    <row r="168" spans="1:103" ht="12.75" x14ac:dyDescent="0.2">
      <c r="A168" s="184">
        <v>43018.540651909723</v>
      </c>
      <c r="B168" s="185" t="s">
        <v>2423</v>
      </c>
      <c r="C168" s="185" t="s">
        <v>2237</v>
      </c>
      <c r="D168" s="185">
        <v>3</v>
      </c>
      <c r="E168" s="185" t="s">
        <v>3</v>
      </c>
      <c r="F168" s="185" t="s">
        <v>2</v>
      </c>
      <c r="G168" s="185" t="s">
        <v>1092</v>
      </c>
      <c r="H168" s="185" t="s">
        <v>1092</v>
      </c>
      <c r="I168" s="185" t="s">
        <v>2</v>
      </c>
      <c r="J168" s="185" t="s">
        <v>2</v>
      </c>
      <c r="K168" s="185" t="s">
        <v>2</v>
      </c>
      <c r="L168" s="185" t="s">
        <v>1092</v>
      </c>
      <c r="M168" s="185" t="s">
        <v>1093</v>
      </c>
      <c r="N168" s="185" t="s">
        <v>3</v>
      </c>
      <c r="O168" s="185" t="s">
        <v>1093</v>
      </c>
      <c r="P168" s="185" t="s">
        <v>1093</v>
      </c>
      <c r="Q168" s="185" t="s">
        <v>5</v>
      </c>
      <c r="R168" s="185" t="s">
        <v>2</v>
      </c>
      <c r="S168" s="185" t="s">
        <v>3</v>
      </c>
      <c r="T168" s="185" t="s">
        <v>1092</v>
      </c>
      <c r="U168" s="185" t="s">
        <v>3</v>
      </c>
      <c r="V168" s="185" t="s">
        <v>3</v>
      </c>
      <c r="W168" s="185" t="s">
        <v>3</v>
      </c>
      <c r="X168" s="185" t="s">
        <v>3</v>
      </c>
      <c r="Y168" s="185" t="s">
        <v>1</v>
      </c>
      <c r="Z168" s="185" t="s">
        <v>3</v>
      </c>
      <c r="AA168" s="185" t="s">
        <v>3</v>
      </c>
      <c r="AB168" s="185" t="s">
        <v>2</v>
      </c>
      <c r="AC168" s="185" t="s">
        <v>1092</v>
      </c>
      <c r="AD168" s="185" t="s">
        <v>3</v>
      </c>
      <c r="AE168" s="185" t="s">
        <v>1092</v>
      </c>
      <c r="AF168" s="185" t="s">
        <v>1092</v>
      </c>
      <c r="AG168" s="185" t="s">
        <v>1092</v>
      </c>
      <c r="AH168" s="185" t="s">
        <v>1092</v>
      </c>
      <c r="AI168" s="185" t="s">
        <v>5</v>
      </c>
      <c r="AJ168" s="185" t="s">
        <v>3</v>
      </c>
      <c r="AK168" s="185" t="s">
        <v>3</v>
      </c>
      <c r="AL168" s="185" t="s">
        <v>2</v>
      </c>
      <c r="AM168" s="185" t="s">
        <v>2</v>
      </c>
      <c r="AN168" s="185" t="s">
        <v>3</v>
      </c>
      <c r="AO168" s="185" t="s">
        <v>2</v>
      </c>
      <c r="AP168" s="185" t="s">
        <v>3</v>
      </c>
      <c r="AQ168" s="185" t="s">
        <v>1092</v>
      </c>
      <c r="AR168" s="185" t="s">
        <v>1092</v>
      </c>
      <c r="AS168" s="185" t="s">
        <v>1092</v>
      </c>
      <c r="AT168" s="185" t="s">
        <v>1092</v>
      </c>
      <c r="AU168" s="185" t="s">
        <v>1092</v>
      </c>
      <c r="AV168" s="185" t="s">
        <v>1092</v>
      </c>
      <c r="AW168" s="185" t="s">
        <v>1092</v>
      </c>
      <c r="AX168" s="185" t="s">
        <v>1092</v>
      </c>
      <c r="AY168" s="185" t="s">
        <v>3</v>
      </c>
      <c r="AZ168" s="185" t="s">
        <v>1093</v>
      </c>
      <c r="BA168" s="185" t="s">
        <v>1093</v>
      </c>
      <c r="BB168" s="185" t="s">
        <v>1093</v>
      </c>
      <c r="BC168" s="185" t="s">
        <v>1093</v>
      </c>
      <c r="BD168" s="185" t="s">
        <v>1093</v>
      </c>
      <c r="BE168" s="185" t="s">
        <v>1092</v>
      </c>
      <c r="BF168" s="185" t="s">
        <v>2</v>
      </c>
      <c r="BG168" s="185" t="s">
        <v>2</v>
      </c>
      <c r="BH168" s="185" t="s">
        <v>2</v>
      </c>
      <c r="BI168" s="185" t="s">
        <v>1092</v>
      </c>
      <c r="BJ168" s="185" t="s">
        <v>2</v>
      </c>
      <c r="BK168" s="185" t="s">
        <v>3</v>
      </c>
      <c r="BL168" s="185" t="s">
        <v>1092</v>
      </c>
      <c r="BM168" s="185" t="s">
        <v>1093</v>
      </c>
      <c r="BN168" s="185" t="s">
        <v>2</v>
      </c>
      <c r="BO168" s="185" t="s">
        <v>1092</v>
      </c>
      <c r="BP168" s="185" t="s">
        <v>2</v>
      </c>
      <c r="BQ168" s="185" t="s">
        <v>2</v>
      </c>
      <c r="BR168" s="185" t="s">
        <v>2</v>
      </c>
      <c r="BS168" s="185" t="s">
        <v>1092</v>
      </c>
      <c r="BT168" s="185" t="s">
        <v>2</v>
      </c>
      <c r="BU168" s="185" t="s">
        <v>2</v>
      </c>
      <c r="BV168" s="185" t="s">
        <v>2</v>
      </c>
      <c r="BW168" s="185" t="s">
        <v>2</v>
      </c>
      <c r="BX168" s="185" t="s">
        <v>1092</v>
      </c>
      <c r="BY168" s="185" t="s">
        <v>2</v>
      </c>
      <c r="BZ168" s="185" t="s">
        <v>1093</v>
      </c>
      <c r="CA168" s="185" t="s">
        <v>1092</v>
      </c>
      <c r="CB168" s="185" t="s">
        <v>2</v>
      </c>
      <c r="CC168" s="185" t="s">
        <v>2</v>
      </c>
      <c r="CD168" s="185" t="s">
        <v>1092</v>
      </c>
      <c r="CE168" s="185" t="s">
        <v>1092</v>
      </c>
      <c r="CF168" s="185" t="s">
        <v>1093</v>
      </c>
      <c r="CG168" s="185" t="s">
        <v>2</v>
      </c>
      <c r="CH168" s="185" t="s">
        <v>1093</v>
      </c>
      <c r="CI168" s="185" t="s">
        <v>1093</v>
      </c>
      <c r="CJ168" s="185" t="s">
        <v>3</v>
      </c>
      <c r="CK168" s="185" t="s">
        <v>3</v>
      </c>
      <c r="CL168" s="185" t="s">
        <v>1093</v>
      </c>
      <c r="CM168" s="185" t="s">
        <v>2</v>
      </c>
      <c r="CN168" s="185" t="s">
        <v>2</v>
      </c>
      <c r="CO168" s="185" t="s">
        <v>3</v>
      </c>
      <c r="CP168" s="185" t="s">
        <v>2</v>
      </c>
      <c r="CQ168" s="185" t="s">
        <v>2</v>
      </c>
      <c r="CR168" s="185" t="s">
        <v>2</v>
      </c>
      <c r="CS168" s="185" t="s">
        <v>2</v>
      </c>
      <c r="CT168" s="185" t="s">
        <v>2</v>
      </c>
      <c r="CU168" s="185" t="s">
        <v>2</v>
      </c>
      <c r="CV168" s="185" t="s">
        <v>2</v>
      </c>
      <c r="CW168" s="185" t="s">
        <v>1092</v>
      </c>
      <c r="CX168" s="186"/>
      <c r="CY168" s="185">
        <v>20162572485</v>
      </c>
    </row>
    <row r="169" spans="1:103" ht="12.75" x14ac:dyDescent="0.2">
      <c r="A169" s="163"/>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Y169" s="162"/>
    </row>
    <row r="170" spans="1:103" ht="12.75" x14ac:dyDescent="0.2">
      <c r="A170" s="163"/>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Y170" s="162"/>
    </row>
    <row r="171" spans="1:103" ht="12.75" x14ac:dyDescent="0.2">
      <c r="A171" s="163"/>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Y171" s="162"/>
    </row>
    <row r="172" spans="1:103" ht="12.75" x14ac:dyDescent="0.2">
      <c r="A172" s="163"/>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Y172" s="162"/>
    </row>
    <row r="173" spans="1:103" ht="12.75" x14ac:dyDescent="0.2">
      <c r="A173" s="163"/>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Y173" s="162"/>
    </row>
    <row r="174" spans="1:103" ht="12.75" x14ac:dyDescent="0.2">
      <c r="A174" s="163"/>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Y174" s="162"/>
    </row>
    <row r="175" spans="1:103" ht="12.75" x14ac:dyDescent="0.2">
      <c r="A175" s="163"/>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Y175" s="162"/>
    </row>
    <row r="176" spans="1:103" ht="12.75" x14ac:dyDescent="0.2">
      <c r="A176" s="163"/>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Y176" s="162"/>
    </row>
    <row r="177" spans="1:103" ht="12.75" x14ac:dyDescent="0.2">
      <c r="A177" s="163"/>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Y177" s="162"/>
    </row>
    <row r="178" spans="1:103" ht="12.75" x14ac:dyDescent="0.2">
      <c r="A178" s="163"/>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Y178" s="162"/>
    </row>
    <row r="179" spans="1:103" ht="12.75" x14ac:dyDescent="0.2">
      <c r="A179" s="163"/>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Y179" s="162"/>
    </row>
    <row r="180" spans="1:103" ht="12.75" x14ac:dyDescent="0.2">
      <c r="A180" s="163"/>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row>
    <row r="181" spans="1:103" ht="12.75" x14ac:dyDescent="0.2">
      <c r="A181" s="163"/>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Y181" s="162"/>
    </row>
    <row r="182" spans="1:103" ht="12.75" x14ac:dyDescent="0.2">
      <c r="A182" s="163"/>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Y182" s="162"/>
    </row>
    <row r="183" spans="1:103" ht="12.75" x14ac:dyDescent="0.2">
      <c r="A183" s="163"/>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Y183" s="162"/>
    </row>
    <row r="184" spans="1:103" ht="12.75" x14ac:dyDescent="0.2">
      <c r="A184" s="163"/>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Y184" s="162"/>
    </row>
    <row r="185" spans="1:103" ht="12.75" x14ac:dyDescent="0.2">
      <c r="A185" s="163"/>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row>
    <row r="186" spans="1:103" ht="12.75" x14ac:dyDescent="0.2">
      <c r="A186" s="163"/>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Y186" s="162"/>
    </row>
    <row r="187" spans="1:103" ht="12.75" x14ac:dyDescent="0.2">
      <c r="A187" s="163"/>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Y187" s="162"/>
    </row>
    <row r="188" spans="1:103" ht="12.75" x14ac:dyDescent="0.2">
      <c r="A188" s="163"/>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Y188" s="162"/>
    </row>
    <row r="189" spans="1:103" ht="12.75" x14ac:dyDescent="0.2">
      <c r="A189" s="163"/>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Y189" s="162"/>
    </row>
    <row r="190" spans="1:103" ht="12.75" x14ac:dyDescent="0.2">
      <c r="A190" s="163"/>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Y190" s="162"/>
    </row>
    <row r="191" spans="1:103" ht="12.75" x14ac:dyDescent="0.2">
      <c r="A191" s="163"/>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Y191" s="162"/>
    </row>
    <row r="192" spans="1:103" ht="12.75" x14ac:dyDescent="0.2">
      <c r="A192" s="163"/>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Y192" s="162"/>
    </row>
    <row r="193" spans="1:103" ht="12.75" x14ac:dyDescent="0.2">
      <c r="A193" s="163"/>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Y193" s="162"/>
    </row>
    <row r="194" spans="1:103" ht="12.75" x14ac:dyDescent="0.2">
      <c r="A194" s="163"/>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Y194" s="162"/>
    </row>
    <row r="195" spans="1:103" ht="12.75" x14ac:dyDescent="0.2">
      <c r="A195" s="163"/>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Y195" s="162"/>
    </row>
    <row r="196" spans="1:103" ht="12.75" x14ac:dyDescent="0.2">
      <c r="A196" s="163"/>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Y196" s="162"/>
    </row>
    <row r="197" spans="1:103" ht="12.75" x14ac:dyDescent="0.2">
      <c r="A197" s="163"/>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Y197" s="162"/>
    </row>
    <row r="198" spans="1:103" ht="12.75" x14ac:dyDescent="0.2">
      <c r="A198" s="163"/>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Y198" s="162"/>
    </row>
    <row r="199" spans="1:103" ht="12.75" x14ac:dyDescent="0.2">
      <c r="A199" s="163"/>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Y199" s="162"/>
    </row>
    <row r="200" spans="1:103" ht="12.75" x14ac:dyDescent="0.2">
      <c r="A200" s="163"/>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Y200" s="162"/>
    </row>
    <row r="201" spans="1:103" ht="12.75" x14ac:dyDescent="0.2">
      <c r="A201" s="163"/>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Y201" s="162"/>
    </row>
    <row r="202" spans="1:103" ht="12.75" x14ac:dyDescent="0.2">
      <c r="A202" s="163"/>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Y202" s="162"/>
    </row>
    <row r="203" spans="1:103" ht="12.75" x14ac:dyDescent="0.2">
      <c r="A203" s="163"/>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Y203" s="162"/>
    </row>
    <row r="204" spans="1:103" ht="12.75" x14ac:dyDescent="0.2">
      <c r="A204" s="163"/>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Y204" s="162"/>
    </row>
    <row r="205" spans="1:103" ht="12.75" x14ac:dyDescent="0.2">
      <c r="A205" s="163"/>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Y205" s="162"/>
    </row>
    <row r="206" spans="1:103" ht="12.75" x14ac:dyDescent="0.2">
      <c r="A206" s="163"/>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Y206" s="162"/>
    </row>
    <row r="207" spans="1:103" ht="12.75" x14ac:dyDescent="0.2">
      <c r="A207" s="163"/>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Y207" s="162"/>
    </row>
    <row r="208" spans="1:103" ht="12.75" x14ac:dyDescent="0.2">
      <c r="A208" s="163"/>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row>
    <row r="209" spans="1:103" ht="12.75" x14ac:dyDescent="0.2">
      <c r="A209" s="163"/>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Y209" s="162"/>
    </row>
    <row r="210" spans="1:103" ht="12.75" x14ac:dyDescent="0.2">
      <c r="A210" s="163"/>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row>
    <row r="211" spans="1:103" ht="12.75" x14ac:dyDescent="0.2">
      <c r="A211" s="163"/>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Y211" s="162"/>
    </row>
    <row r="212" spans="1:103" ht="12.75" x14ac:dyDescent="0.2">
      <c r="A212" s="163"/>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row>
    <row r="213" spans="1:103" ht="12.75" x14ac:dyDescent="0.2">
      <c r="A213" s="163"/>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Y213" s="162"/>
    </row>
    <row r="214" spans="1:103" ht="12.75" x14ac:dyDescent="0.2">
      <c r="A214" s="163"/>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Y214" s="162"/>
    </row>
    <row r="215" spans="1:103" ht="12.75" x14ac:dyDescent="0.2">
      <c r="A215" s="163"/>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Y215" s="162"/>
    </row>
  </sheetData>
  <autoFilter ref="A1:CZ21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94"/>
  <sheetViews>
    <sheetView topLeftCell="A358" zoomScale="85" zoomScaleNormal="85" zoomScalePageLayoutView="85" workbookViewId="0">
      <selection activeCell="G389" sqref="B389:G389"/>
    </sheetView>
  </sheetViews>
  <sheetFormatPr baseColWidth="10" defaultColWidth="11.42578125" defaultRowHeight="12.75" x14ac:dyDescent="0.2"/>
  <cols>
    <col min="1" max="1" width="19.7109375" style="161" customWidth="1"/>
    <col min="2" max="2" width="29.7109375" style="161" customWidth="1"/>
    <col min="3" max="3" width="13.85546875" style="161" customWidth="1"/>
    <col min="4" max="4" width="25.28515625" style="161" customWidth="1"/>
    <col min="5" max="5" width="11" style="161" customWidth="1"/>
    <col min="6" max="6" width="25.140625" style="161" customWidth="1"/>
    <col min="7" max="7" width="35.42578125" style="161" customWidth="1"/>
    <col min="8" max="8" width="11" style="161" customWidth="1"/>
    <col min="9" max="9" width="12.42578125" style="161" bestFit="1" customWidth="1"/>
    <col min="10" max="10" width="3.42578125" style="161" customWidth="1"/>
    <col min="11" max="16384" width="11.42578125" style="161"/>
  </cols>
  <sheetData>
    <row r="2" spans="1:9" ht="15" x14ac:dyDescent="0.25">
      <c r="A2"/>
      <c r="B2" s="164" t="s">
        <v>2816</v>
      </c>
      <c r="C2"/>
      <c r="D2"/>
      <c r="E2"/>
      <c r="F2"/>
      <c r="G2"/>
      <c r="H2"/>
      <c r="I2"/>
    </row>
    <row r="3" spans="1:9" ht="15" x14ac:dyDescent="0.25">
      <c r="A3"/>
      <c r="B3" t="s">
        <v>1093</v>
      </c>
      <c r="C3" t="s">
        <v>1</v>
      </c>
      <c r="D3" t="s">
        <v>2</v>
      </c>
      <c r="E3" t="s">
        <v>3</v>
      </c>
      <c r="F3" t="s">
        <v>1092</v>
      </c>
      <c r="G3" t="s">
        <v>5</v>
      </c>
      <c r="H3" t="s">
        <v>1358</v>
      </c>
      <c r="I3" t="s">
        <v>1096</v>
      </c>
    </row>
    <row r="4" spans="1:9" ht="75" x14ac:dyDescent="0.25">
      <c r="A4" s="166" t="s">
        <v>1095</v>
      </c>
      <c r="B4" s="165">
        <v>3</v>
      </c>
      <c r="C4" s="165">
        <v>6</v>
      </c>
      <c r="D4" s="165">
        <v>42</v>
      </c>
      <c r="E4" s="165">
        <v>67</v>
      </c>
      <c r="F4" s="165">
        <v>46</v>
      </c>
      <c r="G4" s="165">
        <v>3</v>
      </c>
      <c r="H4" s="165"/>
      <c r="I4" s="165">
        <v>167</v>
      </c>
    </row>
    <row r="5" spans="1:9" ht="15" x14ac:dyDescent="0.25">
      <c r="A5"/>
      <c r="B5" s="215">
        <f>GETPIVOTDATA("1. Conozco la misión de la Universidad Distrital Francisco José de Caldas",$A$2,"1. Conozco la misión de la Universidad Distrital Francisco José de Caldas","Totalmente en desacuerdo / NO")/GETPIVOTDATA("1. Conozco la misión de la Universidad Distrital Francisco José de Caldas",$A$2)</f>
        <v>1.7964071856287425E-2</v>
      </c>
      <c r="C5" s="217">
        <f>+GETPIVOTDATA("1. Conozco la misión de la Universidad Distrital Francisco José de Caldas",$A$2,"1. Conozco la misión de la Universidad Distrital Francisco José de Caldas","En desacuerdo")/GETPIVOTDATA("1. Conozco la misión de la Universidad Distrital Francisco José de Caldas",$A$2)</f>
        <v>3.5928143712574849E-2</v>
      </c>
      <c r="D5" s="217">
        <f>+GETPIVOTDATA("1. Conozco la misión de la Universidad Distrital Francisco José de Caldas",$A$2,"1. Conozco la misión de la Universidad Distrital Francisco José de Caldas","Medianamente de acuerdo")/GETPIVOTDATA("1. Conozco la misión de la Universidad Distrital Francisco José de Caldas",$A$2)</f>
        <v>0.25149700598802394</v>
      </c>
      <c r="E5" s="217">
        <f>+GETPIVOTDATA("1. Conozco la misión de la Universidad Distrital Francisco José de Caldas",$A$2,"1. Conozco la misión de la Universidad Distrital Francisco José de Caldas","De acuerdo")/GETPIVOTDATA("1. Conozco la misión de la Universidad Distrital Francisco José de Caldas",$A$2)</f>
        <v>0.40119760479041916</v>
      </c>
      <c r="F5" s="217">
        <f>+GETPIVOTDATA("1. Conozco la misión de la Universidad Distrital Francisco José de Caldas",$A$2,"1. Conozco la misión de la Universidad Distrital Francisco José de Caldas","Totalmente de acuerdo / SI")/GETPIVOTDATA("1. Conozco la misión de la Universidad Distrital Francisco José de Caldas",$A$2)</f>
        <v>0.27544910179640719</v>
      </c>
      <c r="G5" s="217">
        <f>+GETPIVOTDATA("1. Conozco la misión de la Universidad Distrital Francisco José de Caldas",$A$2,"1. Conozco la misión de la Universidad Distrital Francisco José de Caldas","No sabe / No puede opinar al respecto")/GETPIVOTDATA("1. Conozco la misión de la Universidad Distrital Francisco José de Caldas",$A$2)</f>
        <v>1.7964071856287425E-2</v>
      </c>
      <c r="I5" s="217">
        <f>SUM(B5:H5)</f>
        <v>1</v>
      </c>
    </row>
    <row r="6" spans="1:9" ht="15" x14ac:dyDescent="0.25">
      <c r="A6"/>
      <c r="B6" s="164" t="s">
        <v>2816</v>
      </c>
      <c r="C6"/>
      <c r="D6"/>
      <c r="E6"/>
      <c r="F6"/>
      <c r="G6"/>
      <c r="H6"/>
    </row>
    <row r="7" spans="1:9" ht="15" x14ac:dyDescent="0.25">
      <c r="A7"/>
      <c r="B7" t="s">
        <v>1093</v>
      </c>
      <c r="C7" t="s">
        <v>1</v>
      </c>
      <c r="D7" t="s">
        <v>2</v>
      </c>
      <c r="E7" t="s">
        <v>3</v>
      </c>
      <c r="F7" t="s">
        <v>1092</v>
      </c>
      <c r="G7" t="s">
        <v>1358</v>
      </c>
      <c r="H7" t="s">
        <v>1096</v>
      </c>
    </row>
    <row r="8" spans="1:9" ht="165" x14ac:dyDescent="0.25">
      <c r="A8" s="166" t="s">
        <v>1097</v>
      </c>
      <c r="B8" s="165">
        <v>2</v>
      </c>
      <c r="C8" s="165">
        <v>5</v>
      </c>
      <c r="D8" s="165">
        <v>17</v>
      </c>
      <c r="E8" s="165">
        <v>36</v>
      </c>
      <c r="F8" s="165">
        <v>107</v>
      </c>
      <c r="G8" s="165"/>
      <c r="H8" s="165">
        <v>167</v>
      </c>
    </row>
    <row r="9" spans="1:9" ht="15" x14ac:dyDescent="0.25">
      <c r="A9"/>
      <c r="B9" s="215">
        <f>+GETPIVOTDATA("2. Considero que la Universidad Distrital Francisco José de Caldas es una alternativa real para acceder al conocimiento por parte de la población bogotana de menores ingresos.",$A$6,"2. Considero que la Universidad Distrital Francisco José de Caldas es una alternativa real para acceder al conocimiento por parte de la población bogotana de menores ingresos.","Totalmente en desacuerdo / NO")/GETPIVOTDATA("2. Considero que la Universidad Distrital Francisco José de Caldas es una alternativa real para acceder al conocimiento por parte de la población bogotana de menores ingresos.",$A$6)</f>
        <v>1.1976047904191617E-2</v>
      </c>
      <c r="C9" s="217">
        <f>+GETPIVOTDATA("2. Considero que la Universidad Distrital Francisco José de Caldas es una alternativa real para acceder al conocimiento por parte de la población bogotana de menores ingresos.",$A$6,"2. Considero que la Universidad Distrital Francisco José de Caldas es una alternativa real para acceder al conocimiento por parte de la población bogotana de menores ingresos.","En desacuerdo")/GETPIVOTDATA("2. Considero que la Universidad Distrital Francisco José de Caldas es una alternativa real para acceder al conocimiento por parte de la población bogotana de menores ingresos.",$A$6)</f>
        <v>2.9940119760479042E-2</v>
      </c>
      <c r="D9" s="217">
        <f>+GETPIVOTDATA("2. Considero que la Universidad Distrital Francisco José de Caldas es una alternativa real para acceder al conocimiento por parte de la población bogotana de menores ingresos.",$A$6,"2. Considero que la Universidad Distrital Francisco José de Caldas es una alternativa real para acceder al conocimiento por parte de la población bogotana de menores ingresos.","Medianamente de acuerdo")/GETPIVOTDATA("2. Considero que la Universidad Distrital Francisco José de Caldas es una alternativa real para acceder al conocimiento por parte de la población bogotana de menores ingresos.",$A$6)</f>
        <v>0.10179640718562874</v>
      </c>
      <c r="E9" s="217">
        <f>+GETPIVOTDATA("2. Considero que la Universidad Distrital Francisco José de Caldas es una alternativa real para acceder al conocimiento por parte de la población bogotana de menores ingresos.",$A$6,"2. Considero que la Universidad Distrital Francisco José de Caldas es una alternativa real para acceder al conocimiento por parte de la población bogotana de menores ingresos.","De acuerdo")/GETPIVOTDATA("2. Considero que la Universidad Distrital Francisco José de Caldas es una alternativa real para acceder al conocimiento por parte de la población bogotana de menores ingresos.",$A$6)</f>
        <v>0.21556886227544911</v>
      </c>
      <c r="F9" s="217">
        <f>+GETPIVOTDATA("2. Considero que la Universidad Distrital Francisco José de Caldas es una alternativa real para acceder al conocimiento por parte de la población bogotana de menores ingresos.",$A$6,"2. Considero que la Universidad Distrital Francisco José de Caldas es una alternativa real para acceder al conocimiento por parte de la población bogotana de menores ingresos.","Totalmente de acuerdo / SI")/GETPIVOTDATA("2. Considero que la Universidad Distrital Francisco José de Caldas es una alternativa real para acceder al conocimiento por parte de la población bogotana de menores ingresos.",$A$6)</f>
        <v>0.64071856287425155</v>
      </c>
      <c r="I9" s="217">
        <f>SUM(B9:H9)</f>
        <v>1</v>
      </c>
    </row>
    <row r="10" spans="1:9" ht="15" x14ac:dyDescent="0.25">
      <c r="A10"/>
      <c r="B10" s="164" t="s">
        <v>2816</v>
      </c>
      <c r="C10"/>
      <c r="D10"/>
      <c r="E10"/>
      <c r="F10"/>
      <c r="G10"/>
      <c r="H10"/>
    </row>
    <row r="11" spans="1:9" ht="15" x14ac:dyDescent="0.25">
      <c r="A11"/>
      <c r="B11" t="s">
        <v>1093</v>
      </c>
      <c r="C11" t="s">
        <v>1</v>
      </c>
      <c r="D11" t="s">
        <v>2</v>
      </c>
      <c r="E11" t="s">
        <v>3</v>
      </c>
      <c r="F11" t="s">
        <v>1092</v>
      </c>
      <c r="G11" t="s">
        <v>1358</v>
      </c>
      <c r="H11" t="s">
        <v>1096</v>
      </c>
    </row>
    <row r="12" spans="1:9" ht="165" x14ac:dyDescent="0.25">
      <c r="A12" s="166" t="s">
        <v>1098</v>
      </c>
      <c r="B12" s="165">
        <v>1</v>
      </c>
      <c r="C12" s="165">
        <v>4</v>
      </c>
      <c r="D12" s="165">
        <v>15</v>
      </c>
      <c r="E12" s="165">
        <v>45</v>
      </c>
      <c r="F12" s="165">
        <v>102</v>
      </c>
      <c r="G12" s="165"/>
      <c r="H12" s="165">
        <v>167</v>
      </c>
    </row>
    <row r="13" spans="1:9" ht="15" x14ac:dyDescent="0.25">
      <c r="A13"/>
      <c r="B13" s="214">
        <f>+GETPIVOTDATA("3. Considero que la Universidad Distrital Francisco José de Caldas desarrolla una educación de alta calidad con capacidad de responder a los retos del Distrito Capital y del país.",$A$10,"3. Considero que la Universidad Distrital Francisco José de Caldas desarrolla una educación de alta calidad con capacidad de responder a los retos del Distrito Capital y del país.","Totalmente en desacuerdo / NO")/GETPIVOTDATA("3. Considero que la Universidad Distrital Francisco José de Caldas desarrolla una educación de alta calidad con capacidad de responder a los retos del Distrito Capital y del país.",$A$10)</f>
        <v>5.9880239520958087E-3</v>
      </c>
      <c r="C13" s="218">
        <f>+GETPIVOTDATA("3. Considero que la Universidad Distrital Francisco José de Caldas desarrolla una educación de alta calidad con capacidad de responder a los retos del Distrito Capital y del país.",$A$10,"3. Considero que la Universidad Distrital Francisco José de Caldas desarrolla una educación de alta calidad con capacidad de responder a los retos del Distrito Capital y del país.","En desacuerdo")/GETPIVOTDATA("3. Considero que la Universidad Distrital Francisco José de Caldas desarrolla una educación de alta calidad con capacidad de responder a los retos del Distrito Capital y del país.",$A$10)</f>
        <v>2.3952095808383235E-2</v>
      </c>
      <c r="D13" s="218">
        <f>+GETPIVOTDATA("3. Considero que la Universidad Distrital Francisco José de Caldas desarrolla una educación de alta calidad con capacidad de responder a los retos del Distrito Capital y del país.",$A$10,"3. Considero que la Universidad Distrital Francisco José de Caldas desarrolla una educación de alta calidad con capacidad de responder a los retos del Distrito Capital y del país.","Medianamente de acuerdo")/GETPIVOTDATA("3. Considero que la Universidad Distrital Francisco José de Caldas desarrolla una educación de alta calidad con capacidad de responder a los retos del Distrito Capital y del país.",$A$10)</f>
        <v>8.9820359281437126E-2</v>
      </c>
      <c r="E13" s="218">
        <f>+GETPIVOTDATA("3. Considero que la Universidad Distrital Francisco José de Caldas desarrolla una educación de alta calidad con capacidad de responder a los retos del Distrito Capital y del país.",$A$10,"3. Considero que la Universidad Distrital Francisco José de Caldas desarrolla una educación de alta calidad con capacidad de responder a los retos del Distrito Capital y del país.","De acuerdo")/GETPIVOTDATA("3. Considero que la Universidad Distrital Francisco José de Caldas desarrolla una educación de alta calidad con capacidad de responder a los retos del Distrito Capital y del país.",$A$10)</f>
        <v>0.26946107784431139</v>
      </c>
      <c r="F13" s="218">
        <f>+GETPIVOTDATA("3. Considero que la Universidad Distrital Francisco José de Caldas desarrolla una educación de alta calidad con capacidad de responder a los retos del Distrito Capital y del país.",$A$10,"3. Considero que la Universidad Distrital Francisco José de Caldas desarrolla una educación de alta calidad con capacidad de responder a los retos del Distrito Capital y del país.","Totalmente de acuerdo / SI")/GETPIVOTDATA("3. Considero que la Universidad Distrital Francisco José de Caldas desarrolla una educación de alta calidad con capacidad de responder a los retos del Distrito Capital y del país.",$A$10)</f>
        <v>0.6107784431137725</v>
      </c>
      <c r="I13" s="217">
        <f>SUM(B13:H13)</f>
        <v>1</v>
      </c>
    </row>
    <row r="14" spans="1:9" ht="15" x14ac:dyDescent="0.25">
      <c r="A14"/>
      <c r="B14" s="164" t="s">
        <v>2816</v>
      </c>
      <c r="C14"/>
      <c r="D14"/>
      <c r="E14"/>
      <c r="F14"/>
      <c r="G14"/>
      <c r="H14"/>
      <c r="I14"/>
    </row>
    <row r="15" spans="1:9" ht="15" x14ac:dyDescent="0.25">
      <c r="A15"/>
      <c r="B15" t="s">
        <v>1093</v>
      </c>
      <c r="C15" t="s">
        <v>1</v>
      </c>
      <c r="D15" t="s">
        <v>2</v>
      </c>
      <c r="E15" t="s">
        <v>3</v>
      </c>
      <c r="F15" t="s">
        <v>1092</v>
      </c>
      <c r="G15" t="s">
        <v>5</v>
      </c>
      <c r="H15" t="s">
        <v>1358</v>
      </c>
      <c r="I15" t="s">
        <v>1096</v>
      </c>
    </row>
    <row r="16" spans="1:9" ht="75" x14ac:dyDescent="0.25">
      <c r="A16" s="166" t="s">
        <v>1099</v>
      </c>
      <c r="B16" s="165">
        <v>6</v>
      </c>
      <c r="C16" s="165">
        <v>6</v>
      </c>
      <c r="D16" s="165">
        <v>27</v>
      </c>
      <c r="E16" s="165">
        <v>61</v>
      </c>
      <c r="F16" s="165">
        <v>59</v>
      </c>
      <c r="G16" s="165">
        <v>8</v>
      </c>
      <c r="H16" s="165"/>
      <c r="I16" s="165">
        <v>167</v>
      </c>
    </row>
    <row r="17" spans="1:9" ht="15" x14ac:dyDescent="0.25">
      <c r="A17"/>
      <c r="B17" s="215">
        <f>+GETPIVOTDATA("4. Conozco el proyecto educativo de mi programa académico (PEP). ",$A$14,"4. Conozco el proyecto educativo de mi programa académico (PEP). ","Totalmente en desacuerdo / NO")/GETPIVOTDATA("4. Conozco el proyecto educativo de mi programa académico (PEP). ",$A$14)</f>
        <v>3.5928143712574849E-2</v>
      </c>
      <c r="C17" s="217">
        <f>+GETPIVOTDATA("4. Conozco el proyecto educativo de mi programa académico (PEP). ",$A$14,"4. Conozco el proyecto educativo de mi programa académico (PEP). ","En desacuerdo")/GETPIVOTDATA("4. Conozco el proyecto educativo de mi programa académico (PEP). ",$A$14)</f>
        <v>3.5928143712574849E-2</v>
      </c>
      <c r="D17" s="217">
        <f>+GETPIVOTDATA("4. Conozco el proyecto educativo de mi programa académico (PEP). ",$A$14,"4. Conozco el proyecto educativo de mi programa académico (PEP). ","Medianamente de acuerdo")/GETPIVOTDATA("4. Conozco el proyecto educativo de mi programa académico (PEP). ",$A$14)</f>
        <v>0.16167664670658682</v>
      </c>
      <c r="E17" s="217">
        <f>+GETPIVOTDATA("4. Conozco el proyecto educativo de mi programa académico (PEP). ",$A$14,"4. Conozco el proyecto educativo de mi programa académico (PEP). ","De acuerdo")/GETPIVOTDATA("4. Conozco el proyecto educativo de mi programa académico (PEP). ",$A$14)</f>
        <v>0.3652694610778443</v>
      </c>
      <c r="F17" s="217">
        <f>+GETPIVOTDATA("4. Conozco el proyecto educativo de mi programa académico (PEP). ",$A$14,"4. Conozco el proyecto educativo de mi programa académico (PEP). ","Totalmente de acuerdo / SI")/GETPIVOTDATA("4. Conozco el proyecto educativo de mi programa académico (PEP). ",$A$14)</f>
        <v>0.3532934131736527</v>
      </c>
      <c r="G17" s="217">
        <f>+GETPIVOTDATA("4. Conozco el proyecto educativo de mi programa académico (PEP). ",$A$14,"4. Conozco el proyecto educativo de mi programa académico (PEP). ","No sabe / No puede opinar al respecto")/GETPIVOTDATA("4. Conozco el proyecto educativo de mi programa académico (PEP). ",$A$14)</f>
        <v>4.790419161676647E-2</v>
      </c>
      <c r="I17" s="217">
        <f>SUM(B17:H17)</f>
        <v>1</v>
      </c>
    </row>
    <row r="18" spans="1:9" ht="15" x14ac:dyDescent="0.25">
      <c r="A18"/>
      <c r="B18" s="164" t="s">
        <v>2816</v>
      </c>
      <c r="C18"/>
      <c r="D18"/>
      <c r="E18"/>
      <c r="F18"/>
      <c r="G18"/>
      <c r="H18"/>
      <c r="I18"/>
    </row>
    <row r="19" spans="1:9" ht="15" x14ac:dyDescent="0.25">
      <c r="A19"/>
      <c r="B19" t="s">
        <v>1093</v>
      </c>
      <c r="C19" t="s">
        <v>1</v>
      </c>
      <c r="D19" t="s">
        <v>2</v>
      </c>
      <c r="E19" t="s">
        <v>3</v>
      </c>
      <c r="F19" t="s">
        <v>1092</v>
      </c>
      <c r="G19" t="s">
        <v>5</v>
      </c>
      <c r="H19" t="s">
        <v>1358</v>
      </c>
      <c r="I19" t="s">
        <v>1096</v>
      </c>
    </row>
    <row r="20" spans="1:9" ht="90" x14ac:dyDescent="0.25">
      <c r="A20" s="166" t="s">
        <v>1100</v>
      </c>
      <c r="B20" s="165">
        <v>54</v>
      </c>
      <c r="C20" s="165">
        <v>31</v>
      </c>
      <c r="D20" s="165">
        <v>34</v>
      </c>
      <c r="E20" s="165">
        <v>23</v>
      </c>
      <c r="F20" s="165">
        <v>9</v>
      </c>
      <c r="G20" s="165">
        <v>16</v>
      </c>
      <c r="H20" s="165"/>
      <c r="I20" s="165">
        <v>167</v>
      </c>
    </row>
    <row r="21" spans="1:9" ht="15" x14ac:dyDescent="0.25">
      <c r="A21"/>
      <c r="B21" s="215">
        <f>+GETPIVOTDATA("5. He participado en la discusión y actualización del Proyecto Educativo de Programa.",$A$18,"5. He participado en la discusión y actualización del Proyecto Educativo de Programa.","Totalmente en desacuerdo / NO")/GETPIVOTDATA("5. He participado en la discusión y actualización del Proyecto Educativo de Programa.",$A$18)</f>
        <v>0.32335329341317365</v>
      </c>
      <c r="C21" s="217">
        <f>+GETPIVOTDATA("5. He participado en la discusión y actualización del Proyecto Educativo de Programa.",$A$18,"5. He participado en la discusión y actualización del Proyecto Educativo de Programa.","En desacuerdo")/GETPIVOTDATA("5. He participado en la discusión y actualización del Proyecto Educativo de Programa.",$A$18)</f>
        <v>0.18562874251497005</v>
      </c>
      <c r="D21" s="217">
        <f>+GETPIVOTDATA("5. He participado en la discusión y actualización del Proyecto Educativo de Programa.",$A$18,"5. He participado en la discusión y actualización del Proyecto Educativo de Programa.","Medianamente de acuerdo")/GETPIVOTDATA("5. He participado en la discusión y actualización del Proyecto Educativo de Programa.",$A$18)</f>
        <v>0.20359281437125748</v>
      </c>
      <c r="E21" s="217">
        <f>+GETPIVOTDATA("5. He participado en la discusión y actualización del Proyecto Educativo de Programa.",$A$18,"5. He participado en la discusión y actualización del Proyecto Educativo de Programa.","De acuerdo")/GETPIVOTDATA("5. He participado en la discusión y actualización del Proyecto Educativo de Programa.",$A$18)</f>
        <v>0.1377245508982036</v>
      </c>
      <c r="F21" s="217">
        <f>+GETPIVOTDATA("5. He participado en la discusión y actualización del Proyecto Educativo de Programa.",$A$18,"5. He participado en la discusión y actualización del Proyecto Educativo de Programa.","Totalmente de acuerdo / SI")/GETPIVOTDATA("5. He participado en la discusión y actualización del Proyecto Educativo de Programa.",$A$18)</f>
        <v>5.3892215568862277E-2</v>
      </c>
      <c r="G21" s="217">
        <f>+GETPIVOTDATA("5. He participado en la discusión y actualización del Proyecto Educativo de Programa.",$A$18,"5. He participado en la discusión y actualización del Proyecto Educativo de Programa.","No sabe / No puede opinar al respecto")/GETPIVOTDATA("5. He participado en la discusión y actualización del Proyecto Educativo de Programa.",$A$18)</f>
        <v>9.580838323353294E-2</v>
      </c>
      <c r="I21" s="217">
        <f>SUM(B21:H21)</f>
        <v>0.99999999999999989</v>
      </c>
    </row>
    <row r="22" spans="1:9" ht="15" x14ac:dyDescent="0.25">
      <c r="A22"/>
      <c r="B22" s="164" t="s">
        <v>2816</v>
      </c>
      <c r="C22"/>
      <c r="D22"/>
      <c r="E22"/>
      <c r="F22"/>
      <c r="G22"/>
      <c r="H22"/>
      <c r="I22"/>
    </row>
    <row r="23" spans="1:9" ht="15" x14ac:dyDescent="0.25">
      <c r="A23"/>
      <c r="B23" t="s">
        <v>1093</v>
      </c>
      <c r="C23" t="s">
        <v>1</v>
      </c>
      <c r="D23" t="s">
        <v>2</v>
      </c>
      <c r="E23" t="s">
        <v>3</v>
      </c>
      <c r="F23" t="s">
        <v>1092</v>
      </c>
      <c r="G23" t="s">
        <v>5</v>
      </c>
      <c r="H23" t="s">
        <v>1358</v>
      </c>
      <c r="I23" t="s">
        <v>1096</v>
      </c>
    </row>
    <row r="24" spans="1:9" ht="120" x14ac:dyDescent="0.25">
      <c r="A24" s="166" t="s">
        <v>1101</v>
      </c>
      <c r="B24" s="165">
        <v>34</v>
      </c>
      <c r="C24" s="165">
        <v>25</v>
      </c>
      <c r="D24" s="165">
        <v>53</v>
      </c>
      <c r="E24" s="165">
        <v>34</v>
      </c>
      <c r="F24" s="165">
        <v>14</v>
      </c>
      <c r="G24" s="165">
        <v>7</v>
      </c>
      <c r="H24" s="165"/>
      <c r="I24" s="165">
        <v>167</v>
      </c>
    </row>
    <row r="25" spans="1:9" ht="15" x14ac:dyDescent="0.25">
      <c r="A25"/>
      <c r="B25" s="215">
        <f>+GETPIVOTDATA("6. Conozco las funciones y me entero de las decisiones del Consejo Curricular de mi programa académico.",$A$22,"6. Conozco las funciones y me entero de las decisiones del Consejo Curricular de mi programa académico.","Totalmente en desacuerdo / NO")/GETPIVOTDATA("6. Conozco las funciones y me entero de las decisiones del Consejo Curricular de mi programa académico.",$A$22)</f>
        <v>0.20359281437125748</v>
      </c>
      <c r="C25" s="217">
        <f>+GETPIVOTDATA("6. Conozco las funciones y me entero de las decisiones del Consejo Curricular de mi programa académico.",$A$22,"6. Conozco las funciones y me entero de las decisiones del Consejo Curricular de mi programa académico.","En desacuerdo")/GETPIVOTDATA("6. Conozco las funciones y me entero de las decisiones del Consejo Curricular de mi programa académico.",$A$22)</f>
        <v>0.1497005988023952</v>
      </c>
      <c r="D25" s="217">
        <f>+GETPIVOTDATA("6. Conozco las funciones y me entero de las decisiones del Consejo Curricular de mi programa académico.",$A$22,"6. Conozco las funciones y me entero de las decisiones del Consejo Curricular de mi programa académico.","Medianamente de acuerdo")/GETPIVOTDATA("6. Conozco las funciones y me entero de las decisiones del Consejo Curricular de mi programa académico.",$A$22)</f>
        <v>0.31736526946107785</v>
      </c>
      <c r="E25" s="217">
        <f>+GETPIVOTDATA("6. Conozco las funciones y me entero de las decisiones del Consejo Curricular de mi programa académico.",$A$22,"6. Conozco las funciones y me entero de las decisiones del Consejo Curricular de mi programa académico.","De acuerdo")/GETPIVOTDATA("6. Conozco las funciones y me entero de las decisiones del Consejo Curricular de mi programa académico.",$A$22)</f>
        <v>0.20359281437125748</v>
      </c>
      <c r="F25" s="217">
        <f>+GETPIVOTDATA("6. Conozco las funciones y me entero de las decisiones del Consejo Curricular de mi programa académico.",$A$22,"6. Conozco las funciones y me entero de las decisiones del Consejo Curricular de mi programa académico.","Totalmente de acuerdo / SI")/GETPIVOTDATA("6. Conozco las funciones y me entero de las decisiones del Consejo Curricular de mi programa académico.",$A$22)</f>
        <v>8.3832335329341312E-2</v>
      </c>
      <c r="G25" s="217">
        <f>+GETPIVOTDATA("6. Conozco las funciones y me entero de las decisiones del Consejo Curricular de mi programa académico.",$A$22,"6. Conozco las funciones y me entero de las decisiones del Consejo Curricular de mi programa académico.","No sabe / No puede opinar al respecto")/GETPIVOTDATA("6. Conozco las funciones y me entero de las decisiones del Consejo Curricular de mi programa académico.",$A$22)</f>
        <v>4.1916167664670656E-2</v>
      </c>
      <c r="I25" s="217">
        <f>SUM(B25:H25)</f>
        <v>1</v>
      </c>
    </row>
    <row r="26" spans="1:9" ht="15" x14ac:dyDescent="0.25">
      <c r="A26"/>
      <c r="B26" s="164" t="s">
        <v>2816</v>
      </c>
      <c r="C26"/>
      <c r="D26"/>
      <c r="E26"/>
      <c r="F26"/>
      <c r="G26"/>
      <c r="H26"/>
      <c r="I26"/>
    </row>
    <row r="27" spans="1:9" ht="15" x14ac:dyDescent="0.25">
      <c r="A27"/>
      <c r="B27" t="s">
        <v>1093</v>
      </c>
      <c r="C27" t="s">
        <v>1</v>
      </c>
      <c r="D27" t="s">
        <v>2</v>
      </c>
      <c r="E27" t="s">
        <v>3</v>
      </c>
      <c r="F27" t="s">
        <v>1092</v>
      </c>
      <c r="G27" t="s">
        <v>5</v>
      </c>
      <c r="H27" t="s">
        <v>1358</v>
      </c>
      <c r="I27" t="s">
        <v>1096</v>
      </c>
    </row>
    <row r="28" spans="1:9" ht="150" x14ac:dyDescent="0.25">
      <c r="A28" s="166" t="s">
        <v>1102</v>
      </c>
      <c r="B28" s="165">
        <v>5</v>
      </c>
      <c r="C28" s="165">
        <v>9</v>
      </c>
      <c r="D28" s="165">
        <v>40</v>
      </c>
      <c r="E28" s="165">
        <v>55</v>
      </c>
      <c r="F28" s="165">
        <v>56</v>
      </c>
      <c r="G28" s="165">
        <v>2</v>
      </c>
      <c r="H28" s="165"/>
      <c r="I28" s="165">
        <v>167</v>
      </c>
    </row>
    <row r="29" spans="1:9" ht="15" x14ac:dyDescent="0.25">
      <c r="A29"/>
      <c r="B29" s="215">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Tecnológica.","Totalmente en desacuerdo / NO")/GETPIVOTDATA("7. Conozco el proceso de admisiones a cada uno de los niveles de formación de los programas académicos por ciclos ofrecidos en la Facultad Tecnológica.",$A$26)</f>
        <v>2.9940119760479042E-2</v>
      </c>
      <c r="C29" s="217">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Tecnológica.","En desacuerdo")/GETPIVOTDATA("7. Conozco el proceso de admisiones a cada uno de los niveles de formación de los programas académicos por ciclos ofrecidos en la Facultad Tecnológica.",$A$26)</f>
        <v>5.3892215568862277E-2</v>
      </c>
      <c r="D29" s="217">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Tecnológica.","Medianamente de acuerdo")/GETPIVOTDATA("7. Conozco el proceso de admisiones a cada uno de los niveles de formación de los programas académicos por ciclos ofrecidos en la Facultad Tecnológica.",$A$26)</f>
        <v>0.23952095808383234</v>
      </c>
      <c r="E29" s="217">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Tecnológica.","De acuerdo")/GETPIVOTDATA("7. Conozco el proceso de admisiones a cada uno de los niveles de formación de los programas académicos por ciclos ofrecidos en la Facultad Tecnológica.",$A$26)</f>
        <v>0.32934131736526945</v>
      </c>
      <c r="F29" s="217">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Tecnológica.","Totalmente de acuerdo / SI")/GETPIVOTDATA("7. Conozco el proceso de admisiones a cada uno de los niveles de formación de los programas académicos por ciclos ofrecidos en la Facultad Tecnológica.",$A$26)</f>
        <v>0.33532934131736525</v>
      </c>
      <c r="G29" s="217">
        <f>+GETPIVOTDATA("7. Conozco el proceso de admisiones a cada uno de los niveles de formación de los programas académicos por ciclos ofrecidos en la Facultad Tecnológica.",$A$26,"7. Conozco el proceso de admisiones a cada uno de los niveles de formación de los programas académicos por ciclos ofrecidos en la Facultad Tecnológica.","No sabe / No puede opinar al respecto")/GETPIVOTDATA("7. Conozco el proceso de admisiones a cada uno de los niveles de formación de los programas académicos por ciclos ofrecidos en la Facultad Tecnológica.",$A$26)</f>
        <v>1.1976047904191617E-2</v>
      </c>
      <c r="I29" s="217">
        <f>SUM(B29:H29)</f>
        <v>0.99999999999999989</v>
      </c>
    </row>
    <row r="30" spans="1:9" ht="15" x14ac:dyDescent="0.25">
      <c r="A30"/>
      <c r="B30" s="164" t="s">
        <v>2816</v>
      </c>
      <c r="C30"/>
      <c r="D30"/>
      <c r="E30"/>
      <c r="F30"/>
      <c r="G30"/>
      <c r="H30"/>
      <c r="I30"/>
    </row>
    <row r="31" spans="1:9" ht="15" x14ac:dyDescent="0.25">
      <c r="A31"/>
      <c r="B31" t="s">
        <v>1093</v>
      </c>
      <c r="C31" t="s">
        <v>1</v>
      </c>
      <c r="D31" t="s">
        <v>2</v>
      </c>
      <c r="E31" t="s">
        <v>3</v>
      </c>
      <c r="F31" t="s">
        <v>1092</v>
      </c>
      <c r="G31" t="s">
        <v>5</v>
      </c>
      <c r="H31" t="s">
        <v>1358</v>
      </c>
      <c r="I31" t="s">
        <v>1096</v>
      </c>
    </row>
    <row r="32" spans="1:9" ht="75" x14ac:dyDescent="0.25">
      <c r="A32" s="166" t="s">
        <v>1103</v>
      </c>
      <c r="B32" s="165">
        <v>6</v>
      </c>
      <c r="C32" s="165">
        <v>9</v>
      </c>
      <c r="D32" s="165">
        <v>34</v>
      </c>
      <c r="E32" s="165">
        <v>55</v>
      </c>
      <c r="F32" s="165">
        <v>53</v>
      </c>
      <c r="G32" s="165">
        <v>10</v>
      </c>
      <c r="H32" s="165"/>
      <c r="I32" s="165">
        <v>167</v>
      </c>
    </row>
    <row r="33" spans="1:9" ht="15" x14ac:dyDescent="0.25">
      <c r="A33"/>
      <c r="B33" s="215">
        <f>+GETPIVOTDATA("8. Considero que el proceso admisión es transparente y equitativo.",$A$30,"8. Considero que el proceso admisión es transparente y equitativo.","Totalmente en desacuerdo / NO")/GETPIVOTDATA("8. Considero que el proceso admisión es transparente y equitativo.",$A$30)</f>
        <v>3.5928143712574849E-2</v>
      </c>
      <c r="C33" s="217">
        <f>+GETPIVOTDATA("8. Considero que el proceso admisión es transparente y equitativo.",$A$30,"8. Considero que el proceso admisión es transparente y equitativo.","En desacuerdo")/GETPIVOTDATA("8. Considero que el proceso admisión es transparente y equitativo.",$A$30)</f>
        <v>5.3892215568862277E-2</v>
      </c>
      <c r="D33" s="217">
        <f>+GETPIVOTDATA("8. Considero que el proceso admisión es transparente y equitativo.",$A$30,"8. Considero que el proceso admisión es transparente y equitativo.","Medianamente de acuerdo")/GETPIVOTDATA("8. Considero que el proceso admisión es transparente y equitativo.",$A$30)</f>
        <v>0.20359281437125748</v>
      </c>
      <c r="E33" s="217">
        <f>+GETPIVOTDATA("8. Considero que el proceso admisión es transparente y equitativo.",$A$30,"8. Considero que el proceso admisión es transparente y equitativo.","De acuerdo")/GETPIVOTDATA("8. Considero que el proceso admisión es transparente y equitativo.",$A$30)</f>
        <v>0.32934131736526945</v>
      </c>
      <c r="F33" s="217">
        <f>+GETPIVOTDATA("8. Considero que el proceso admisión es transparente y equitativo.",$A$30,"8. Considero que el proceso admisión es transparente y equitativo.","Totalmente de acuerdo / SI")/GETPIVOTDATA("8. Considero que el proceso admisión es transparente y equitativo.",$A$30)</f>
        <v>0.31736526946107785</v>
      </c>
      <c r="G33" s="217">
        <f>+GETPIVOTDATA("8. Considero que el proceso admisión es transparente y equitativo.",$A$30,"8. Considero que el proceso admisión es transparente y equitativo.","No sabe / No puede opinar al respecto")/GETPIVOTDATA("8. Considero que el proceso admisión es transparente y equitativo.",$A$30)</f>
        <v>5.9880239520958084E-2</v>
      </c>
      <c r="I33" s="217">
        <f>SUM(B33:H33)</f>
        <v>1</v>
      </c>
    </row>
    <row r="34" spans="1:9" ht="15" x14ac:dyDescent="0.25">
      <c r="A34"/>
      <c r="B34" s="164" t="s">
        <v>2816</v>
      </c>
      <c r="C34"/>
      <c r="D34"/>
      <c r="E34"/>
      <c r="F34"/>
      <c r="G34"/>
      <c r="H34"/>
      <c r="I34"/>
    </row>
    <row r="35" spans="1:9" ht="15" x14ac:dyDescent="0.25">
      <c r="A35"/>
      <c r="B35" t="s">
        <v>1093</v>
      </c>
      <c r="C35" t="s">
        <v>1</v>
      </c>
      <c r="D35" t="s">
        <v>2</v>
      </c>
      <c r="E35" t="s">
        <v>3</v>
      </c>
      <c r="F35" t="s">
        <v>1092</v>
      </c>
      <c r="G35" t="s">
        <v>5</v>
      </c>
      <c r="H35" t="s">
        <v>1358</v>
      </c>
      <c r="I35" t="s">
        <v>1096</v>
      </c>
    </row>
    <row r="36" spans="1:9" ht="120" x14ac:dyDescent="0.25">
      <c r="A36" s="166" t="s">
        <v>1104</v>
      </c>
      <c r="B36" s="165">
        <v>14</v>
      </c>
      <c r="C36" s="165">
        <v>15</v>
      </c>
      <c r="D36" s="165">
        <v>47</v>
      </c>
      <c r="E36" s="165">
        <v>57</v>
      </c>
      <c r="F36" s="165">
        <v>28</v>
      </c>
      <c r="G36" s="165">
        <v>6</v>
      </c>
      <c r="H36" s="165"/>
      <c r="I36" s="165">
        <v>167</v>
      </c>
    </row>
    <row r="37" spans="1:9" ht="15" x14ac:dyDescent="0.25">
      <c r="A37"/>
      <c r="B37" s="215">
        <f>+GETPIVOTDATA("9. Me siento a gusto con el número de estudiantes que se admiten y se inscriben en los diferentes espacios académicos.",$A$34,"9. Me siento a gusto con el número de estudiantes que se admiten y se inscriben en los diferentes espacios académicos.","Totalmente en desacuerdo / NO")/GETPIVOTDATA("9. Me siento a gusto con el número de estudiantes que se admiten y se inscriben en los diferentes espacios académicos.",$A$34)</f>
        <v>8.3832335329341312E-2</v>
      </c>
      <c r="C37" s="217">
        <f>+GETPIVOTDATA("9. Me siento a gusto con el número de estudiantes que se admiten y se inscriben en los diferentes espacios académicos.",$A$34,"9. Me siento a gusto con el número de estudiantes que se admiten y se inscriben en los diferentes espacios académicos.","En desacuerdo")/GETPIVOTDATA("9. Me siento a gusto con el número de estudiantes que se admiten y se inscriben en los diferentes espacios académicos.",$A$34)</f>
        <v>8.9820359281437126E-2</v>
      </c>
      <c r="D37" s="217">
        <f>+GETPIVOTDATA("9. Me siento a gusto con el número de estudiantes que se admiten y se inscriben en los diferentes espacios académicos.",$A$34,"9. Me siento a gusto con el número de estudiantes que se admiten y se inscriben en los diferentes espacios académicos.","Medianamente de acuerdo")/GETPIVOTDATA("9. Me siento a gusto con el número de estudiantes que se admiten y se inscriben en los diferentes espacios académicos.",$A$34)</f>
        <v>0.28143712574850299</v>
      </c>
      <c r="E37" s="217">
        <f>+GETPIVOTDATA("9. Me siento a gusto con el número de estudiantes que se admiten y se inscriben en los diferentes espacios académicos.",$A$34,"9. Me siento a gusto con el número de estudiantes que se admiten y se inscriben en los diferentes espacios académicos.","De acuerdo")/GETPIVOTDATA("9. Me siento a gusto con el número de estudiantes que se admiten y se inscriben en los diferentes espacios académicos.",$A$34)</f>
        <v>0.3413173652694611</v>
      </c>
      <c r="F37" s="217">
        <f>+GETPIVOTDATA("9. Me siento a gusto con el número de estudiantes que se admiten y se inscriben en los diferentes espacios académicos.",$A$34,"9. Me siento a gusto con el número de estudiantes que se admiten y se inscriben en los diferentes espacios académicos.","Totalmente de acuerdo / SI")/GETPIVOTDATA("9. Me siento a gusto con el número de estudiantes que se admiten y se inscriben en los diferentes espacios académicos.",$A$34)</f>
        <v>0.16766467065868262</v>
      </c>
      <c r="G37" s="217">
        <f>+GETPIVOTDATA("9. Me siento a gusto con el número de estudiantes que se admiten y se inscriben en los diferentes espacios académicos.",$A$34,"9. Me siento a gusto con el número de estudiantes que se admiten y se inscriben en los diferentes espacios académicos.","No sabe / No puede opinar al respecto")/GETPIVOTDATA("9. Me siento a gusto con el número de estudiantes que se admiten y se inscriben en los diferentes espacios académicos.",$A$34)</f>
        <v>3.5928143712574849E-2</v>
      </c>
      <c r="I37" s="217">
        <f>SUM(B37:H37)</f>
        <v>0.99999999999999989</v>
      </c>
    </row>
    <row r="38" spans="1:9" ht="15" x14ac:dyDescent="0.25">
      <c r="A38"/>
      <c r="B38" s="164" t="s">
        <v>2816</v>
      </c>
      <c r="C38"/>
      <c r="D38"/>
      <c r="E38"/>
      <c r="F38"/>
      <c r="G38"/>
      <c r="H38"/>
      <c r="I38"/>
    </row>
    <row r="39" spans="1:9" ht="15" x14ac:dyDescent="0.25">
      <c r="A39"/>
      <c r="B39" t="s">
        <v>1093</v>
      </c>
      <c r="C39" t="s">
        <v>1</v>
      </c>
      <c r="D39" t="s">
        <v>2</v>
      </c>
      <c r="E39" t="s">
        <v>3</v>
      </c>
      <c r="F39" t="s">
        <v>1092</v>
      </c>
      <c r="G39" t="s">
        <v>5</v>
      </c>
      <c r="H39" t="s">
        <v>1358</v>
      </c>
      <c r="I39" t="s">
        <v>1096</v>
      </c>
    </row>
    <row r="40" spans="1:9" ht="135" x14ac:dyDescent="0.25">
      <c r="A40" s="166" t="s">
        <v>1105</v>
      </c>
      <c r="B40" s="165">
        <v>4</v>
      </c>
      <c r="C40" s="165">
        <v>10</v>
      </c>
      <c r="D40" s="165">
        <v>36</v>
      </c>
      <c r="E40" s="165">
        <v>69</v>
      </c>
      <c r="F40" s="165">
        <v>40</v>
      </c>
      <c r="G40" s="165">
        <v>8</v>
      </c>
      <c r="H40" s="165"/>
      <c r="I40" s="165">
        <v>167</v>
      </c>
    </row>
    <row r="41" spans="1:9" ht="15" x14ac:dyDescent="0.25">
      <c r="A41"/>
      <c r="B41" s="215">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académico.","Totalmente en desacuerdo / NO")/GETPIVOTDATA("10. Considero que en mi programa académico se aplican debidamente las normas establecidas en los reglamentos estudiantil y académico.",$A$38)</f>
        <v>2.3952095808383235E-2</v>
      </c>
      <c r="C41" s="217">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académico.","En desacuerdo")/GETPIVOTDATA("10. Considero que en mi programa académico se aplican debidamente las normas establecidas en los reglamentos estudiantil y académico.",$A$38)</f>
        <v>5.9880239520958084E-2</v>
      </c>
      <c r="D41" s="217">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académico.","Medianamente de acuerdo")/GETPIVOTDATA("10. Considero que en mi programa académico se aplican debidamente las normas establecidas en los reglamentos estudiantil y académico.",$A$38)</f>
        <v>0.21556886227544911</v>
      </c>
      <c r="E41" s="217">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académico.","De acuerdo")/GETPIVOTDATA("10. Considero que en mi programa académico se aplican debidamente las normas establecidas en los reglamentos estudiantil y académico.",$A$38)</f>
        <v>0.41317365269461076</v>
      </c>
      <c r="F41" s="217">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académico.","Totalmente de acuerdo / SI")/GETPIVOTDATA("10. Considero que en mi programa académico se aplican debidamente las normas establecidas en los reglamentos estudiantil y académico.",$A$38)</f>
        <v>0.23952095808383234</v>
      </c>
      <c r="G41" s="217">
        <f>+GETPIVOTDATA("10. Considero que en mi programa académico se aplican debidamente las normas establecidas en los reglamentos estudiantil y académico.",$A$38,"10. Considero que en mi programa académico se aplican debidamente las normas establecidas en los reglamentos estudiantil y académico.","No sabe / No puede opinar al respecto")/GETPIVOTDATA("10. Considero que en mi programa académico se aplican debidamente las normas establecidas en los reglamentos estudiantil y académico.",$A$38)</f>
        <v>4.790419161676647E-2</v>
      </c>
      <c r="I41" s="217">
        <f>SUM(B41:H41)</f>
        <v>1</v>
      </c>
    </row>
    <row r="42" spans="1:9" ht="15" x14ac:dyDescent="0.25">
      <c r="A42"/>
      <c r="B42" s="164" t="s">
        <v>2816</v>
      </c>
      <c r="C42"/>
      <c r="D42"/>
      <c r="E42"/>
      <c r="F42"/>
      <c r="G42"/>
      <c r="H42"/>
      <c r="I42"/>
    </row>
    <row r="43" spans="1:9" ht="15" x14ac:dyDescent="0.25">
      <c r="A43"/>
      <c r="B43" t="s">
        <v>1093</v>
      </c>
      <c r="C43" t="s">
        <v>1</v>
      </c>
      <c r="D43" t="s">
        <v>2</v>
      </c>
      <c r="E43" t="s">
        <v>3</v>
      </c>
      <c r="F43" t="s">
        <v>1092</v>
      </c>
      <c r="G43" t="s">
        <v>5</v>
      </c>
      <c r="H43" t="s">
        <v>1358</v>
      </c>
      <c r="I43" t="s">
        <v>1096</v>
      </c>
    </row>
    <row r="44" spans="1:9" ht="105" x14ac:dyDescent="0.25">
      <c r="A44" s="166" t="s">
        <v>1106</v>
      </c>
      <c r="B44" s="165">
        <v>41</v>
      </c>
      <c r="C44" s="165">
        <v>24</v>
      </c>
      <c r="D44" s="165">
        <v>38</v>
      </c>
      <c r="E44" s="165">
        <v>43</v>
      </c>
      <c r="F44" s="165">
        <v>13</v>
      </c>
      <c r="G44" s="165">
        <v>8</v>
      </c>
      <c r="H44" s="165"/>
      <c r="I44" s="165">
        <v>167</v>
      </c>
    </row>
    <row r="45" spans="1:9" ht="15" x14ac:dyDescent="0.25">
      <c r="A45"/>
      <c r="B45" s="215">
        <f>+GETPIVOTDATA("11. Conozco los procedimientos para hacer parte de los órganos de dirección de mi programa académico.",$A$42,"11. Conozco los procedimientos para hacer parte de los órganos de dirección de mi programa académico.","Totalmente en desacuerdo / NO")/GETPIVOTDATA("11. Conozco los procedimientos para hacer parte de los órganos de dirección de mi programa académico.",$A$42)</f>
        <v>0.24550898203592814</v>
      </c>
      <c r="C45" s="217">
        <f>+GETPIVOTDATA("11. Conozco los procedimientos para hacer parte de los órganos de dirección de mi programa académico.",$A$42,"11. Conozco los procedimientos para hacer parte de los órganos de dirección de mi programa académico.","En desacuerdo")/GETPIVOTDATA("11. Conozco los procedimientos para hacer parte de los órganos de dirección de mi programa académico.",$A$42)</f>
        <v>0.1437125748502994</v>
      </c>
      <c r="D45" s="217">
        <f>+GETPIVOTDATA("11. Conozco los procedimientos para hacer parte de los órganos de dirección de mi programa académico.",$A$42,"11. Conozco los procedimientos para hacer parte de los órganos de dirección de mi programa académico.","Medianamente de acuerdo")/GETPIVOTDATA("11. Conozco los procedimientos para hacer parte de los órganos de dirección de mi programa académico.",$A$42)</f>
        <v>0.22754491017964071</v>
      </c>
      <c r="E45" s="217">
        <f>+GETPIVOTDATA("11. Conozco los procedimientos para hacer parte de los órganos de dirección de mi programa académico.",$A$42,"11. Conozco los procedimientos para hacer parte de los órganos de dirección de mi programa académico.","De acuerdo")/GETPIVOTDATA("11. Conozco los procedimientos para hacer parte de los órganos de dirección de mi programa académico.",$A$42)</f>
        <v>0.25748502994011974</v>
      </c>
      <c r="F45" s="217">
        <f>+GETPIVOTDATA("11. Conozco los procedimientos para hacer parte de los órganos de dirección de mi programa académico.",$A$42,"11. Conozco los procedimientos para hacer parte de los órganos de dirección de mi programa académico.","Totalmente de acuerdo / SI")/GETPIVOTDATA("11. Conozco los procedimientos para hacer parte de los órganos de dirección de mi programa académico.",$A$42)</f>
        <v>7.7844311377245512E-2</v>
      </c>
      <c r="G45" s="217">
        <f>+GETPIVOTDATA("11. Conozco los procedimientos para hacer parte de los órganos de dirección de mi programa académico.",$A$42,"11. Conozco los procedimientos para hacer parte de los órganos de dirección de mi programa académico.","No sabe / No puede opinar al respecto")/GETPIVOTDATA("11. Conozco los procedimientos para hacer parte de los órganos de dirección de mi programa académico.",$A$42)</f>
        <v>4.790419161676647E-2</v>
      </c>
      <c r="I45" s="217">
        <f>SUM(B45:H45)</f>
        <v>1</v>
      </c>
    </row>
    <row r="46" spans="1:9" ht="15" x14ac:dyDescent="0.25">
      <c r="A46"/>
      <c r="B46" s="164" t="s">
        <v>2816</v>
      </c>
      <c r="C46"/>
      <c r="D46"/>
      <c r="E46"/>
      <c r="F46"/>
      <c r="G46"/>
      <c r="H46"/>
      <c r="I46"/>
    </row>
    <row r="47" spans="1:9" ht="15" x14ac:dyDescent="0.25">
      <c r="A47"/>
      <c r="B47" t="s">
        <v>1093</v>
      </c>
      <c r="C47" t="s">
        <v>1</v>
      </c>
      <c r="D47" t="s">
        <v>2</v>
      </c>
      <c r="E47" t="s">
        <v>3</v>
      </c>
      <c r="F47" t="s">
        <v>1092</v>
      </c>
      <c r="G47" t="s">
        <v>5</v>
      </c>
      <c r="H47" t="s">
        <v>1358</v>
      </c>
      <c r="I47" t="s">
        <v>1096</v>
      </c>
    </row>
    <row r="48" spans="1:9" ht="75" x14ac:dyDescent="0.25">
      <c r="A48" s="166" t="s">
        <v>1107</v>
      </c>
      <c r="B48" s="165">
        <v>68</v>
      </c>
      <c r="C48" s="165">
        <v>29</v>
      </c>
      <c r="D48" s="165">
        <v>35</v>
      </c>
      <c r="E48" s="165">
        <v>14</v>
      </c>
      <c r="F48" s="165">
        <v>6</v>
      </c>
      <c r="G48" s="165">
        <v>15</v>
      </c>
      <c r="H48" s="165"/>
      <c r="I48" s="165">
        <v>167</v>
      </c>
    </row>
    <row r="49" spans="1:9" ht="15" x14ac:dyDescent="0.25">
      <c r="A49"/>
      <c r="B49" s="215">
        <f>+GETPIVOTDATA("12. Conozco el proceso de selección y vinculación de los docentes.",$A$46,"12. Conozco el proceso de selección y vinculación de los docentes.","Totalmente en desacuerdo / NO")/GETPIVOTDATA("12. Conozco el proceso de selección y vinculación de los docentes.",$A$46)</f>
        <v>0.40718562874251496</v>
      </c>
      <c r="C49" s="217">
        <f>+GETPIVOTDATA("12. Conozco el proceso de selección y vinculación de los docentes.",$A$46,"12. Conozco el proceso de selección y vinculación de los docentes.","En desacuerdo")/GETPIVOTDATA("12. Conozco el proceso de selección y vinculación de los docentes.",$A$46)</f>
        <v>0.17365269461077845</v>
      </c>
      <c r="D49" s="217">
        <f>+GETPIVOTDATA("12. Conozco el proceso de selección y vinculación de los docentes.",$A$46,"12. Conozco el proceso de selección y vinculación de los docentes.","Medianamente de acuerdo")/GETPIVOTDATA("12. Conozco el proceso de selección y vinculación de los docentes.",$A$46)</f>
        <v>0.20958083832335328</v>
      </c>
      <c r="E49" s="217">
        <f>+GETPIVOTDATA("12. Conozco el proceso de selección y vinculación de los docentes.",$A$46,"12. Conozco el proceso de selección y vinculación de los docentes.","De acuerdo")/GETPIVOTDATA("12. Conozco el proceso de selección y vinculación de los docentes.",$A$46)</f>
        <v>8.3832335329341312E-2</v>
      </c>
      <c r="F49" s="217">
        <f>+GETPIVOTDATA("12. Conozco el proceso de selección y vinculación de los docentes.",$A$46,"12. Conozco el proceso de selección y vinculación de los docentes.","Totalmente de acuerdo / SI")/GETPIVOTDATA("12. Conozco el proceso de selección y vinculación de los docentes.",$A$46)</f>
        <v>3.5928143712574849E-2</v>
      </c>
      <c r="G49" s="217">
        <f>+GETPIVOTDATA("12. Conozco el proceso de selección y vinculación de los docentes.",$A$46,"12. Conozco el proceso de selección y vinculación de los docentes.","No sabe / No puede opinar al respecto")/GETPIVOTDATA("12. Conozco el proceso de selección y vinculación de los docentes.",$A$46)</f>
        <v>8.9820359281437126E-2</v>
      </c>
      <c r="I49" s="217">
        <f>SUM(B49:H49)</f>
        <v>1</v>
      </c>
    </row>
    <row r="50" spans="1:9" ht="15" x14ac:dyDescent="0.25">
      <c r="A50"/>
      <c r="B50" s="164" t="s">
        <v>2816</v>
      </c>
      <c r="C50"/>
      <c r="D50"/>
      <c r="E50"/>
      <c r="F50"/>
      <c r="G50"/>
      <c r="H50"/>
      <c r="I50"/>
    </row>
    <row r="51" spans="1:9" ht="15" x14ac:dyDescent="0.25">
      <c r="A51"/>
      <c r="B51" t="s">
        <v>1093</v>
      </c>
      <c r="C51" t="s">
        <v>1</v>
      </c>
      <c r="D51" t="s">
        <v>2</v>
      </c>
      <c r="E51" t="s">
        <v>3</v>
      </c>
      <c r="F51" t="s">
        <v>1092</v>
      </c>
      <c r="G51" t="s">
        <v>5</v>
      </c>
      <c r="H51" t="s">
        <v>1358</v>
      </c>
      <c r="I51" t="s">
        <v>1096</v>
      </c>
    </row>
    <row r="52" spans="1:9" ht="135" x14ac:dyDescent="0.25">
      <c r="A52" s="166" t="s">
        <v>1108</v>
      </c>
      <c r="B52" s="165">
        <v>38</v>
      </c>
      <c r="C52" s="165">
        <v>38</v>
      </c>
      <c r="D52" s="165">
        <v>37</v>
      </c>
      <c r="E52" s="165">
        <v>24</v>
      </c>
      <c r="F52" s="165">
        <v>21</v>
      </c>
      <c r="G52" s="165">
        <v>9</v>
      </c>
      <c r="H52" s="165"/>
      <c r="I52" s="165">
        <v>167</v>
      </c>
    </row>
    <row r="53" spans="1:9" ht="15" x14ac:dyDescent="0.25">
      <c r="A53"/>
      <c r="B53" s="215">
        <f>+GETPIVOTDATA("13. Considero que la evaluación de docentes se utiliza para definir la permanencia de los docentes de mi programa académico.",$A$50,"13. Considero que la evaluación de docentes se utiliza para definir la permanencia de los docentes de mi programa académico.","Totalmente en desacuerdo / NO")/GETPIVOTDATA("13. Considero que la evaluación de docentes se utiliza para definir la permanencia de los docentes de mi programa académico.",$A$50)</f>
        <v>0.22754491017964071</v>
      </c>
      <c r="C53" s="217">
        <f>+GETPIVOTDATA("13. Considero que la evaluación de docentes se utiliza para definir la permanencia de los docentes de mi programa académico.",$A$50,"13. Considero que la evaluación de docentes se utiliza para definir la permanencia de los docentes de mi programa académico.","En desacuerdo")/GETPIVOTDATA("13. Considero que la evaluación de docentes se utiliza para definir la permanencia de los docentes de mi programa académico.",$A$50)</f>
        <v>0.22754491017964071</v>
      </c>
      <c r="D53" s="217">
        <f>+GETPIVOTDATA("13. Considero que la evaluación de docentes se utiliza para definir la permanencia de los docentes de mi programa académico.",$A$50,"13. Considero que la evaluación de docentes se utiliza para definir la permanencia de los docentes de mi programa académico.","Medianamente de acuerdo")/GETPIVOTDATA("13. Considero que la evaluación de docentes se utiliza para definir la permanencia de los docentes de mi programa académico.",$A$50)</f>
        <v>0.22155688622754491</v>
      </c>
      <c r="E53" s="217">
        <f>+GETPIVOTDATA("13. Considero que la evaluación de docentes se utiliza para definir la permanencia de los docentes de mi programa académico.",$A$50,"13. Considero que la evaluación de docentes se utiliza para definir la permanencia de los docentes de mi programa académico.","De acuerdo")/GETPIVOTDATA("13. Considero que la evaluación de docentes se utiliza para definir la permanencia de los docentes de mi programa académico.",$A$50)</f>
        <v>0.1437125748502994</v>
      </c>
      <c r="F53" s="217">
        <f>+GETPIVOTDATA("13. Considero que la evaluación de docentes se utiliza para definir la permanencia de los docentes de mi programa académico.",$A$50,"13. Considero que la evaluación de docentes se utiliza para definir la permanencia de los docentes de mi programa académico.","Totalmente de acuerdo / SI")/GETPIVOTDATA("13. Considero que la evaluación de docentes se utiliza para definir la permanencia de los docentes de mi programa académico.",$A$50)</f>
        <v>0.12574850299401197</v>
      </c>
      <c r="G53" s="217">
        <f>+GETPIVOTDATA("13. Considero que la evaluación de docentes se utiliza para definir la permanencia de los docentes de mi programa académico.",$A$50,"13. Considero que la evaluación de docentes se utiliza para definir la permanencia de los docentes de mi programa académico.","No sabe / No puede opinar al respecto")/GETPIVOTDATA("13. Considero que la evaluación de docentes se utiliza para definir la permanencia de los docentes de mi programa académico.",$A$50)</f>
        <v>5.3892215568862277E-2</v>
      </c>
      <c r="I53" s="217">
        <f>SUM(B53:H53)</f>
        <v>1</v>
      </c>
    </row>
    <row r="54" spans="1:9" ht="15" x14ac:dyDescent="0.25">
      <c r="A54"/>
      <c r="B54" s="164" t="s">
        <v>2816</v>
      </c>
      <c r="C54"/>
      <c r="D54"/>
      <c r="E54"/>
      <c r="F54"/>
      <c r="G54"/>
      <c r="H54"/>
      <c r="I54"/>
    </row>
    <row r="55" spans="1:9" ht="15" x14ac:dyDescent="0.25">
      <c r="A55"/>
      <c r="B55" t="s">
        <v>1093</v>
      </c>
      <c r="C55" t="s">
        <v>1</v>
      </c>
      <c r="D55" t="s">
        <v>2</v>
      </c>
      <c r="E55" t="s">
        <v>3</v>
      </c>
      <c r="F55" t="s">
        <v>1092</v>
      </c>
      <c r="G55" t="s">
        <v>5</v>
      </c>
      <c r="H55" t="s">
        <v>1358</v>
      </c>
      <c r="I55" t="s">
        <v>1096</v>
      </c>
    </row>
    <row r="56" spans="1:9" ht="90" x14ac:dyDescent="0.25">
      <c r="A56" s="166" t="s">
        <v>1109</v>
      </c>
      <c r="B56" s="165">
        <v>21</v>
      </c>
      <c r="C56" s="165">
        <v>32</v>
      </c>
      <c r="D56" s="165">
        <v>41</v>
      </c>
      <c r="E56" s="165">
        <v>44</v>
      </c>
      <c r="F56" s="165">
        <v>26</v>
      </c>
      <c r="G56" s="165">
        <v>3</v>
      </c>
      <c r="H56" s="165"/>
      <c r="I56" s="165">
        <v>167</v>
      </c>
    </row>
    <row r="57" spans="1:9" ht="15" x14ac:dyDescent="0.25">
      <c r="A57"/>
      <c r="B57" s="214">
        <f>+GETPIVOTDATA("14. Considero que el número de docentes al servicio de mi programa académico es suficiente.",$A$54,"14. Considero que el número de docentes al servicio de mi programa académico es suficiente.","Totalmente en desacuerdo / NO")/GETPIVOTDATA("14. Considero que el número de docentes al servicio de mi programa académico es suficiente.",$A$54)</f>
        <v>0.12574850299401197</v>
      </c>
      <c r="C57" s="218">
        <f>+GETPIVOTDATA("14. Considero que el número de docentes al servicio de mi programa académico es suficiente.",$A$54,"14. Considero que el número de docentes al servicio de mi programa académico es suficiente.","En desacuerdo")/GETPIVOTDATA("14. Considero que el número de docentes al servicio de mi programa académico es suficiente.",$A$54)</f>
        <v>0.19161676646706588</v>
      </c>
      <c r="D57" s="218">
        <f>+GETPIVOTDATA("14. Considero que el número de docentes al servicio de mi programa académico es suficiente.",$A$54,"14. Considero que el número de docentes al servicio de mi programa académico es suficiente.","Medianamente de acuerdo")/GETPIVOTDATA("14. Considero que el número de docentes al servicio de mi programa académico es suficiente.",$A$54)</f>
        <v>0.24550898203592814</v>
      </c>
      <c r="E57" s="218">
        <f>+GETPIVOTDATA("14. Considero que el número de docentes al servicio de mi programa académico es suficiente.",$A$54,"14. Considero que el número de docentes al servicio de mi programa académico es suficiente.","De acuerdo")/GETPIVOTDATA("14. Considero que el número de docentes al servicio de mi programa académico es suficiente.",$A$54)</f>
        <v>0.26347305389221559</v>
      </c>
      <c r="F57" s="218">
        <f>+GETPIVOTDATA("14. Considero que el número de docentes al servicio de mi programa académico es suficiente.",$A$54,"14. Considero que el número de docentes al servicio de mi programa académico es suficiente.","Totalmente de acuerdo / SI")/GETPIVOTDATA("14. Considero que el número de docentes al servicio de mi programa académico es suficiente.",$A$54)</f>
        <v>0.15568862275449102</v>
      </c>
      <c r="G57" s="218">
        <f>+GETPIVOTDATA("14. Considero que el número de docentes al servicio de mi programa académico es suficiente.",$A$54,"14. Considero que el número de docentes al servicio de mi programa académico es suficiente.","No sabe / No puede opinar al respecto")/GETPIVOTDATA("14. Considero que el número de docentes al servicio de mi programa académico es suficiente.",$A$54)</f>
        <v>1.7964071856287425E-2</v>
      </c>
      <c r="I57" s="217">
        <f>SUM(B57:H57)</f>
        <v>1</v>
      </c>
    </row>
    <row r="58" spans="1:9" ht="15" x14ac:dyDescent="0.25">
      <c r="A58"/>
      <c r="B58" s="164" t="s">
        <v>2816</v>
      </c>
      <c r="C58"/>
      <c r="D58"/>
      <c r="E58"/>
      <c r="F58"/>
      <c r="G58"/>
      <c r="H58"/>
      <c r="I58"/>
    </row>
    <row r="59" spans="1:9" ht="15" x14ac:dyDescent="0.25">
      <c r="A59"/>
      <c r="B59" t="s">
        <v>1093</v>
      </c>
      <c r="C59" t="s">
        <v>1</v>
      </c>
      <c r="D59" t="s">
        <v>2</v>
      </c>
      <c r="E59" t="s">
        <v>3</v>
      </c>
      <c r="F59" t="s">
        <v>1092</v>
      </c>
      <c r="G59" t="s">
        <v>5</v>
      </c>
      <c r="H59" t="s">
        <v>1358</v>
      </c>
      <c r="I59" t="s">
        <v>1096</v>
      </c>
    </row>
    <row r="60" spans="1:9" ht="105" x14ac:dyDescent="0.25">
      <c r="A60" s="166" t="s">
        <v>1110</v>
      </c>
      <c r="B60" s="165">
        <v>10</v>
      </c>
      <c r="C60" s="165">
        <v>12</v>
      </c>
      <c r="D60" s="165">
        <v>64</v>
      </c>
      <c r="E60" s="165">
        <v>53</v>
      </c>
      <c r="F60" s="165">
        <v>27</v>
      </c>
      <c r="G60" s="165">
        <v>1</v>
      </c>
      <c r="H60" s="165"/>
      <c r="I60" s="165">
        <v>167</v>
      </c>
    </row>
    <row r="61" spans="1:9" ht="15" x14ac:dyDescent="0.25">
      <c r="A61"/>
      <c r="B61" s="215">
        <f>+GETPIVOTDATA("15.1. Considero que el tiempo dedicado por los docentes de mi programa académico es adecuado para: LA ENSEÑANZA.",$A$58,"15.1. Considero que el tiempo dedicado por los docentes de mi programa académico es adecuado para: LA ENSEÑANZA.","Totalmente en desacuerdo / NO")/GETPIVOTDATA("15.1. Considero que el tiempo dedicado por los docentes de mi programa académico es adecuado para: LA ENSEÑANZA.",$A$58)</f>
        <v>5.9880239520958084E-2</v>
      </c>
      <c r="C61" s="217">
        <f>+GETPIVOTDATA("15.1. Considero que el tiempo dedicado por los docentes de mi programa académico es adecuado para: LA ENSEÑANZA.",$A$58,"15.1. Considero que el tiempo dedicado por los docentes de mi programa académico es adecuado para: LA ENSEÑANZA.","En desacuerdo")/GETPIVOTDATA("15.1. Considero que el tiempo dedicado por los docentes de mi programa académico es adecuado para: LA ENSEÑANZA.",$A$58)</f>
        <v>7.1856287425149698E-2</v>
      </c>
      <c r="D61" s="217">
        <f>+GETPIVOTDATA("15.1. Considero que el tiempo dedicado por los docentes de mi programa académico es adecuado para: LA ENSEÑANZA.",$A$58,"15.1. Considero que el tiempo dedicado por los docentes de mi programa académico es adecuado para: LA ENSEÑANZA.","Medianamente de acuerdo")/GETPIVOTDATA("15.1. Considero que el tiempo dedicado por los docentes de mi programa académico es adecuado para: LA ENSEÑANZA.",$A$58)</f>
        <v>0.38323353293413176</v>
      </c>
      <c r="E61" s="217">
        <f>+GETPIVOTDATA("15.1. Considero que el tiempo dedicado por los docentes de mi programa académico es adecuado para: LA ENSEÑANZA.",$A$58,"15.1. Considero que el tiempo dedicado por los docentes de mi programa académico es adecuado para: LA ENSEÑANZA.","De acuerdo")/GETPIVOTDATA("15.1. Considero que el tiempo dedicado por los docentes de mi programa académico es adecuado para: LA ENSEÑANZA.",$A$58)</f>
        <v>0.31736526946107785</v>
      </c>
      <c r="F61" s="217">
        <f>+GETPIVOTDATA("15.1. Considero que el tiempo dedicado por los docentes de mi programa académico es adecuado para: LA ENSEÑANZA.",$A$58,"15.1. Considero que el tiempo dedicado por los docentes de mi programa académico es adecuado para: LA ENSEÑANZA.","Totalmente de acuerdo / SI")/GETPIVOTDATA("15.1. Considero que el tiempo dedicado por los docentes de mi programa académico es adecuado para: LA ENSEÑANZA.",$A$58)</f>
        <v>0.16167664670658682</v>
      </c>
      <c r="G61" s="217">
        <f>+GETPIVOTDATA("15.1. Considero que el tiempo dedicado por los docentes de mi programa académico es adecuado para: LA ENSEÑANZA.",$A$58,"15.1. Considero que el tiempo dedicado por los docentes de mi programa académico es adecuado para: LA ENSEÑANZA.","No sabe / No puede opinar al respecto")/GETPIVOTDATA("15.1. Considero que el tiempo dedicado por los docentes de mi programa académico es adecuado para: LA ENSEÑANZA.",$A$58)</f>
        <v>5.9880239520958087E-3</v>
      </c>
      <c r="I61" s="217">
        <f>SUM(B61:H61)</f>
        <v>1</v>
      </c>
    </row>
    <row r="62" spans="1:9" ht="15" x14ac:dyDescent="0.25">
      <c r="A62"/>
      <c r="B62" s="164" t="s">
        <v>2816</v>
      </c>
      <c r="C62"/>
      <c r="D62"/>
      <c r="E62"/>
      <c r="F62"/>
      <c r="G62"/>
      <c r="H62"/>
      <c r="I62"/>
    </row>
    <row r="63" spans="1:9" ht="15" x14ac:dyDescent="0.25">
      <c r="A63"/>
      <c r="B63" t="s">
        <v>1093</v>
      </c>
      <c r="C63" t="s">
        <v>1</v>
      </c>
      <c r="D63" t="s">
        <v>2</v>
      </c>
      <c r="E63" t="s">
        <v>3</v>
      </c>
      <c r="F63" t="s">
        <v>1092</v>
      </c>
      <c r="G63" t="s">
        <v>5</v>
      </c>
      <c r="H63" t="s">
        <v>1358</v>
      </c>
      <c r="I63" t="s">
        <v>1096</v>
      </c>
    </row>
    <row r="64" spans="1:9" ht="105" x14ac:dyDescent="0.25">
      <c r="A64" s="166" t="s">
        <v>1111</v>
      </c>
      <c r="B64" s="165">
        <v>21</v>
      </c>
      <c r="C64" s="165">
        <v>25</v>
      </c>
      <c r="D64" s="165">
        <v>59</v>
      </c>
      <c r="E64" s="165">
        <v>42</v>
      </c>
      <c r="F64" s="165">
        <v>15</v>
      </c>
      <c r="G64" s="165">
        <v>5</v>
      </c>
      <c r="H64" s="165"/>
      <c r="I64" s="165">
        <v>167</v>
      </c>
    </row>
    <row r="65" spans="1:9" ht="15" x14ac:dyDescent="0.25">
      <c r="A65"/>
      <c r="B65" s="215">
        <f>+GETPIVOTDATA("15.2. Considero que el tiempo dedicado por los docentes de mi programa académico es adecuado para: LA INVESTIGACIÓN.",$A$62,"15.2. Considero que el tiempo dedicado por los docentes de mi programa académico es adecuado para: LA INVESTIGACIÓN.","Totalmente en desacuerdo / NO")/GETPIVOTDATA("15.2. Considero que el tiempo dedicado por los docentes de mi programa académico es adecuado para: LA INVESTIGACIÓN.",$A$62)</f>
        <v>0.12574850299401197</v>
      </c>
      <c r="C65" s="217">
        <f>+GETPIVOTDATA("15.2. Considero que el tiempo dedicado por los docentes de mi programa académico es adecuado para: LA INVESTIGACIÓN.",$A$62,"15.2. Considero que el tiempo dedicado por los docentes de mi programa académico es adecuado para: LA INVESTIGACIÓN.","En desacuerdo")/GETPIVOTDATA("15.2. Considero que el tiempo dedicado por los docentes de mi programa académico es adecuado para: LA INVESTIGACIÓN.",$A$62)</f>
        <v>0.1497005988023952</v>
      </c>
      <c r="D65" s="217">
        <f>+GETPIVOTDATA("15.2. Considero que el tiempo dedicado por los docentes de mi programa académico es adecuado para: LA INVESTIGACIÓN.",$A$62,"15.2. Considero que el tiempo dedicado por los docentes de mi programa académico es adecuado para: LA INVESTIGACIÓN.","Medianamente de acuerdo")/GETPIVOTDATA("15.2. Considero que el tiempo dedicado por los docentes de mi programa académico es adecuado para: LA INVESTIGACIÓN.",$A$62)</f>
        <v>0.3532934131736527</v>
      </c>
      <c r="E65" s="217">
        <f>+GETPIVOTDATA("15.2. Considero que el tiempo dedicado por los docentes de mi programa académico es adecuado para: LA INVESTIGACIÓN.",$A$62,"15.2. Considero que el tiempo dedicado por los docentes de mi programa académico es adecuado para: LA INVESTIGACIÓN.","De acuerdo")/GETPIVOTDATA("15.2. Considero que el tiempo dedicado por los docentes de mi programa académico es adecuado para: LA INVESTIGACIÓN.",$A$62)</f>
        <v>0.25149700598802394</v>
      </c>
      <c r="F65" s="217">
        <f>+GETPIVOTDATA("15.2. Considero que el tiempo dedicado por los docentes de mi programa académico es adecuado para: LA INVESTIGACIÓN.",$A$62,"15.2. Considero que el tiempo dedicado por los docentes de mi programa académico es adecuado para: LA INVESTIGACIÓN.","Totalmente de acuerdo / SI")/GETPIVOTDATA("15.2. Considero que el tiempo dedicado por los docentes de mi programa académico es adecuado para: LA INVESTIGACIÓN.",$A$62)</f>
        <v>8.9820359281437126E-2</v>
      </c>
      <c r="G65" s="217">
        <f>+GETPIVOTDATA("15.2. Considero que el tiempo dedicado por los docentes de mi programa académico es adecuado para: LA INVESTIGACIÓN.",$A$62,"15.2. Considero que el tiempo dedicado por los docentes de mi programa académico es adecuado para: LA INVESTIGACIÓN.","No sabe / No puede opinar al respecto")/GETPIVOTDATA("15.2. Considero que el tiempo dedicado por los docentes de mi programa académico es adecuado para: LA INVESTIGACIÓN.",$A$62)</f>
        <v>2.9940119760479042E-2</v>
      </c>
      <c r="I65" s="217">
        <f>SUM(B65:H65)</f>
        <v>1</v>
      </c>
    </row>
    <row r="66" spans="1:9" ht="15" x14ac:dyDescent="0.25">
      <c r="A66"/>
      <c r="B66" s="164" t="s">
        <v>2816</v>
      </c>
      <c r="C66"/>
      <c r="D66"/>
      <c r="E66"/>
      <c r="F66"/>
      <c r="G66"/>
      <c r="H66"/>
      <c r="I66"/>
    </row>
    <row r="67" spans="1:9" ht="15" x14ac:dyDescent="0.25">
      <c r="A67"/>
      <c r="B67" t="s">
        <v>1093</v>
      </c>
      <c r="C67" t="s">
        <v>1</v>
      </c>
      <c r="D67" t="s">
        <v>2</v>
      </c>
      <c r="E67" t="s">
        <v>3</v>
      </c>
      <c r="F67" t="s">
        <v>1092</v>
      </c>
      <c r="G67" t="s">
        <v>5</v>
      </c>
      <c r="H67" t="s">
        <v>1358</v>
      </c>
      <c r="I67" t="s">
        <v>1096</v>
      </c>
    </row>
    <row r="68" spans="1:9" ht="150" x14ac:dyDescent="0.25">
      <c r="A68" s="166" t="s">
        <v>1112</v>
      </c>
      <c r="B68" s="165">
        <v>28</v>
      </c>
      <c r="C68" s="165">
        <v>28</v>
      </c>
      <c r="D68" s="165">
        <v>50</v>
      </c>
      <c r="E68" s="165">
        <v>37</v>
      </c>
      <c r="F68" s="165">
        <v>10</v>
      </c>
      <c r="G68" s="165">
        <v>14</v>
      </c>
      <c r="H68" s="165"/>
      <c r="I68" s="165">
        <v>167</v>
      </c>
    </row>
    <row r="69" spans="1:9" ht="15" x14ac:dyDescent="0.25">
      <c r="A69"/>
      <c r="B69" s="215">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COMUNIDAD.","Totalmente en desacuerdo / NO")/GETPIVOTDATA("15.3. Considero que el tiempo dedicado por los docentes de mi programa académico es adecuado para: LA PARTICIPACIÓN EN PROYECTOS DIRIGIDOS A LA COMUNIDAD.",$A$66)</f>
        <v>0.16766467065868262</v>
      </c>
      <c r="C69" s="217">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COMUNIDAD.","En desacuerdo")/GETPIVOTDATA("15.3. Considero que el tiempo dedicado por los docentes de mi programa académico es adecuado para: LA PARTICIPACIÓN EN PROYECTOS DIRIGIDOS A LA COMUNIDAD.",$A$66)</f>
        <v>0.16766467065868262</v>
      </c>
      <c r="D69" s="217">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COMUNIDAD.","Medianamente de acuerdo")/GETPIVOTDATA("15.3. Considero que el tiempo dedicado por los docentes de mi programa académico es adecuado para: LA PARTICIPACIÓN EN PROYECTOS DIRIGIDOS A LA COMUNIDAD.",$A$66)</f>
        <v>0.29940119760479039</v>
      </c>
      <c r="E69" s="217">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COMUNIDAD.","De acuerdo")/GETPIVOTDATA("15.3. Considero que el tiempo dedicado por los docentes de mi programa académico es adecuado para: LA PARTICIPACIÓN EN PROYECTOS DIRIGIDOS A LA COMUNIDAD.",$A$66)</f>
        <v>0.22155688622754491</v>
      </c>
      <c r="F69" s="217">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COMUNIDAD.","Totalmente de acuerdo / SI")/GETPIVOTDATA("15.3. Considero que el tiempo dedicado por los docentes de mi programa académico es adecuado para: LA PARTICIPACIÓN EN PROYECTOS DIRIGIDOS A LA COMUNIDAD.",$A$66)</f>
        <v>5.9880239520958084E-2</v>
      </c>
      <c r="G69" s="217">
        <f>+GETPIVOTDATA("15.3. Considero que el tiempo dedicado por los docentes de mi programa académico es adecuado para: LA PARTICIPACIÓN EN PROYECTOS DIRIGIDOS A LA COMUNIDAD.",$A$66,"15.3. Considero que el tiempo dedicado por los docentes de mi programa académico es adecuado para: LA PARTICIPACIÓN EN PROYECTOS DIRIGIDOS A LA COMUNIDAD.","No sabe / No puede opinar al respecto")/GETPIVOTDATA("15.3. Considero que el tiempo dedicado por los docentes de mi programa académico es adecuado para: LA PARTICIPACIÓN EN PROYECTOS DIRIGIDOS A LA COMUNIDAD.",$A$66)</f>
        <v>8.3832335329341312E-2</v>
      </c>
      <c r="I69" s="217">
        <f>SUM(B69:H69)</f>
        <v>0.99999999999999989</v>
      </c>
    </row>
    <row r="70" spans="1:9" ht="15" x14ac:dyDescent="0.25">
      <c r="A70"/>
      <c r="B70" s="164" t="s">
        <v>2816</v>
      </c>
      <c r="C70"/>
      <c r="D70"/>
      <c r="E70"/>
      <c r="F70"/>
      <c r="G70"/>
      <c r="H70"/>
      <c r="I70"/>
    </row>
    <row r="71" spans="1:9" ht="15" x14ac:dyDescent="0.25">
      <c r="A71"/>
      <c r="B71" t="s">
        <v>1093</v>
      </c>
      <c r="C71" t="s">
        <v>1</v>
      </c>
      <c r="D71" t="s">
        <v>2</v>
      </c>
      <c r="E71" t="s">
        <v>3</v>
      </c>
      <c r="F71" t="s">
        <v>1092</v>
      </c>
      <c r="G71" t="s">
        <v>5</v>
      </c>
      <c r="H71" t="s">
        <v>1358</v>
      </c>
      <c r="I71" t="s">
        <v>1096</v>
      </c>
    </row>
    <row r="72" spans="1:9" ht="105" x14ac:dyDescent="0.25">
      <c r="A72" s="166" t="s">
        <v>1113</v>
      </c>
      <c r="B72" s="165">
        <v>4</v>
      </c>
      <c r="C72" s="165">
        <v>7</v>
      </c>
      <c r="D72" s="165">
        <v>42</v>
      </c>
      <c r="E72" s="165">
        <v>73</v>
      </c>
      <c r="F72" s="165">
        <v>40</v>
      </c>
      <c r="G72" s="165">
        <v>1</v>
      </c>
      <c r="H72" s="165"/>
      <c r="I72" s="165">
        <v>167</v>
      </c>
    </row>
    <row r="73" spans="1:9" ht="15" x14ac:dyDescent="0.25">
      <c r="A73"/>
      <c r="B73" s="215">
        <f>+GETPIVOTDATA("16. El plan de estudios formulado en mi programa académico es coherente con las competencias que yo espero fortalecer.",$A$70,"16. El plan de estudios formulado en mi programa académico es coherente con las competencias que yo espero fortalecer.","Totalmente en desacuerdo / NO")/GETPIVOTDATA("16. El plan de estudios formulado en mi programa académico es coherente con las competencias que yo espero fortalecer.",$A$70)</f>
        <v>2.3952095808383235E-2</v>
      </c>
      <c r="C73" s="217">
        <f>+GETPIVOTDATA("16. El plan de estudios formulado en mi programa académico es coherente con las competencias que yo espero fortalecer.",$A$70,"16. El plan de estudios formulado en mi programa académico es coherente con las competencias que yo espero fortalecer.","En desacuerdo")/GETPIVOTDATA("16. El plan de estudios formulado en mi programa académico es coherente con las competencias que yo espero fortalecer.",$A$70)</f>
        <v>4.1916167664670656E-2</v>
      </c>
      <c r="D73" s="217">
        <f>+GETPIVOTDATA("16. El plan de estudios formulado en mi programa académico es coherente con las competencias que yo espero fortalecer.",$A$70,"16. El plan de estudios formulado en mi programa académico es coherente con las competencias que yo espero fortalecer.","Medianamente de acuerdo")/GETPIVOTDATA("16. El plan de estudios formulado en mi programa académico es coherente con las competencias que yo espero fortalecer.",$A$70)</f>
        <v>0.25149700598802394</v>
      </c>
      <c r="E73" s="217">
        <f>+GETPIVOTDATA("16. El plan de estudios formulado en mi programa académico es coherente con las competencias que yo espero fortalecer.",$A$70,"16. El plan de estudios formulado en mi programa académico es coherente con las competencias que yo espero fortalecer.","De acuerdo")/GETPIVOTDATA("16. El plan de estudios formulado en mi programa académico es coherente con las competencias que yo espero fortalecer.",$A$70)</f>
        <v>0.43712574850299402</v>
      </c>
      <c r="F73" s="217">
        <f>+GETPIVOTDATA("16. El plan de estudios formulado en mi programa académico es coherente con las competencias que yo espero fortalecer.",$A$70,"16. El plan de estudios formulado en mi programa académico es coherente con las competencias que yo espero fortalecer.","Totalmente de acuerdo / SI")/GETPIVOTDATA("16. El plan de estudios formulado en mi programa académico es coherente con las competencias que yo espero fortalecer.",$A$70)</f>
        <v>0.23952095808383234</v>
      </c>
      <c r="G73" s="217">
        <f>+GETPIVOTDATA("16. El plan de estudios formulado en mi programa académico es coherente con las competencias que yo espero fortalecer.",$A$70,"16. El plan de estudios formulado en mi programa académico es coherente con las competencias que yo espero fortalecer.","No sabe / No puede opinar al respecto")/GETPIVOTDATA("16. El plan de estudios formulado en mi programa académico es coherente con las competencias que yo espero fortalecer.",$A$70)</f>
        <v>5.9880239520958087E-3</v>
      </c>
      <c r="I73" s="217">
        <f>SUM(B73:H73)</f>
        <v>1</v>
      </c>
    </row>
    <row r="74" spans="1:9" ht="15" x14ac:dyDescent="0.25">
      <c r="A74"/>
      <c r="B74" s="164" t="s">
        <v>2816</v>
      </c>
      <c r="C74"/>
      <c r="D74"/>
      <c r="E74"/>
      <c r="F74"/>
      <c r="G74"/>
      <c r="H74"/>
      <c r="I74"/>
    </row>
    <row r="75" spans="1:9" ht="15" x14ac:dyDescent="0.25">
      <c r="A75"/>
      <c r="B75" t="s">
        <v>1092</v>
      </c>
      <c r="C75" t="s">
        <v>1</v>
      </c>
      <c r="D75" t="s">
        <v>2</v>
      </c>
      <c r="E75" t="s">
        <v>3</v>
      </c>
      <c r="F75" t="s">
        <v>1093</v>
      </c>
      <c r="G75" t="s">
        <v>5</v>
      </c>
      <c r="H75" t="s">
        <v>1358</v>
      </c>
      <c r="I75" t="s">
        <v>1096</v>
      </c>
    </row>
    <row r="76" spans="1:9" ht="135" x14ac:dyDescent="0.25">
      <c r="A76" s="166" t="s">
        <v>1114</v>
      </c>
      <c r="B76" s="165">
        <v>29</v>
      </c>
      <c r="C76" s="165">
        <v>20</v>
      </c>
      <c r="D76" s="165">
        <v>34</v>
      </c>
      <c r="E76" s="165">
        <v>71</v>
      </c>
      <c r="F76" s="165">
        <v>9</v>
      </c>
      <c r="G76" s="165">
        <v>4</v>
      </c>
      <c r="H76" s="165"/>
      <c r="I76" s="165">
        <v>167</v>
      </c>
    </row>
    <row r="77" spans="1:9" ht="15" x14ac:dyDescent="0.25">
      <c r="A77"/>
      <c r="B77" s="215">
        <f>+GETPIVOTDATA("17.1. El programa académico al que pertenezco me brinda las posibilidades necesarias para: DESARROLLAR PROCESOS DE INVESTIGACIÓN.",$A$74,"17.1. El programa académico al que pertenezco me brinda las posibilidades necesarias para: DESARROLLAR PROCESOS DE INVESTIGACIÓN.","Totalmente de acuerdo / SI")/GETPIVOTDATA("17.1. El programa académico al que pertenezco me brinda las posibilidades necesarias para: DESARROLLAR PROCESOS DE INVESTIGACIÓN.",$A$74)</f>
        <v>0.17365269461077845</v>
      </c>
      <c r="C77" s="217">
        <f>+GETPIVOTDATA("17.1. El programa académico al que pertenezco me brinda las posibilidades necesarias para: DESARROLLAR PROCESOS DE INVESTIGACIÓN.",$A$74,"17.1. El programa académico al que pertenezco me brinda las posibilidades necesarias para: DESARROLLAR PROCESOS DE INVESTIGACIÓN.","En desacuerdo")/GETPIVOTDATA("17.1. El programa académico al que pertenezco me brinda las posibilidades necesarias para: DESARROLLAR PROCESOS DE INVESTIGACIÓN.",$A$74)</f>
        <v>0.11976047904191617</v>
      </c>
      <c r="D77" s="217">
        <f>+GETPIVOTDATA("17.1. El programa académico al que pertenezco me brinda las posibilidades necesarias para: DESARROLLAR PROCESOS DE INVESTIGACIÓN.",$A$74,"17.1. El programa académico al que pertenezco me brinda las posibilidades necesarias para: DESARROLLAR PROCESOS DE INVESTIGACIÓN.","Medianamente de acuerdo")/GETPIVOTDATA("17.1. El programa académico al que pertenezco me brinda las posibilidades necesarias para: DESARROLLAR PROCESOS DE INVESTIGACIÓN.",$A$74)</f>
        <v>0.20359281437125748</v>
      </c>
      <c r="E77" s="217">
        <f>+GETPIVOTDATA("17.1. El programa académico al que pertenezco me brinda las posibilidades necesarias para: DESARROLLAR PROCESOS DE INVESTIGACIÓN.",$A$74,"17.1. El programa académico al que pertenezco me brinda las posibilidades necesarias para: DESARROLLAR PROCESOS DE INVESTIGACIÓN.","De acuerdo")/GETPIVOTDATA("17.1. El programa académico al que pertenezco me brinda las posibilidades necesarias para: DESARROLLAR PROCESOS DE INVESTIGACIÓN.",$A$74)</f>
        <v>0.42514970059880242</v>
      </c>
      <c r="F77" s="217">
        <f>+GETPIVOTDATA("17.1. El programa académico al que pertenezco me brinda las posibilidades necesarias para: DESARROLLAR PROCESOS DE INVESTIGACIÓN.",$A$74,"17.1. El programa académico al que pertenezco me brinda las posibilidades necesarias para: DESARROLLAR PROCESOS DE INVESTIGACIÓN.","Totalmente en desacuerdo / NO")/GETPIVOTDATA("17.1. El programa académico al que pertenezco me brinda las posibilidades necesarias para: DESARROLLAR PROCESOS DE INVESTIGACIÓN.",$A$74)</f>
        <v>5.3892215568862277E-2</v>
      </c>
      <c r="G77" s="217">
        <f>+GETPIVOTDATA("17.1. El programa académico al que pertenezco me brinda las posibilidades necesarias para: DESARROLLAR PROCESOS DE INVESTIGACIÓN.",$A$74,"17.1. El programa académico al que pertenezco me brinda las posibilidades necesarias para: DESARROLLAR PROCESOS DE INVESTIGACIÓN.","No sabe / No puede opinar al respecto")/GETPIVOTDATA("17.1. El programa académico al que pertenezco me brinda las posibilidades necesarias para: DESARROLLAR PROCESOS DE INVESTIGACIÓN.",$A$74)</f>
        <v>2.3952095808383235E-2</v>
      </c>
      <c r="I77" s="217">
        <f>SUM(B77:H77)</f>
        <v>0.99999999999999989</v>
      </c>
    </row>
    <row r="78" spans="1:9" ht="15" x14ac:dyDescent="0.25">
      <c r="A78"/>
      <c r="B78" s="164" t="s">
        <v>2816</v>
      </c>
      <c r="C78"/>
      <c r="D78"/>
      <c r="E78"/>
      <c r="F78"/>
      <c r="G78"/>
      <c r="H78"/>
      <c r="I78"/>
    </row>
    <row r="79" spans="1:9" ht="15" x14ac:dyDescent="0.25">
      <c r="A79"/>
      <c r="B79" t="s">
        <v>1093</v>
      </c>
      <c r="C79" t="s">
        <v>1</v>
      </c>
      <c r="D79" t="s">
        <v>2</v>
      </c>
      <c r="E79" t="s">
        <v>3</v>
      </c>
      <c r="F79" t="s">
        <v>1092</v>
      </c>
      <c r="G79" t="s">
        <v>5</v>
      </c>
      <c r="H79" t="s">
        <v>1358</v>
      </c>
      <c r="I79" t="s">
        <v>1096</v>
      </c>
    </row>
    <row r="80" spans="1:9" ht="135" x14ac:dyDescent="0.25">
      <c r="A80" s="166" t="s">
        <v>1115</v>
      </c>
      <c r="B80" s="165">
        <v>7</v>
      </c>
      <c r="C80" s="165">
        <v>4</v>
      </c>
      <c r="D80" s="165">
        <v>25</v>
      </c>
      <c r="E80" s="165">
        <v>68</v>
      </c>
      <c r="F80" s="165">
        <v>62</v>
      </c>
      <c r="G80" s="165">
        <v>1</v>
      </c>
      <c r="H80" s="165"/>
      <c r="I80" s="165">
        <v>167</v>
      </c>
    </row>
    <row r="81" spans="1:9" ht="15" x14ac:dyDescent="0.25">
      <c r="A81"/>
      <c r="B81" s="215">
        <f>+GETPIVOTDATA("17.2. El programa académico al que pertenezco me brinda las posibilidades necesarias para: FORMAR UN PENSAMIENTO CRÍTICO Y ÉTICO.",$A$78,"17.2. El programa académico al que pertenezco me brinda las posibilidades necesarias para: FORMAR UN PENSAMIENTO CRÍTICO Y ÉTICO.","Totalmente en desacuerdo / NO")/GETPIVOTDATA("17.2. El programa académico al que pertenezco me brinda las posibilidades necesarias para: FORMAR UN PENSAMIENTO CRÍTICO Y ÉTICO.",$A$78)</f>
        <v>4.1916167664670656E-2</v>
      </c>
      <c r="C81" s="217">
        <f>+GETPIVOTDATA("17.2. El programa académico al que pertenezco me brinda las posibilidades necesarias para: FORMAR UN PENSAMIENTO CRÍTICO Y ÉTICO.",$A$78,"17.2. El programa académico al que pertenezco me brinda las posibilidades necesarias para: FORMAR UN PENSAMIENTO CRÍTICO Y ÉTICO.","En desacuerdo")/GETPIVOTDATA("17.2. El programa académico al que pertenezco me brinda las posibilidades necesarias para: FORMAR UN PENSAMIENTO CRÍTICO Y ÉTICO.",$A$78)</f>
        <v>2.3952095808383235E-2</v>
      </c>
      <c r="D81" s="217">
        <f>+GETPIVOTDATA("17.2. El programa académico al que pertenezco me brinda las posibilidades necesarias para: FORMAR UN PENSAMIENTO CRÍTICO Y ÉTICO.",$A$78,"17.2. El programa académico al que pertenezco me brinda las posibilidades necesarias para: FORMAR UN PENSAMIENTO CRÍTICO Y ÉTICO.","Medianamente de acuerdo")/GETPIVOTDATA("17.2. El programa académico al que pertenezco me brinda las posibilidades necesarias para: FORMAR UN PENSAMIENTO CRÍTICO Y ÉTICO.",$A$78)</f>
        <v>0.1497005988023952</v>
      </c>
      <c r="E81" s="217">
        <f>+GETPIVOTDATA("17.2. El programa académico al que pertenezco me brinda las posibilidades necesarias para: FORMAR UN PENSAMIENTO CRÍTICO Y ÉTICO.",$A$78,"17.2. El programa académico al que pertenezco me brinda las posibilidades necesarias para: FORMAR UN PENSAMIENTO CRÍTICO Y ÉTICO.","De acuerdo")/GETPIVOTDATA("17.2. El programa académico al que pertenezco me brinda las posibilidades necesarias para: FORMAR UN PENSAMIENTO CRÍTICO Y ÉTICO.",$A$78)</f>
        <v>0.40718562874251496</v>
      </c>
      <c r="F81" s="217">
        <f>+GETPIVOTDATA("17.2. El programa académico al que pertenezco me brinda las posibilidades necesarias para: FORMAR UN PENSAMIENTO CRÍTICO Y ÉTICO.",$A$78,"17.2. El programa académico al que pertenezco me brinda las posibilidades necesarias para: FORMAR UN PENSAMIENTO CRÍTICO Y ÉTICO.","Totalmente de acuerdo / SI")/GETPIVOTDATA("17.2. El programa académico al que pertenezco me brinda las posibilidades necesarias para: FORMAR UN PENSAMIENTO CRÍTICO Y ÉTICO.",$A$78)</f>
        <v>0.3712574850299401</v>
      </c>
      <c r="G81" s="217">
        <f>+GETPIVOTDATA("17.2. El programa académico al que pertenezco me brinda las posibilidades necesarias para: FORMAR UN PENSAMIENTO CRÍTICO Y ÉTICO.",$A$78,"17.2. El programa académico al que pertenezco me brinda las posibilidades necesarias para: FORMAR UN PENSAMIENTO CRÍTICO Y ÉTICO.","No sabe / No puede opinar al respecto")/GETPIVOTDATA("17.2. El programa académico al que pertenezco me brinda las posibilidades necesarias para: FORMAR UN PENSAMIENTO CRÍTICO Y ÉTICO.",$A$78)</f>
        <v>5.9880239520958087E-3</v>
      </c>
      <c r="I81" s="217">
        <f>SUM(B81:H81)</f>
        <v>1</v>
      </c>
    </row>
    <row r="82" spans="1:9" ht="15" x14ac:dyDescent="0.25">
      <c r="A82"/>
      <c r="B82" s="164" t="s">
        <v>2816</v>
      </c>
      <c r="C82"/>
      <c r="D82"/>
      <c r="E82"/>
      <c r="F82"/>
      <c r="G82"/>
      <c r="H82"/>
      <c r="I82"/>
    </row>
    <row r="83" spans="1:9" ht="15" x14ac:dyDescent="0.25">
      <c r="A83"/>
      <c r="B83" t="s">
        <v>1093</v>
      </c>
      <c r="C83" t="s">
        <v>1</v>
      </c>
      <c r="D83" t="s">
        <v>2</v>
      </c>
      <c r="E83" t="s">
        <v>3</v>
      </c>
      <c r="F83" t="s">
        <v>1092</v>
      </c>
      <c r="G83" t="s">
        <v>5</v>
      </c>
      <c r="H83" t="s">
        <v>1358</v>
      </c>
      <c r="I83" t="s">
        <v>1096</v>
      </c>
    </row>
    <row r="84" spans="1:9" ht="150" x14ac:dyDescent="0.25">
      <c r="A84" s="166" t="s">
        <v>1116</v>
      </c>
      <c r="B84" s="165">
        <v>5</v>
      </c>
      <c r="C84" s="165">
        <v>4</v>
      </c>
      <c r="D84" s="165">
        <v>27</v>
      </c>
      <c r="E84" s="165">
        <v>75</v>
      </c>
      <c r="F84" s="165">
        <v>54</v>
      </c>
      <c r="G84" s="165">
        <v>2</v>
      </c>
      <c r="H84" s="165"/>
      <c r="I84" s="165">
        <v>167</v>
      </c>
    </row>
    <row r="85" spans="1:9" ht="15" x14ac:dyDescent="0.25">
      <c r="A85"/>
      <c r="B85" s="215">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SOCIEDAD.","Totalmente en desacuerdo / NO")/GETPIVOTDATA("17.3. El programa académico al que pertenezco me brinda las posibilidades necesarias para: GENERAR CONOCIMIENTO AL SERVICIO DE LA SOCIEDAD.",$A$82)</f>
        <v>2.9940119760479042E-2</v>
      </c>
      <c r="C85" s="217">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SOCIEDAD.","En desacuerdo")/GETPIVOTDATA("17.3. El programa académico al que pertenezco me brinda las posibilidades necesarias para: GENERAR CONOCIMIENTO AL SERVICIO DE LA SOCIEDAD.",$A$82)</f>
        <v>2.3952095808383235E-2</v>
      </c>
      <c r="D85" s="217">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SOCIEDAD.","Medianamente de acuerdo")/GETPIVOTDATA("17.3. El programa académico al que pertenezco me brinda las posibilidades necesarias para: GENERAR CONOCIMIENTO AL SERVICIO DE LA SOCIEDAD.",$A$82)</f>
        <v>0.16167664670658682</v>
      </c>
      <c r="E85" s="217">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SOCIEDAD.","De acuerdo")/GETPIVOTDATA("17.3. El programa académico al que pertenezco me brinda las posibilidades necesarias para: GENERAR CONOCIMIENTO AL SERVICIO DE LA SOCIEDAD.",$A$82)</f>
        <v>0.44910179640718562</v>
      </c>
      <c r="F85" s="217">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SOCIEDAD.","Totalmente de acuerdo / SI")/GETPIVOTDATA("17.3. El programa académico al que pertenezco me brinda las posibilidades necesarias para: GENERAR CONOCIMIENTO AL SERVICIO DE LA SOCIEDAD.",$A$82)</f>
        <v>0.32335329341317365</v>
      </c>
      <c r="G85" s="217">
        <f>+GETPIVOTDATA("17.3. El programa académico al que pertenezco me brinda las posibilidades necesarias para: GENERAR CONOCIMIENTO AL SERVICIO DE LA SOCIEDAD.",$A$82,"17.3. El programa académico al que pertenezco me brinda las posibilidades necesarias para: GENERAR CONOCIMIENTO AL SERVICIO DE LA SOCIEDAD.","No sabe / No puede opinar al respecto")/GETPIVOTDATA("17.3. El programa académico al que pertenezco me brinda las posibilidades necesarias para: GENERAR CONOCIMIENTO AL SERVICIO DE LA SOCIEDAD.",$A$82)</f>
        <v>1.1976047904191617E-2</v>
      </c>
      <c r="I85" s="217">
        <f>SUM(B85:H85)</f>
        <v>1</v>
      </c>
    </row>
    <row r="86" spans="1:9" ht="15" x14ac:dyDescent="0.25">
      <c r="A86"/>
      <c r="B86" s="164" t="s">
        <v>2816</v>
      </c>
      <c r="C86"/>
      <c r="D86"/>
      <c r="E86"/>
      <c r="F86"/>
      <c r="G86"/>
      <c r="H86"/>
      <c r="I86"/>
    </row>
    <row r="87" spans="1:9" ht="15" x14ac:dyDescent="0.25">
      <c r="A87"/>
      <c r="B87" t="s">
        <v>1093</v>
      </c>
      <c r="C87" t="s">
        <v>1</v>
      </c>
      <c r="D87" t="s">
        <v>2</v>
      </c>
      <c r="E87" t="s">
        <v>3</v>
      </c>
      <c r="F87" t="s">
        <v>1092</v>
      </c>
      <c r="G87" t="s">
        <v>5</v>
      </c>
      <c r="H87" t="s">
        <v>1358</v>
      </c>
      <c r="I87" t="s">
        <v>1096</v>
      </c>
    </row>
    <row r="88" spans="1:9" ht="150" x14ac:dyDescent="0.25">
      <c r="A88" s="166" t="s">
        <v>1117</v>
      </c>
      <c r="B88" s="165">
        <v>4</v>
      </c>
      <c r="C88" s="165">
        <v>11</v>
      </c>
      <c r="D88" s="165">
        <v>34</v>
      </c>
      <c r="E88" s="165">
        <v>69</v>
      </c>
      <c r="F88" s="165">
        <v>47</v>
      </c>
      <c r="G88" s="165">
        <v>2</v>
      </c>
      <c r="H88" s="165"/>
      <c r="I88" s="165">
        <v>167</v>
      </c>
    </row>
    <row r="89" spans="1:9" ht="15" x14ac:dyDescent="0.25">
      <c r="A89"/>
      <c r="B89" s="215">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CIUDADANA.","Totalmente en desacuerdo / NO")/GETPIVOTDATA("17.4. El programa académico al que pertenezco me brinda las posibilidades necesarias para: SER PARTE ACTIVA Y PARTICIPATIVA EN LA CULTURA CIUDADANA.",$A$86)</f>
        <v>2.3952095808383235E-2</v>
      </c>
      <c r="C89" s="217">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CIUDADANA.","En desacuerdo")/GETPIVOTDATA("17.4. El programa académico al que pertenezco me brinda las posibilidades necesarias para: SER PARTE ACTIVA Y PARTICIPATIVA EN LA CULTURA CIUDADANA.",$A$86)</f>
        <v>6.5868263473053898E-2</v>
      </c>
      <c r="D89" s="217">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CIUDADANA.","Medianamente de acuerdo")/GETPIVOTDATA("17.4. El programa académico al que pertenezco me brinda las posibilidades necesarias para: SER PARTE ACTIVA Y PARTICIPATIVA EN LA CULTURA CIUDADANA.",$A$86)</f>
        <v>0.20359281437125748</v>
      </c>
      <c r="E89" s="217">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CIUDADANA.","De acuerdo")/GETPIVOTDATA("17.4. El programa académico al que pertenezco me brinda las posibilidades necesarias para: SER PARTE ACTIVA Y PARTICIPATIVA EN LA CULTURA CIUDADANA.",$A$86)</f>
        <v>0.41317365269461076</v>
      </c>
      <c r="F89" s="217">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CIUDADANA.","Totalmente de acuerdo / SI")/GETPIVOTDATA("17.4. El programa académico al que pertenezco me brinda las posibilidades necesarias para: SER PARTE ACTIVA Y PARTICIPATIVA EN LA CULTURA CIUDADANA.",$A$86)</f>
        <v>0.28143712574850299</v>
      </c>
      <c r="G89" s="217">
        <f>+GETPIVOTDATA("17.4. El programa académico al que pertenezco me brinda las posibilidades necesarias para: SER PARTE ACTIVA Y PARTICIPATIVA EN LA CULTURA CIUDADANA.",$A$86,"17.4. El programa académico al que pertenezco me brinda las posibilidades necesarias para: SER PARTE ACTIVA Y PARTICIPATIVA EN LA CULTURA CIUDADANA.","No sabe / No puede opinar al respecto")/GETPIVOTDATA("17.4. El programa académico al que pertenezco me brinda las posibilidades necesarias para: SER PARTE ACTIVA Y PARTICIPATIVA EN LA CULTURA CIUDADANA.",$A$86)</f>
        <v>1.1976047904191617E-2</v>
      </c>
      <c r="I89" s="217">
        <f>SUM(B89:H89)</f>
        <v>1</v>
      </c>
    </row>
    <row r="90" spans="1:9" ht="15" x14ac:dyDescent="0.25">
      <c r="A90"/>
      <c r="B90" s="164" t="s">
        <v>2816</v>
      </c>
      <c r="C90"/>
      <c r="D90"/>
      <c r="E90"/>
      <c r="F90"/>
      <c r="G90"/>
      <c r="H90"/>
      <c r="I90"/>
    </row>
    <row r="91" spans="1:9" ht="15" x14ac:dyDescent="0.25">
      <c r="A91"/>
      <c r="B91" t="s">
        <v>1093</v>
      </c>
      <c r="C91" t="s">
        <v>1</v>
      </c>
      <c r="D91" t="s">
        <v>2</v>
      </c>
      <c r="E91" t="s">
        <v>3</v>
      </c>
      <c r="F91" t="s">
        <v>1092</v>
      </c>
      <c r="G91" t="s">
        <v>5</v>
      </c>
      <c r="H91" t="s">
        <v>1358</v>
      </c>
      <c r="I91" t="s">
        <v>1096</v>
      </c>
    </row>
    <row r="92" spans="1:9" ht="165" x14ac:dyDescent="0.25">
      <c r="A92" s="166" t="s">
        <v>1118</v>
      </c>
      <c r="B92" s="165">
        <v>4</v>
      </c>
      <c r="C92" s="165">
        <v>4</v>
      </c>
      <c r="D92" s="165">
        <v>40</v>
      </c>
      <c r="E92" s="165">
        <v>77</v>
      </c>
      <c r="F92" s="165">
        <v>41</v>
      </c>
      <c r="G92" s="165">
        <v>1</v>
      </c>
      <c r="H92" s="165"/>
      <c r="I92" s="165">
        <v>167</v>
      </c>
    </row>
    <row r="93" spans="1:9" ht="15" x14ac:dyDescent="0.25">
      <c r="A93"/>
      <c r="B93" s="215">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CONCEPTOS.","Totalmente en desacuerdo / NO")/GETPIVOTDATA("17.5. El programa académico al que pertenezco me brinda las posibilidades necesarias para: DESARROLLAR TEXTOS QUE ARGUMENTEN OPINIONES Y/O CONCEPTOS.",$A$90)</f>
        <v>2.3952095808383235E-2</v>
      </c>
      <c r="C93" s="217">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CONCEPTOS.","En desacuerdo")/GETPIVOTDATA("17.5. El programa académico al que pertenezco me brinda las posibilidades necesarias para: DESARROLLAR TEXTOS QUE ARGUMENTEN OPINIONES Y/O CONCEPTOS.",$A$90)</f>
        <v>2.3952095808383235E-2</v>
      </c>
      <c r="D93" s="217">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CONCEPTOS.","Medianamente de acuerdo")/GETPIVOTDATA("17.5. El programa académico al que pertenezco me brinda las posibilidades necesarias para: DESARROLLAR TEXTOS QUE ARGUMENTEN OPINIONES Y/O CONCEPTOS.",$A$90)</f>
        <v>0.23952095808383234</v>
      </c>
      <c r="E93" s="217">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CONCEPTOS.","De acuerdo")/GETPIVOTDATA("17.5. El programa académico al que pertenezco me brinda las posibilidades necesarias para: DESARROLLAR TEXTOS QUE ARGUMENTEN OPINIONES Y/O CONCEPTOS.",$A$90)</f>
        <v>0.46107784431137727</v>
      </c>
      <c r="F93" s="217">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CONCEPTOS.","Totalmente de acuerdo / SI")/GETPIVOTDATA("17.5. El programa académico al que pertenezco me brinda las posibilidades necesarias para: DESARROLLAR TEXTOS QUE ARGUMENTEN OPINIONES Y/O CONCEPTOS.",$A$90)</f>
        <v>0.24550898203592814</v>
      </c>
      <c r="G93" s="217">
        <f>+GETPIVOTDATA("17.5. El programa académico al que pertenezco me brinda las posibilidades necesarias para: DESARROLLAR TEXTOS QUE ARGUMENTEN OPINIONES Y/O CONCEPTOS.",$A$90,"17.5. El programa académico al que pertenezco me brinda las posibilidades necesarias para: DESARROLLAR TEXTOS QUE ARGUMENTEN OPINIONES Y/O CONCEPTOS.","No sabe / No puede opinar al respecto")/GETPIVOTDATA("17.5. El programa académico al que pertenezco me brinda las posibilidades necesarias para: DESARROLLAR TEXTOS QUE ARGUMENTEN OPINIONES Y/O CONCEPTOS.",$A$90)</f>
        <v>5.9880239520958087E-3</v>
      </c>
      <c r="I93" s="217">
        <f>SUM(B93:H93)</f>
        <v>1</v>
      </c>
    </row>
    <row r="94" spans="1:9" ht="15" x14ac:dyDescent="0.25">
      <c r="A94"/>
      <c r="B94" s="164" t="s">
        <v>2816</v>
      </c>
      <c r="C94"/>
      <c r="D94"/>
      <c r="E94"/>
      <c r="F94"/>
      <c r="G94"/>
      <c r="H94"/>
      <c r="I94"/>
    </row>
    <row r="95" spans="1:9" ht="15" x14ac:dyDescent="0.25">
      <c r="A95"/>
      <c r="B95" t="s">
        <v>1093</v>
      </c>
      <c r="C95" t="s">
        <v>1</v>
      </c>
      <c r="D95" t="s">
        <v>2</v>
      </c>
      <c r="E95" t="s">
        <v>3</v>
      </c>
      <c r="F95" t="s">
        <v>1092</v>
      </c>
      <c r="G95" t="s">
        <v>5</v>
      </c>
      <c r="H95" t="s">
        <v>1358</v>
      </c>
      <c r="I95" t="s">
        <v>1096</v>
      </c>
    </row>
    <row r="96" spans="1:9" ht="90" x14ac:dyDescent="0.25">
      <c r="A96" s="166" t="s">
        <v>1119</v>
      </c>
      <c r="B96" s="165">
        <v>17</v>
      </c>
      <c r="C96" s="165">
        <v>24</v>
      </c>
      <c r="D96" s="165">
        <v>46</v>
      </c>
      <c r="E96" s="165">
        <v>48</v>
      </c>
      <c r="F96" s="165">
        <v>27</v>
      </c>
      <c r="G96" s="165">
        <v>5</v>
      </c>
      <c r="H96" s="165"/>
      <c r="I96" s="165">
        <v>167</v>
      </c>
    </row>
    <row r="97" spans="1:9" ht="15" x14ac:dyDescent="0.25">
      <c r="A97"/>
      <c r="B97" s="215">
        <f>+GETPIVOTDATA("18. El plan de estudios me permite cursar espacios académicos electivos en diversas áreas. ",$A$94,"18. El plan de estudios me permite cursar espacios académicos electivos en diversas áreas. ","Totalmente en desacuerdo / NO")/GETPIVOTDATA("18. El plan de estudios me permite cursar espacios académicos electivos en diversas áreas. ",$A$94)</f>
        <v>0.10179640718562874</v>
      </c>
      <c r="C97" s="217">
        <f>+GETPIVOTDATA("18. El plan de estudios me permite cursar espacios académicos electivos en diversas áreas. ",$A$94,"18. El plan de estudios me permite cursar espacios académicos electivos en diversas áreas. ","En desacuerdo")/GETPIVOTDATA("18. El plan de estudios me permite cursar espacios académicos electivos en diversas áreas. ",$A$94)</f>
        <v>0.1437125748502994</v>
      </c>
      <c r="D97" s="217">
        <f>+GETPIVOTDATA("18. El plan de estudios me permite cursar espacios académicos electivos en diversas áreas. ",$A$94,"18. El plan de estudios me permite cursar espacios académicos electivos en diversas áreas. ","Medianamente de acuerdo")/GETPIVOTDATA("18. El plan de estudios me permite cursar espacios académicos electivos en diversas áreas. ",$A$94)</f>
        <v>0.27544910179640719</v>
      </c>
      <c r="E97" s="217">
        <f>+GETPIVOTDATA("18. El plan de estudios me permite cursar espacios académicos electivos en diversas áreas. ",$A$94,"18. El plan de estudios me permite cursar espacios académicos electivos en diversas áreas. ","De acuerdo")/GETPIVOTDATA("18. El plan de estudios me permite cursar espacios académicos electivos en diversas áreas. ",$A$94)</f>
        <v>0.28742514970059879</v>
      </c>
      <c r="F97" s="217">
        <f>+GETPIVOTDATA("18. El plan de estudios me permite cursar espacios académicos electivos en diversas áreas. ",$A$94,"18. El plan de estudios me permite cursar espacios académicos electivos en diversas áreas. ","Totalmente de acuerdo / SI")/GETPIVOTDATA("18. El plan de estudios me permite cursar espacios académicos electivos en diversas áreas. ",$A$94)</f>
        <v>0.16167664670658682</v>
      </c>
      <c r="G97" s="217">
        <f>+GETPIVOTDATA("18. El plan de estudios me permite cursar espacios académicos electivos en diversas áreas. ",$A$94,"18. El plan de estudios me permite cursar espacios académicos electivos en diversas áreas. ","No sabe / No puede opinar al respecto")/GETPIVOTDATA("18. El plan de estudios me permite cursar espacios académicos electivos en diversas áreas. ",$A$94)</f>
        <v>2.9940119760479042E-2</v>
      </c>
      <c r="I97" s="217">
        <f>SUM(B97:H97)</f>
        <v>1</v>
      </c>
    </row>
    <row r="98" spans="1:9" ht="15" x14ac:dyDescent="0.25">
      <c r="A98"/>
      <c r="B98" s="164" t="s">
        <v>2816</v>
      </c>
      <c r="C98"/>
      <c r="D98"/>
      <c r="E98"/>
      <c r="F98"/>
      <c r="G98"/>
      <c r="H98"/>
      <c r="I98"/>
    </row>
    <row r="99" spans="1:9" ht="15" x14ac:dyDescent="0.25">
      <c r="A99"/>
      <c r="B99" t="s">
        <v>1093</v>
      </c>
      <c r="C99" t="s">
        <v>1</v>
      </c>
      <c r="D99" t="s">
        <v>2</v>
      </c>
      <c r="E99" t="s">
        <v>3</v>
      </c>
      <c r="F99" t="s">
        <v>1092</v>
      </c>
      <c r="G99" t="s">
        <v>5</v>
      </c>
      <c r="H99" t="s">
        <v>1358</v>
      </c>
      <c r="I99" t="s">
        <v>1096</v>
      </c>
    </row>
    <row r="100" spans="1:9" ht="90" x14ac:dyDescent="0.25">
      <c r="A100" s="166" t="s">
        <v>1120</v>
      </c>
      <c r="B100" s="165">
        <v>14</v>
      </c>
      <c r="C100" s="165">
        <v>24</v>
      </c>
      <c r="D100" s="165">
        <v>45</v>
      </c>
      <c r="E100" s="165">
        <v>47</v>
      </c>
      <c r="F100" s="165">
        <v>31</v>
      </c>
      <c r="G100" s="165">
        <v>6</v>
      </c>
      <c r="H100" s="165"/>
      <c r="I100" s="165">
        <v>167</v>
      </c>
    </row>
    <row r="101" spans="1:9" ht="15" x14ac:dyDescent="0.25">
      <c r="A101"/>
      <c r="B101" s="215">
        <f>+GETPIVOTDATA("19. El menú de asignaturas electivas despierta en mi interés profesional y personal.",$A$98,"19. El menú de asignaturas electivas despierta en mi interés profesional y personal.","Totalmente en desacuerdo / NO")/GETPIVOTDATA("19. El menú de asignaturas electivas despierta en mi interés profesional y personal.",$A$98)</f>
        <v>8.3832335329341312E-2</v>
      </c>
      <c r="C101" s="217">
        <f>+GETPIVOTDATA("19. El menú de asignaturas electivas despierta en mi interés profesional y personal.",$A$98,"19. El menú de asignaturas electivas despierta en mi interés profesional y personal.","En desacuerdo")/GETPIVOTDATA("19. El menú de asignaturas electivas despierta en mi interés profesional y personal.",$A$98)</f>
        <v>0.1437125748502994</v>
      </c>
      <c r="D101" s="217">
        <f>+GETPIVOTDATA("19. El menú de asignaturas electivas despierta en mi interés profesional y personal.",$A$98,"19. El menú de asignaturas electivas despierta en mi interés profesional y personal.","Medianamente de acuerdo")/GETPIVOTDATA("19. El menú de asignaturas electivas despierta en mi interés profesional y personal.",$A$98)</f>
        <v>0.26946107784431139</v>
      </c>
      <c r="E101" s="217">
        <f>+GETPIVOTDATA("19. El menú de asignaturas electivas despierta en mi interés profesional y personal.",$A$98,"19. El menú de asignaturas electivas despierta en mi interés profesional y personal.","De acuerdo")/GETPIVOTDATA("19. El menú de asignaturas electivas despierta en mi interés profesional y personal.",$A$98)</f>
        <v>0.28143712574850299</v>
      </c>
      <c r="F101" s="217">
        <f>+GETPIVOTDATA("19. El menú de asignaturas electivas despierta en mi interés profesional y personal.",$A$98,"19. El menú de asignaturas electivas despierta en mi interés profesional y personal.","Totalmente de acuerdo / SI")/GETPIVOTDATA("19. El menú de asignaturas electivas despierta en mi interés profesional y personal.",$A$98)</f>
        <v>0.18562874251497005</v>
      </c>
      <c r="G101" s="217">
        <f>+GETPIVOTDATA("19. El menú de asignaturas electivas despierta en mi interés profesional y personal.",$A$98,"19. El menú de asignaturas electivas despierta en mi interés profesional y personal.","No sabe / No puede opinar al respecto")/GETPIVOTDATA("19. El menú de asignaturas electivas despierta en mi interés profesional y personal.",$A$98)</f>
        <v>3.5928143712574849E-2</v>
      </c>
      <c r="I101" s="217">
        <f>SUM(B101:H101)</f>
        <v>1</v>
      </c>
    </row>
    <row r="102" spans="1:9" ht="15" x14ac:dyDescent="0.25">
      <c r="A102"/>
      <c r="B102" s="164" t="s">
        <v>2816</v>
      </c>
      <c r="C102"/>
      <c r="D102"/>
      <c r="E102"/>
      <c r="F102"/>
      <c r="G102"/>
      <c r="H102"/>
      <c r="I102"/>
    </row>
    <row r="103" spans="1:9" ht="15" x14ac:dyDescent="0.25">
      <c r="A103"/>
      <c r="B103" t="s">
        <v>1093</v>
      </c>
      <c r="C103" t="s">
        <v>1</v>
      </c>
      <c r="D103" t="s">
        <v>2</v>
      </c>
      <c r="E103" t="s">
        <v>3</v>
      </c>
      <c r="F103" t="s">
        <v>1092</v>
      </c>
      <c r="G103" t="s">
        <v>5</v>
      </c>
      <c r="H103" t="s">
        <v>1358</v>
      </c>
      <c r="I103" t="s">
        <v>1096</v>
      </c>
    </row>
    <row r="104" spans="1:9" ht="120" x14ac:dyDescent="0.25">
      <c r="A104" s="166" t="s">
        <v>1121</v>
      </c>
      <c r="B104" s="165">
        <v>8</v>
      </c>
      <c r="C104" s="165">
        <v>19</v>
      </c>
      <c r="D104" s="165">
        <v>40</v>
      </c>
      <c r="E104" s="165">
        <v>49</v>
      </c>
      <c r="F104" s="165">
        <v>27</v>
      </c>
      <c r="G104" s="165">
        <v>24</v>
      </c>
      <c r="H104" s="165"/>
      <c r="I104" s="165">
        <v>167</v>
      </c>
    </row>
    <row r="105" spans="1:9" ht="15" x14ac:dyDescent="0.25">
      <c r="A105"/>
      <c r="B105" s="215">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conocimiento.","Totalmente en desacuerdo / NO")/GETPIVOTDATA("20. En mi programa académico existe proyectos de investigación con participación de personas de distintas áreas del conocimiento.",$A$102)</f>
        <v>4.790419161676647E-2</v>
      </c>
      <c r="C105" s="217">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conocimiento.","En desacuerdo")/GETPIVOTDATA("20. En mi programa académico existe proyectos de investigación con participación de personas de distintas áreas del conocimiento.",$A$102)</f>
        <v>0.11377245508982035</v>
      </c>
      <c r="D105" s="217">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conocimiento.","Medianamente de acuerdo")/GETPIVOTDATA("20. En mi programa académico existe proyectos de investigación con participación de personas de distintas áreas del conocimiento.",$A$102)</f>
        <v>0.23952095808383234</v>
      </c>
      <c r="E105" s="217">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conocimiento.","De acuerdo")/GETPIVOTDATA("20. En mi programa académico existe proyectos de investigación con participación de personas de distintas áreas del conocimiento.",$A$102)</f>
        <v>0.29341317365269459</v>
      </c>
      <c r="F105" s="217">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conocimiento.","Totalmente de acuerdo / SI")/GETPIVOTDATA("20. En mi programa académico existe proyectos de investigación con participación de personas de distintas áreas del conocimiento.",$A$102)</f>
        <v>0.16167664670658682</v>
      </c>
      <c r="G105" s="217">
        <f>+GETPIVOTDATA("20. En mi programa académico existe proyectos de investigación con participación de personas de distintas áreas del conocimiento.",$A$102,"20. En mi programa académico existe proyectos de investigación con participación de personas de distintas áreas del conocimiento.","No sabe / No puede opinar al respecto")/GETPIVOTDATA("20. En mi programa académico existe proyectos de investigación con participación de personas de distintas áreas del conocimiento.",$A$102)</f>
        <v>0.1437125748502994</v>
      </c>
      <c r="I105" s="217">
        <f>SUM(B105:H105)</f>
        <v>1</v>
      </c>
    </row>
    <row r="106" spans="1:9" ht="15" x14ac:dyDescent="0.25">
      <c r="A106"/>
      <c r="B106" s="164" t="s">
        <v>2816</v>
      </c>
      <c r="C106"/>
      <c r="D106"/>
      <c r="E106"/>
      <c r="F106"/>
      <c r="G106"/>
      <c r="H106"/>
      <c r="I106"/>
    </row>
    <row r="107" spans="1:9" ht="15" x14ac:dyDescent="0.25">
      <c r="A107"/>
      <c r="B107" t="s">
        <v>1093</v>
      </c>
      <c r="C107" t="s">
        <v>1</v>
      </c>
      <c r="D107" t="s">
        <v>2</v>
      </c>
      <c r="E107" t="s">
        <v>3</v>
      </c>
      <c r="F107" t="s">
        <v>1092</v>
      </c>
      <c r="G107" t="s">
        <v>5</v>
      </c>
      <c r="H107" t="s">
        <v>1358</v>
      </c>
      <c r="I107" t="s">
        <v>1096</v>
      </c>
    </row>
    <row r="108" spans="1:9" ht="120" x14ac:dyDescent="0.25">
      <c r="A108" s="166" t="s">
        <v>1122</v>
      </c>
      <c r="B108" s="165">
        <v>10</v>
      </c>
      <c r="C108" s="165">
        <v>17</v>
      </c>
      <c r="D108" s="165">
        <v>37</v>
      </c>
      <c r="E108" s="165">
        <v>39</v>
      </c>
      <c r="F108" s="165">
        <v>23</v>
      </c>
      <c r="G108" s="165">
        <v>41</v>
      </c>
      <c r="H108" s="165"/>
      <c r="I108" s="165">
        <v>167</v>
      </c>
    </row>
    <row r="109" spans="1:9" ht="15" x14ac:dyDescent="0.25">
      <c r="A109"/>
      <c r="B109" s="215">
        <f>+GETPIVOTDATA("21. Los proyectos de grado pueden realizarse con intervención de estudiantes de diferentes programas académicos.",$A$106,"21. Los proyectos de grado pueden realizarse con intervención de estudiantes de diferentes programas académicos.","Totalmente en desacuerdo / NO")/GETPIVOTDATA("21. Los proyectos de grado pueden realizarse con intervención de estudiantes de diferentes programas académicos.",$A$106)</f>
        <v>5.9880239520958084E-2</v>
      </c>
      <c r="C109" s="217">
        <f>+GETPIVOTDATA("21. Los proyectos de grado pueden realizarse con intervención de estudiantes de diferentes programas académicos.",$A$106,"21. Los proyectos de grado pueden realizarse con intervención de estudiantes de diferentes programas académicos.","En desacuerdo")/GETPIVOTDATA("21. Los proyectos de grado pueden realizarse con intervención de estudiantes de diferentes programas académicos.",$A$106)</f>
        <v>0.10179640718562874</v>
      </c>
      <c r="D109" s="217">
        <f>+GETPIVOTDATA("21. Los proyectos de grado pueden realizarse con intervención de estudiantes de diferentes programas académicos.",$A$106,"21. Los proyectos de grado pueden realizarse con intervención de estudiantes de diferentes programas académicos.","Medianamente de acuerdo")/GETPIVOTDATA("21. Los proyectos de grado pueden realizarse con intervención de estudiantes de diferentes programas académicos.",$A$106)</f>
        <v>0.22155688622754491</v>
      </c>
      <c r="E109" s="217">
        <f>+GETPIVOTDATA("21. Los proyectos de grado pueden realizarse con intervención de estudiantes de diferentes programas académicos.",$A$106,"21. Los proyectos de grado pueden realizarse con intervención de estudiantes de diferentes programas académicos.","De acuerdo")/GETPIVOTDATA("21. Los proyectos de grado pueden realizarse con intervención de estudiantes de diferentes programas académicos.",$A$106)</f>
        <v>0.23353293413173654</v>
      </c>
      <c r="F109" s="217">
        <f>+GETPIVOTDATA("21. Los proyectos de grado pueden realizarse con intervención de estudiantes de diferentes programas académicos.",$A$106,"21. Los proyectos de grado pueden realizarse con intervención de estudiantes de diferentes programas académicos.","Totalmente de acuerdo / SI")/GETPIVOTDATA("21. Los proyectos de grado pueden realizarse con intervención de estudiantes de diferentes programas académicos.",$A$106)</f>
        <v>0.1377245508982036</v>
      </c>
      <c r="G109" s="217">
        <f>+GETPIVOTDATA("21. Los proyectos de grado pueden realizarse con intervención de estudiantes de diferentes programas académicos.",$A$106,"21. Los proyectos de grado pueden realizarse con intervención de estudiantes de diferentes programas académicos.","No sabe / No puede opinar al respecto")/GETPIVOTDATA("21. Los proyectos de grado pueden realizarse con intervención de estudiantes de diferentes programas académicos.",$A$106)</f>
        <v>0.24550898203592814</v>
      </c>
      <c r="I109" s="217">
        <f>SUM(B109:H109)</f>
        <v>1</v>
      </c>
    </row>
    <row r="110" spans="1:9" ht="15" x14ac:dyDescent="0.25">
      <c r="A110"/>
      <c r="B110" s="164" t="s">
        <v>2816</v>
      </c>
      <c r="C110"/>
      <c r="D110"/>
      <c r="E110"/>
      <c r="F110"/>
      <c r="G110"/>
      <c r="H110"/>
      <c r="I110"/>
    </row>
    <row r="111" spans="1:9" ht="15" x14ac:dyDescent="0.25">
      <c r="A111"/>
      <c r="B111" t="s">
        <v>1093</v>
      </c>
      <c r="C111" t="s">
        <v>1</v>
      </c>
      <c r="D111" t="s">
        <v>2</v>
      </c>
      <c r="E111" t="s">
        <v>3</v>
      </c>
      <c r="F111" t="s">
        <v>1092</v>
      </c>
      <c r="G111" t="s">
        <v>5</v>
      </c>
      <c r="H111" t="s">
        <v>1358</v>
      </c>
      <c r="I111" t="s">
        <v>1096</v>
      </c>
    </row>
    <row r="112" spans="1:9" ht="75" x14ac:dyDescent="0.25">
      <c r="A112" s="166" t="s">
        <v>1123</v>
      </c>
      <c r="B112" s="165">
        <v>10</v>
      </c>
      <c r="C112" s="165">
        <v>10</v>
      </c>
      <c r="D112" s="165">
        <v>25</v>
      </c>
      <c r="E112" s="165">
        <v>62</v>
      </c>
      <c r="F112" s="165">
        <v>50</v>
      </c>
      <c r="G112" s="165">
        <v>10</v>
      </c>
      <c r="H112" s="165"/>
      <c r="I112" s="165">
        <v>167</v>
      </c>
    </row>
    <row r="113" spans="1:9" ht="15" x14ac:dyDescent="0.25">
      <c r="A113"/>
      <c r="B113" s="215">
        <f>+GETPIVOTDATA("22. Puedo inscribir espacios académicos en otros programas académicos.",$A$110,"22. Puedo inscribir espacios académicos en otros programas académicos.","Totalmente en desacuerdo / NO")/GETPIVOTDATA("22. Puedo inscribir espacios académicos en otros programas académicos.",$A$110)</f>
        <v>5.9880239520958084E-2</v>
      </c>
      <c r="C113" s="217">
        <f>+GETPIVOTDATA("22. Puedo inscribir espacios académicos en otros programas académicos.",$A$110,"22. Puedo inscribir espacios académicos en otros programas académicos.","En desacuerdo")/GETPIVOTDATA("22. Puedo inscribir espacios académicos en otros programas académicos.",$A$110)</f>
        <v>5.9880239520958084E-2</v>
      </c>
      <c r="D113" s="217">
        <f>+GETPIVOTDATA("22. Puedo inscribir espacios académicos en otros programas académicos.",$A$110,"22. Puedo inscribir espacios académicos en otros programas académicos.","Medianamente de acuerdo")/GETPIVOTDATA("22. Puedo inscribir espacios académicos en otros programas académicos.",$A$110)</f>
        <v>0.1497005988023952</v>
      </c>
      <c r="E113" s="217">
        <f>+GETPIVOTDATA("22. Puedo inscribir espacios académicos en otros programas académicos.",$A$110,"22. Puedo inscribir espacios académicos en otros programas académicos.","De acuerdo")/GETPIVOTDATA("22. Puedo inscribir espacios académicos en otros programas académicos.",$A$110)</f>
        <v>0.3712574850299401</v>
      </c>
      <c r="F113" s="217">
        <f>+GETPIVOTDATA("22. Puedo inscribir espacios académicos en otros programas académicos.",$A$110,"22. Puedo inscribir espacios académicos en otros programas académicos.","Totalmente de acuerdo / SI")/GETPIVOTDATA("22. Puedo inscribir espacios académicos en otros programas académicos.",$A$110)</f>
        <v>0.29940119760479039</v>
      </c>
      <c r="G113" s="217">
        <f>+GETPIVOTDATA("22. Puedo inscribir espacios académicos en otros programas académicos.",$A$110,"22. Puedo inscribir espacios académicos en otros programas académicos.","No sabe / No puede opinar al respecto")/GETPIVOTDATA("22. Puedo inscribir espacios académicos en otros programas académicos.",$A$110)</f>
        <v>5.9880239520958084E-2</v>
      </c>
      <c r="I113" s="217">
        <f>SUM(B113:H113)</f>
        <v>1</v>
      </c>
    </row>
    <row r="114" spans="1:9" ht="15" x14ac:dyDescent="0.25">
      <c r="A114"/>
      <c r="B114" s="164" t="s">
        <v>2816</v>
      </c>
      <c r="C114"/>
      <c r="D114"/>
      <c r="E114"/>
      <c r="F114"/>
      <c r="G114"/>
      <c r="H114"/>
      <c r="I114"/>
    </row>
    <row r="115" spans="1:9" ht="15" x14ac:dyDescent="0.25">
      <c r="A115"/>
      <c r="B115" t="s">
        <v>1093</v>
      </c>
      <c r="C115" t="s">
        <v>1</v>
      </c>
      <c r="D115" t="s">
        <v>2</v>
      </c>
      <c r="E115" t="s">
        <v>3</v>
      </c>
      <c r="F115" t="s">
        <v>1092</v>
      </c>
      <c r="G115" t="s">
        <v>5</v>
      </c>
      <c r="H115" t="s">
        <v>1358</v>
      </c>
      <c r="I115" t="s">
        <v>1096</v>
      </c>
    </row>
    <row r="116" spans="1:9" ht="105" x14ac:dyDescent="0.25">
      <c r="A116" s="166" t="s">
        <v>1124</v>
      </c>
      <c r="B116" s="165">
        <v>21</v>
      </c>
      <c r="C116" s="165">
        <v>20</v>
      </c>
      <c r="D116" s="165">
        <v>33</v>
      </c>
      <c r="E116" s="165">
        <v>23</v>
      </c>
      <c r="F116" s="165">
        <v>34</v>
      </c>
      <c r="G116" s="165">
        <v>36</v>
      </c>
      <c r="H116" s="165"/>
      <c r="I116" s="165">
        <v>167</v>
      </c>
    </row>
    <row r="117" spans="1:9" ht="15" x14ac:dyDescent="0.25">
      <c r="A117"/>
      <c r="B117" s="215">
        <f>+GETPIVOTDATA("23. Puedo inscribir espacios académicos en otras Instituciones y homologarlas en mi programa académico.",$A$114,"23. Puedo inscribir espacios académicos en otras Instituciones y homologarlas en mi programa académico.","Totalmente en desacuerdo / NO")/GETPIVOTDATA("23. Puedo inscribir espacios académicos en otras Instituciones y homologarlas en mi programa académico.",$A$114)</f>
        <v>0.12574850299401197</v>
      </c>
      <c r="C117" s="217">
        <f>+GETPIVOTDATA("23. Puedo inscribir espacios académicos en otras Instituciones y homologarlas en mi programa académico.",$A$114,"23. Puedo inscribir espacios académicos en otras Instituciones y homologarlas en mi programa académico.","En desacuerdo")/GETPIVOTDATA("23. Puedo inscribir espacios académicos en otras Instituciones y homologarlas en mi programa académico.",$A$114)</f>
        <v>0.11976047904191617</v>
      </c>
      <c r="D117" s="217">
        <f>+GETPIVOTDATA("23. Puedo inscribir espacios académicos en otras Instituciones y homologarlas en mi programa académico.",$A$114,"23. Puedo inscribir espacios académicos en otras Instituciones y homologarlas en mi programa académico.","Medianamente de acuerdo")/GETPIVOTDATA("23. Puedo inscribir espacios académicos en otras Instituciones y homologarlas en mi programa académico.",$A$114)</f>
        <v>0.19760479041916168</v>
      </c>
      <c r="E117" s="217">
        <f>+GETPIVOTDATA("23. Puedo inscribir espacios académicos en otras Instituciones y homologarlas en mi programa académico.",$A$114,"23. Puedo inscribir espacios académicos en otras Instituciones y homologarlas en mi programa académico.","De acuerdo")/GETPIVOTDATA("23. Puedo inscribir espacios académicos en otras Instituciones y homologarlas en mi programa académico.",$A$114)</f>
        <v>0.1377245508982036</v>
      </c>
      <c r="F117" s="217">
        <f>+GETPIVOTDATA("23. Puedo inscribir espacios académicos en otras Instituciones y homologarlas en mi programa académico.",$A$114,"23. Puedo inscribir espacios académicos en otras Instituciones y homologarlas en mi programa académico.","Totalmente de acuerdo / SI")/GETPIVOTDATA("23. Puedo inscribir espacios académicos en otras Instituciones y homologarlas en mi programa académico.",$A$114)</f>
        <v>0.20359281437125748</v>
      </c>
      <c r="G117" s="217">
        <f>+GETPIVOTDATA("23. Puedo inscribir espacios académicos en otras Instituciones y homologarlas en mi programa académico.",$A$114,"23. Puedo inscribir espacios académicos en otras Instituciones y homologarlas en mi programa académico.","No sabe / No puede opinar al respecto")/GETPIVOTDATA("23. Puedo inscribir espacios académicos en otras Instituciones y homologarlas en mi programa académico.",$A$114)</f>
        <v>0.21556886227544911</v>
      </c>
      <c r="I117" s="217">
        <f>SUM(B117:H117)</f>
        <v>1</v>
      </c>
    </row>
    <row r="118" spans="1:9" ht="15" x14ac:dyDescent="0.25">
      <c r="A118"/>
      <c r="B118" s="164" t="s">
        <v>2816</v>
      </c>
      <c r="C118"/>
      <c r="D118"/>
      <c r="E118"/>
      <c r="F118"/>
      <c r="G118"/>
      <c r="H118"/>
      <c r="I118"/>
    </row>
    <row r="119" spans="1:9" ht="15" x14ac:dyDescent="0.25">
      <c r="A119"/>
      <c r="B119" t="s">
        <v>1093</v>
      </c>
      <c r="C119" t="s">
        <v>1</v>
      </c>
      <c r="D119" t="s">
        <v>2</v>
      </c>
      <c r="E119" t="s">
        <v>3</v>
      </c>
      <c r="F119" t="s">
        <v>1092</v>
      </c>
      <c r="G119" t="s">
        <v>5</v>
      </c>
      <c r="H119" t="s">
        <v>1358</v>
      </c>
      <c r="I119" t="s">
        <v>1096</v>
      </c>
    </row>
    <row r="120" spans="1:9" ht="120" x14ac:dyDescent="0.25">
      <c r="A120" s="166" t="s">
        <v>1125</v>
      </c>
      <c r="B120" s="165">
        <v>17</v>
      </c>
      <c r="C120" s="165">
        <v>6</v>
      </c>
      <c r="D120" s="165">
        <v>28</v>
      </c>
      <c r="E120" s="165">
        <v>60</v>
      </c>
      <c r="F120" s="165">
        <v>44</v>
      </c>
      <c r="G120" s="165">
        <v>12</v>
      </c>
      <c r="H120" s="165"/>
      <c r="I120" s="165">
        <v>167</v>
      </c>
    </row>
    <row r="121" spans="1:9" ht="15" x14ac:dyDescent="0.25">
      <c r="A121"/>
      <c r="B121" s="215">
        <f>+GETPIVOTDATA("24. En mi programa académico existen espacios académicos en donde se inscriben estudiantes de diferentes programas. ",$A$118,"24. En mi programa académico existen espacios académicos en donde se inscriben estudiantes de diferentes programas. ","Totalmente en desacuerdo / NO")/GETPIVOTDATA("24. En mi programa académico existen espacios académicos en donde se inscriben estudiantes de diferentes programas. ",$A$118)</f>
        <v>0.10179640718562874</v>
      </c>
      <c r="C121" s="217">
        <f>+GETPIVOTDATA("24. En mi programa académico existen espacios académicos en donde se inscriben estudiantes de diferentes programas. ",$A$118,"24. En mi programa académico existen espacios académicos en donde se inscriben estudiantes de diferentes programas. ","En desacuerdo")/GETPIVOTDATA("24. En mi programa académico existen espacios académicos en donde se inscriben estudiantes de diferentes programas. ",$A$118)</f>
        <v>3.5928143712574849E-2</v>
      </c>
      <c r="D121" s="217">
        <f>+GETPIVOTDATA("24. En mi programa académico existen espacios académicos en donde se inscriben estudiantes de diferentes programas. ",$A$118,"24. En mi programa académico existen espacios académicos en donde se inscriben estudiantes de diferentes programas. ","Medianamente de acuerdo")/GETPIVOTDATA("24. En mi programa académico existen espacios académicos en donde se inscriben estudiantes de diferentes programas. ",$A$118)</f>
        <v>0.16766467065868262</v>
      </c>
      <c r="E121" s="217">
        <f>+GETPIVOTDATA("24. En mi programa académico existen espacios académicos en donde se inscriben estudiantes de diferentes programas. ",$A$118,"24. En mi programa académico existen espacios académicos en donde se inscriben estudiantes de diferentes programas. ","De acuerdo")/GETPIVOTDATA("24. En mi programa académico existen espacios académicos en donde se inscriben estudiantes de diferentes programas. ",$A$118)</f>
        <v>0.3592814371257485</v>
      </c>
      <c r="F121" s="217">
        <f>+GETPIVOTDATA("24. En mi programa académico existen espacios académicos en donde se inscriben estudiantes de diferentes programas. ",$A$118,"24. En mi programa académico existen espacios académicos en donde se inscriben estudiantes de diferentes programas. ","Totalmente de acuerdo / SI")/GETPIVOTDATA("24. En mi programa académico existen espacios académicos en donde se inscriben estudiantes de diferentes programas. ",$A$118)</f>
        <v>0.26347305389221559</v>
      </c>
      <c r="G121" s="217">
        <f>+GETPIVOTDATA("24. En mi programa académico existen espacios académicos en donde se inscriben estudiantes de diferentes programas. ",$A$118,"24. En mi programa académico existen espacios académicos en donde se inscriben estudiantes de diferentes programas. ","No sabe / No puede opinar al respecto")/GETPIVOTDATA("24. En mi programa académico existen espacios académicos en donde se inscriben estudiantes de diferentes programas. ",$A$118)</f>
        <v>7.1856287425149698E-2</v>
      </c>
      <c r="I121" s="217">
        <f>SUM(B121:H121)</f>
        <v>1</v>
      </c>
    </row>
    <row r="122" spans="1:9" ht="15" x14ac:dyDescent="0.25">
      <c r="A122"/>
      <c r="B122" s="164" t="s">
        <v>2816</v>
      </c>
      <c r="C122"/>
      <c r="D122"/>
      <c r="E122"/>
      <c r="F122"/>
      <c r="G122"/>
      <c r="H122"/>
      <c r="I122"/>
    </row>
    <row r="123" spans="1:9" ht="15" x14ac:dyDescent="0.25">
      <c r="A123"/>
      <c r="B123" t="s">
        <v>1093</v>
      </c>
      <c r="C123" t="s">
        <v>1</v>
      </c>
      <c r="D123" t="s">
        <v>2</v>
      </c>
      <c r="E123" t="s">
        <v>3</v>
      </c>
      <c r="F123" t="s">
        <v>1092</v>
      </c>
      <c r="G123" t="s">
        <v>5</v>
      </c>
      <c r="H123" t="s">
        <v>1358</v>
      </c>
      <c r="I123" t="s">
        <v>1096</v>
      </c>
    </row>
    <row r="124" spans="1:9" ht="165" x14ac:dyDescent="0.25">
      <c r="A124" s="166" t="s">
        <v>1126</v>
      </c>
      <c r="B124" s="165">
        <v>11</v>
      </c>
      <c r="C124" s="165">
        <v>20</v>
      </c>
      <c r="D124" s="165">
        <v>44</v>
      </c>
      <c r="E124" s="165">
        <v>48</v>
      </c>
      <c r="F124" s="165">
        <v>29</v>
      </c>
      <c r="G124" s="165">
        <v>15</v>
      </c>
      <c r="H124" s="165"/>
      <c r="I124" s="165">
        <v>167</v>
      </c>
    </row>
    <row r="125" spans="1:9" ht="15" x14ac:dyDescent="0.25">
      <c r="A125"/>
      <c r="B125" s="215">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Caldas.","Totalmente en desacuerdo / NO")/GETPIVOTDATA("25. En mi programa académico existen cursos de interés para los estudiantes de otros programas académicos de la Facultad Tecnológica y de la Universidad Distrital Francisco José de Caldas.",$A$122)</f>
        <v>6.5868263473053898E-2</v>
      </c>
      <c r="C125" s="217">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Caldas.","En desacuerdo")/GETPIVOTDATA("25. En mi programa académico existen cursos de interés para los estudiantes de otros programas académicos de la Facultad Tecnológica y de la Universidad Distrital Francisco José de Caldas.",$A$122)</f>
        <v>0.11976047904191617</v>
      </c>
      <c r="D125" s="217">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Caldas.","Medianamente de acuerdo")/GETPIVOTDATA("25. En mi programa académico existen cursos de interés para los estudiantes de otros programas académicos de la Facultad Tecnológica y de la Universidad Distrital Francisco José de Caldas.",$A$122)</f>
        <v>0.26347305389221559</v>
      </c>
      <c r="E125" s="217">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Caldas.","De acuerdo")/GETPIVOTDATA("25. En mi programa académico existen cursos de interés para los estudiantes de otros programas académicos de la Facultad Tecnológica y de la Universidad Distrital Francisco José de Caldas.",$A$122)</f>
        <v>0.28742514970059879</v>
      </c>
      <c r="F125" s="217">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Caldas.","Totalmente de acuerdo / SI")/GETPIVOTDATA("25. En mi programa académico existen cursos de interés para los estudiantes de otros programas académicos de la Facultad Tecnológica y de la Universidad Distrital Francisco José de Caldas.",$A$122)</f>
        <v>0.17365269461077845</v>
      </c>
      <c r="G125" s="217">
        <f>+GETPIVOTDATA("25. En mi programa académico existen cursos de interés para los estudiantes de otros programas académicos de la Facultad Tecnológica y de la Universidad Distrital Francisco José de Caldas.",$A$122,"25. En mi programa académico existen cursos de interés para los estudiantes de otros programas académicos de la Facultad Tecnológica y de la Universidad Distrital Francisco José de Caldas.","No sabe / No puede opinar al respecto")/GETPIVOTDATA("25. En mi programa académico existen cursos de interés para los estudiantes de otros programas académicos de la Facultad Tecnológica y de la Universidad Distrital Francisco José de Caldas.",$A$122)</f>
        <v>8.9820359281437126E-2</v>
      </c>
      <c r="I125" s="217">
        <f>SUM(B125:H125)</f>
        <v>1</v>
      </c>
    </row>
    <row r="126" spans="1:9" ht="15" x14ac:dyDescent="0.25">
      <c r="A126"/>
      <c r="B126" s="164" t="s">
        <v>2816</v>
      </c>
      <c r="C126"/>
      <c r="D126"/>
      <c r="E126"/>
      <c r="F126"/>
      <c r="G126"/>
      <c r="H126"/>
      <c r="I126"/>
    </row>
    <row r="127" spans="1:9" ht="15" x14ac:dyDescent="0.25">
      <c r="A127"/>
      <c r="B127" t="s">
        <v>1093</v>
      </c>
      <c r="C127" t="s">
        <v>1</v>
      </c>
      <c r="D127" t="s">
        <v>2</v>
      </c>
      <c r="E127" t="s">
        <v>3</v>
      </c>
      <c r="F127" t="s">
        <v>1092</v>
      </c>
      <c r="G127" t="s">
        <v>5</v>
      </c>
      <c r="H127" t="s">
        <v>1358</v>
      </c>
      <c r="I127" t="s">
        <v>1096</v>
      </c>
    </row>
    <row r="128" spans="1:9" ht="105" x14ac:dyDescent="0.25">
      <c r="A128" s="166" t="s">
        <v>1127</v>
      </c>
      <c r="B128" s="165">
        <v>14</v>
      </c>
      <c r="C128" s="165">
        <v>22</v>
      </c>
      <c r="D128" s="165">
        <v>47</v>
      </c>
      <c r="E128" s="165">
        <v>55</v>
      </c>
      <c r="F128" s="165">
        <v>26</v>
      </c>
      <c r="G128" s="165">
        <v>3</v>
      </c>
      <c r="H128" s="165"/>
      <c r="I128" s="165">
        <v>167</v>
      </c>
    </row>
    <row r="129" spans="1:9" ht="15" x14ac:dyDescent="0.25">
      <c r="A129"/>
      <c r="B129" s="215">
        <f>+GETPIVOTDATA("26. Mi programa académico incentiva las actividades y proyectos extra clase que los estudiantes realizan. ",$A$126,"26. Mi programa académico incentiva las actividades y proyectos extra clase que los estudiantes realizan. ","Totalmente en desacuerdo / NO")/GETPIVOTDATA("26. Mi programa académico incentiva las actividades y proyectos extra clase que los estudiantes realizan. ",$A$126)</f>
        <v>8.3832335329341312E-2</v>
      </c>
      <c r="C129" s="217">
        <f>+GETPIVOTDATA("26. Mi programa académico incentiva las actividades y proyectos extra clase que los estudiantes realizan. ",$A$126,"26. Mi programa académico incentiva las actividades y proyectos extra clase que los estudiantes realizan. ","En desacuerdo")/GETPIVOTDATA("26. Mi programa académico incentiva las actividades y proyectos extra clase que los estudiantes realizan. ",$A$126)</f>
        <v>0.1317365269461078</v>
      </c>
      <c r="D129" s="217">
        <f>+GETPIVOTDATA("26. Mi programa académico incentiva las actividades y proyectos extra clase que los estudiantes realizan. ",$A$126,"26. Mi programa académico incentiva las actividades y proyectos extra clase que los estudiantes realizan. ","Medianamente de acuerdo")/GETPIVOTDATA("26. Mi programa académico incentiva las actividades y proyectos extra clase que los estudiantes realizan. ",$A$126)</f>
        <v>0.28143712574850299</v>
      </c>
      <c r="E129" s="217">
        <f>+GETPIVOTDATA("26. Mi programa académico incentiva las actividades y proyectos extra clase que los estudiantes realizan. ",$A$126,"26. Mi programa académico incentiva las actividades y proyectos extra clase que los estudiantes realizan. ","De acuerdo")/GETPIVOTDATA("26. Mi programa académico incentiva las actividades y proyectos extra clase que los estudiantes realizan. ",$A$126)</f>
        <v>0.32934131736526945</v>
      </c>
      <c r="F129" s="217">
        <f>+GETPIVOTDATA("26. Mi programa académico incentiva las actividades y proyectos extra clase que los estudiantes realizan. ",$A$126,"26. Mi programa académico incentiva las actividades y proyectos extra clase que los estudiantes realizan. ","Totalmente de acuerdo / SI")/GETPIVOTDATA("26. Mi programa académico incentiva las actividades y proyectos extra clase que los estudiantes realizan. ",$A$126)</f>
        <v>0.15568862275449102</v>
      </c>
      <c r="G129" s="217">
        <f>+GETPIVOTDATA("26. Mi programa académico incentiva las actividades y proyectos extra clase que los estudiantes realizan. ",$A$126,"26. Mi programa académico incentiva las actividades y proyectos extra clase que los estudiantes realizan. ","No sabe / No puede opinar al respecto")/GETPIVOTDATA("26. Mi programa académico incentiva las actividades y proyectos extra clase que los estudiantes realizan. ",$A$126)</f>
        <v>1.7964071856287425E-2</v>
      </c>
      <c r="I129" s="217">
        <f>SUM(B129:H129)</f>
        <v>1</v>
      </c>
    </row>
    <row r="130" spans="1:9" ht="15" x14ac:dyDescent="0.25">
      <c r="A130"/>
      <c r="B130" s="164" t="s">
        <v>2816</v>
      </c>
      <c r="C130"/>
      <c r="D130"/>
      <c r="E130"/>
      <c r="F130"/>
      <c r="G130"/>
      <c r="H130"/>
      <c r="I130"/>
    </row>
    <row r="131" spans="1:9" ht="15" x14ac:dyDescent="0.25">
      <c r="A131"/>
      <c r="B131" t="s">
        <v>1093</v>
      </c>
      <c r="C131" t="s">
        <v>1</v>
      </c>
      <c r="D131" t="s">
        <v>2</v>
      </c>
      <c r="E131" t="s">
        <v>3</v>
      </c>
      <c r="F131" t="s">
        <v>1092</v>
      </c>
      <c r="G131" t="s">
        <v>5</v>
      </c>
      <c r="H131" t="s">
        <v>1358</v>
      </c>
      <c r="I131" t="s">
        <v>1096</v>
      </c>
    </row>
    <row r="132" spans="1:9" ht="165" x14ac:dyDescent="0.25">
      <c r="A132" s="166" t="s">
        <v>1128</v>
      </c>
      <c r="B132" s="165">
        <v>7</v>
      </c>
      <c r="C132" s="165">
        <v>16</v>
      </c>
      <c r="D132" s="165">
        <v>40</v>
      </c>
      <c r="E132" s="165">
        <v>61</v>
      </c>
      <c r="F132" s="165">
        <v>42</v>
      </c>
      <c r="G132" s="165">
        <v>1</v>
      </c>
      <c r="H132" s="165"/>
      <c r="I132" s="165">
        <v>167</v>
      </c>
    </row>
    <row r="133" spans="1:9" ht="15" x14ac:dyDescent="0.25">
      <c r="A133"/>
      <c r="B133" s="215">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escogí.","Totalmente en desacuerdo / NO")/GETPIVOTDATA("27. Las estrategias didácticas empleadas en mi programa académico me permiten adquirir los conocimientos característicos de la profesión que escogí.",$A$130)</f>
        <v>4.1916167664670656E-2</v>
      </c>
      <c r="C133" s="217">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escogí.","En desacuerdo")/GETPIVOTDATA("27. Las estrategias didácticas empleadas en mi programa académico me permiten adquirir los conocimientos característicos de la profesión que escogí.",$A$130)</f>
        <v>9.580838323353294E-2</v>
      </c>
      <c r="D133" s="217">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escogí.","Medianamente de acuerdo")/GETPIVOTDATA("27. Las estrategias didácticas empleadas en mi programa académico me permiten adquirir los conocimientos característicos de la profesión que escogí.",$A$130)</f>
        <v>0.23952095808383234</v>
      </c>
      <c r="E133" s="217">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escogí.","De acuerdo")/GETPIVOTDATA("27. Las estrategias didácticas empleadas en mi programa académico me permiten adquirir los conocimientos característicos de la profesión que escogí.",$A$130)</f>
        <v>0.3652694610778443</v>
      </c>
      <c r="F133" s="217">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escogí.","Totalmente de acuerdo / SI")/GETPIVOTDATA("27. Las estrategias didácticas empleadas en mi programa académico me permiten adquirir los conocimientos característicos de la profesión que escogí.",$A$130)</f>
        <v>0.25149700598802394</v>
      </c>
      <c r="G133" s="217">
        <f>+GETPIVOTDATA("27. Las estrategias didácticas empleadas en mi programa académico me permiten adquirir los conocimientos característicos de la profesión que escogí.",$A$130,"27. Las estrategias didácticas empleadas en mi programa académico me permiten adquirir los conocimientos característicos de la profesión que escogí.","No sabe / No puede opinar al respecto")/GETPIVOTDATA("27. Las estrategias didácticas empleadas en mi programa académico me permiten adquirir los conocimientos característicos de la profesión que escogí.",$A$130)</f>
        <v>5.9880239520958087E-3</v>
      </c>
      <c r="I133" s="217">
        <f>SUM(B133:H133)</f>
        <v>1</v>
      </c>
    </row>
    <row r="134" spans="1:9" ht="15" x14ac:dyDescent="0.25">
      <c r="A134"/>
      <c r="B134" s="164" t="s">
        <v>2816</v>
      </c>
      <c r="C134"/>
      <c r="D134"/>
      <c r="E134"/>
      <c r="F134"/>
      <c r="G134"/>
      <c r="H134"/>
      <c r="I134"/>
    </row>
    <row r="135" spans="1:9" ht="15" x14ac:dyDescent="0.25">
      <c r="A135"/>
      <c r="B135" t="s">
        <v>1093</v>
      </c>
      <c r="C135" t="s">
        <v>1</v>
      </c>
      <c r="D135" t="s">
        <v>2</v>
      </c>
      <c r="E135" t="s">
        <v>3</v>
      </c>
      <c r="F135" t="s">
        <v>1092</v>
      </c>
      <c r="G135" t="s">
        <v>5</v>
      </c>
      <c r="H135" t="s">
        <v>1358</v>
      </c>
      <c r="I135" t="s">
        <v>1096</v>
      </c>
    </row>
    <row r="136" spans="1:9" ht="105" x14ac:dyDescent="0.25">
      <c r="A136" s="166" t="s">
        <v>1129</v>
      </c>
      <c r="B136" s="165">
        <v>9</v>
      </c>
      <c r="C136" s="165">
        <v>20</v>
      </c>
      <c r="D136" s="165">
        <v>62</v>
      </c>
      <c r="E136" s="165">
        <v>45</v>
      </c>
      <c r="F136" s="165">
        <v>28</v>
      </c>
      <c r="G136" s="165">
        <v>3</v>
      </c>
      <c r="H136" s="165"/>
      <c r="I136" s="165">
        <v>167</v>
      </c>
    </row>
    <row r="137" spans="1:9" ht="15" x14ac:dyDescent="0.25">
      <c r="A137"/>
      <c r="B137" s="215">
        <f>+GETPIVOTDATA("28. El plan de estudios de mi programa académico se desarrolla empleando estrategias didácticas diversas.",$A$134,"28. El plan de estudios de mi programa académico se desarrolla empleando estrategias didácticas diversas.","Totalmente en desacuerdo / NO")/GETPIVOTDATA("28. El plan de estudios de mi programa académico se desarrolla empleando estrategias didácticas diversas.",$A$134)</f>
        <v>5.3892215568862277E-2</v>
      </c>
      <c r="C137" s="217">
        <f>+GETPIVOTDATA("28. El plan de estudios de mi programa académico se desarrolla empleando estrategias didácticas diversas.",$A$134,"28. El plan de estudios de mi programa académico se desarrolla empleando estrategias didácticas diversas.","En desacuerdo")/GETPIVOTDATA("28. El plan de estudios de mi programa académico se desarrolla empleando estrategias didácticas diversas.",$A$134)</f>
        <v>0.11976047904191617</v>
      </c>
      <c r="D137" s="217">
        <f>+GETPIVOTDATA("28. El plan de estudios de mi programa académico se desarrolla empleando estrategias didácticas diversas.",$A$134,"28. El plan de estudios de mi programa académico se desarrolla empleando estrategias didácticas diversas.","Medianamente de acuerdo")/GETPIVOTDATA("28. El plan de estudios de mi programa académico se desarrolla empleando estrategias didácticas diversas.",$A$134)</f>
        <v>0.3712574850299401</v>
      </c>
      <c r="E137" s="217">
        <f>+GETPIVOTDATA("28. El plan de estudios de mi programa académico se desarrolla empleando estrategias didácticas diversas.",$A$134,"28. El plan de estudios de mi programa académico se desarrolla empleando estrategias didácticas diversas.","De acuerdo")/GETPIVOTDATA("28. El plan de estudios de mi programa académico se desarrolla empleando estrategias didácticas diversas.",$A$134)</f>
        <v>0.26946107784431139</v>
      </c>
      <c r="F137" s="217">
        <f>+GETPIVOTDATA("28. El plan de estudios de mi programa académico se desarrolla empleando estrategias didácticas diversas.",$A$134,"28. El plan de estudios de mi programa académico se desarrolla empleando estrategias didácticas diversas.","Totalmente de acuerdo / SI")/GETPIVOTDATA("28. El plan de estudios de mi programa académico se desarrolla empleando estrategias didácticas diversas.",$A$134)</f>
        <v>0.16766467065868262</v>
      </c>
      <c r="G137" s="217">
        <f>+GETPIVOTDATA("28. El plan de estudios de mi programa académico se desarrolla empleando estrategias didácticas diversas.",$A$134,"28. El plan de estudios de mi programa académico se desarrolla empleando estrategias didácticas diversas.","No sabe / No puede opinar al respecto")/GETPIVOTDATA("28. El plan de estudios de mi programa académico se desarrolla empleando estrategias didácticas diversas.",$A$134)</f>
        <v>1.7964071856287425E-2</v>
      </c>
      <c r="I137" s="217">
        <f>SUM(B137:H137)</f>
        <v>1</v>
      </c>
    </row>
    <row r="138" spans="1:9" ht="15" x14ac:dyDescent="0.25">
      <c r="A138"/>
      <c r="B138" s="164" t="s">
        <v>2816</v>
      </c>
      <c r="C138"/>
      <c r="D138"/>
      <c r="E138"/>
      <c r="F138"/>
      <c r="G138"/>
      <c r="H138"/>
      <c r="I138"/>
    </row>
    <row r="139" spans="1:9" ht="15" x14ac:dyDescent="0.25">
      <c r="A139"/>
      <c r="B139" t="s">
        <v>1093</v>
      </c>
      <c r="C139" t="s">
        <v>1</v>
      </c>
      <c r="D139" t="s">
        <v>2</v>
      </c>
      <c r="E139" t="s">
        <v>3</v>
      </c>
      <c r="F139" t="s">
        <v>1092</v>
      </c>
      <c r="G139" t="s">
        <v>5</v>
      </c>
      <c r="H139" t="s">
        <v>1358</v>
      </c>
      <c r="I139" t="s">
        <v>1096</v>
      </c>
    </row>
    <row r="140" spans="1:9" ht="90" x14ac:dyDescent="0.25">
      <c r="A140" s="166" t="s">
        <v>1130</v>
      </c>
      <c r="B140" s="165">
        <v>10</v>
      </c>
      <c r="C140" s="165">
        <v>19</v>
      </c>
      <c r="D140" s="165">
        <v>49</v>
      </c>
      <c r="E140" s="165">
        <v>66</v>
      </c>
      <c r="F140" s="165">
        <v>21</v>
      </c>
      <c r="G140" s="165">
        <v>2</v>
      </c>
      <c r="H140" s="165"/>
      <c r="I140" s="165">
        <v>167</v>
      </c>
    </row>
    <row r="141" spans="1:9" ht="15" x14ac:dyDescent="0.25">
      <c r="A141"/>
      <c r="B141" s="215">
        <f>+GETPIVOTDATA("29. Me siento a gusto con las estrategias de enseñanza utilizadas en mi programa académico.",$A$138,"29. Me siento a gusto con las estrategias de enseñanza utilizadas en mi programa académico.","Totalmente en desacuerdo / NO")/GETPIVOTDATA("29. Me siento a gusto con las estrategias de enseñanza utilizadas en mi programa académico.",$A$138)</f>
        <v>5.9880239520958084E-2</v>
      </c>
      <c r="C141" s="217">
        <f>+GETPIVOTDATA("29. Me siento a gusto con las estrategias de enseñanza utilizadas en mi programa académico.",$A$138,"29. Me siento a gusto con las estrategias de enseñanza utilizadas en mi programa académico.","En desacuerdo")/GETPIVOTDATA("29. Me siento a gusto con las estrategias de enseñanza utilizadas en mi programa académico.",$A$138)</f>
        <v>0.11377245508982035</v>
      </c>
      <c r="D141" s="217">
        <f>+GETPIVOTDATA("29. Me siento a gusto con las estrategias de enseñanza utilizadas en mi programa académico.",$A$138,"29. Me siento a gusto con las estrategias de enseñanza utilizadas en mi programa académico.","Medianamente de acuerdo")/GETPIVOTDATA("29. Me siento a gusto con las estrategias de enseñanza utilizadas en mi programa académico.",$A$138)</f>
        <v>0.29341317365269459</v>
      </c>
      <c r="E141" s="217">
        <f>+GETPIVOTDATA("29. Me siento a gusto con las estrategias de enseñanza utilizadas en mi programa académico.",$A$138,"29. Me siento a gusto con las estrategias de enseñanza utilizadas en mi programa académico.","De acuerdo")/GETPIVOTDATA("29. Me siento a gusto con las estrategias de enseñanza utilizadas en mi programa académico.",$A$138)</f>
        <v>0.39520958083832336</v>
      </c>
      <c r="F141" s="217">
        <f>+GETPIVOTDATA("29. Me siento a gusto con las estrategias de enseñanza utilizadas en mi programa académico.",$A$138,"29. Me siento a gusto con las estrategias de enseñanza utilizadas en mi programa académico.","Totalmente de acuerdo / SI")/GETPIVOTDATA("29. Me siento a gusto con las estrategias de enseñanza utilizadas en mi programa académico.",$A$138)</f>
        <v>0.12574850299401197</v>
      </c>
      <c r="G141" s="217">
        <f>+GETPIVOTDATA("29. Me siento a gusto con las estrategias de enseñanza utilizadas en mi programa académico.",$A$138,"29. Me siento a gusto con las estrategias de enseñanza utilizadas en mi programa académico.","No sabe / No puede opinar al respecto")/GETPIVOTDATA("29. Me siento a gusto con las estrategias de enseñanza utilizadas en mi programa académico.",$A$138)</f>
        <v>1.1976047904191617E-2</v>
      </c>
      <c r="I141" s="217">
        <f>SUM(B141:H141)</f>
        <v>0.99999999999999989</v>
      </c>
    </row>
    <row r="142" spans="1:9" ht="15" x14ac:dyDescent="0.25">
      <c r="A142"/>
      <c r="B142" s="164" t="s">
        <v>2816</v>
      </c>
      <c r="C142"/>
      <c r="D142"/>
      <c r="E142"/>
      <c r="F142"/>
      <c r="G142"/>
      <c r="H142"/>
    </row>
    <row r="143" spans="1:9" ht="15" x14ac:dyDescent="0.25">
      <c r="A143"/>
      <c r="B143" t="s">
        <v>1093</v>
      </c>
      <c r="C143" t="s">
        <v>1</v>
      </c>
      <c r="D143" t="s">
        <v>2</v>
      </c>
      <c r="E143" t="s">
        <v>3</v>
      </c>
      <c r="F143" t="s">
        <v>1092</v>
      </c>
      <c r="G143" t="s">
        <v>1358</v>
      </c>
      <c r="H143" t="s">
        <v>1096</v>
      </c>
    </row>
    <row r="144" spans="1:9" ht="120" x14ac:dyDescent="0.25">
      <c r="A144" s="166" t="s">
        <v>1131</v>
      </c>
      <c r="B144" s="165">
        <v>7</v>
      </c>
      <c r="C144" s="165">
        <v>9</v>
      </c>
      <c r="D144" s="165">
        <v>41</v>
      </c>
      <c r="E144" s="165">
        <v>76</v>
      </c>
      <c r="F144" s="165">
        <v>34</v>
      </c>
      <c r="G144" s="165"/>
      <c r="H144" s="165">
        <v>167</v>
      </c>
    </row>
    <row r="145" spans="1:9" ht="15" x14ac:dyDescent="0.25">
      <c r="A145"/>
      <c r="B145" s="215">
        <f>+GETPIVOTDATA("30. Los docentes de mi programa académico cumplen con el contenido propuesto para los espacios académicos en cada semestre.",$A$142,"30. Los docentes de mi programa académico cumplen con el contenido propuesto para los espacios académicos en cada semestre.","Totalmente en desacuerdo / NO")/GETPIVOTDATA("30. Los docentes de mi programa académico cumplen con el contenido propuesto para los espacios académicos en cada semestre.",$A$142)</f>
        <v>4.1916167664670656E-2</v>
      </c>
      <c r="C145" s="217">
        <f>+GETPIVOTDATA("30. Los docentes de mi programa académico cumplen con el contenido propuesto para los espacios académicos en cada semestre.",$A$142,"30. Los docentes de mi programa académico cumplen con el contenido propuesto para los espacios académicos en cada semestre.","En desacuerdo")/GETPIVOTDATA("30. Los docentes de mi programa académico cumplen con el contenido propuesto para los espacios académicos en cada semestre.",$A$142)</f>
        <v>5.3892215568862277E-2</v>
      </c>
      <c r="D145" s="217">
        <f>+GETPIVOTDATA("30. Los docentes de mi programa académico cumplen con el contenido propuesto para los espacios académicos en cada semestre.",$A$142,"30. Los docentes de mi programa académico cumplen con el contenido propuesto para los espacios académicos en cada semestre.","Medianamente de acuerdo")/GETPIVOTDATA("30. Los docentes de mi programa académico cumplen con el contenido propuesto para los espacios académicos en cada semestre.",$A$142)</f>
        <v>0.24550898203592814</v>
      </c>
      <c r="E145" s="217">
        <f>+GETPIVOTDATA("30. Los docentes de mi programa académico cumplen con el contenido propuesto para los espacios académicos en cada semestre.",$A$142,"30. Los docentes de mi programa académico cumplen con el contenido propuesto para los espacios académicos en cada semestre.","De acuerdo")/GETPIVOTDATA("30. Los docentes de mi programa académico cumplen con el contenido propuesto para los espacios académicos en cada semestre.",$A$142)</f>
        <v>0.45508982035928142</v>
      </c>
      <c r="F145" s="217">
        <f>+GETPIVOTDATA("30. Los docentes de mi programa académico cumplen con el contenido propuesto para los espacios académicos en cada semestre.",$A$142,"30. Los docentes de mi programa académico cumplen con el contenido propuesto para los espacios académicos en cada semestre.","Totalmente de acuerdo / SI")/GETPIVOTDATA("30. Los docentes de mi programa académico cumplen con el contenido propuesto para los espacios académicos en cada semestre.",$A$142)</f>
        <v>0.20359281437125748</v>
      </c>
      <c r="I145" s="217">
        <f>SUM(B145:H145)</f>
        <v>1</v>
      </c>
    </row>
    <row r="146" spans="1:9" ht="15" x14ac:dyDescent="0.25">
      <c r="A146"/>
      <c r="B146" s="164" t="s">
        <v>2816</v>
      </c>
      <c r="C146"/>
      <c r="D146"/>
      <c r="E146"/>
      <c r="F146"/>
      <c r="G146"/>
      <c r="H146"/>
      <c r="I146"/>
    </row>
    <row r="147" spans="1:9" ht="15" x14ac:dyDescent="0.25">
      <c r="A147"/>
      <c r="B147" t="s">
        <v>1093</v>
      </c>
      <c r="C147" t="s">
        <v>1</v>
      </c>
      <c r="D147" t="s">
        <v>2</v>
      </c>
      <c r="E147" t="s">
        <v>3</v>
      </c>
      <c r="F147" t="s">
        <v>1092</v>
      </c>
      <c r="G147" t="s">
        <v>5</v>
      </c>
      <c r="H147" t="s">
        <v>1358</v>
      </c>
      <c r="I147" t="s">
        <v>1096</v>
      </c>
    </row>
    <row r="148" spans="1:9" ht="90" x14ac:dyDescent="0.25">
      <c r="A148" s="166" t="s">
        <v>1132</v>
      </c>
      <c r="B148" s="165">
        <v>9</v>
      </c>
      <c r="C148" s="165">
        <v>13</v>
      </c>
      <c r="D148" s="165">
        <v>59</v>
      </c>
      <c r="E148" s="165">
        <v>58</v>
      </c>
      <c r="F148" s="165">
        <v>27</v>
      </c>
      <c r="G148" s="165">
        <v>1</v>
      </c>
      <c r="H148" s="165"/>
      <c r="I148" s="165">
        <v>167</v>
      </c>
    </row>
    <row r="149" spans="1:9" ht="15" x14ac:dyDescent="0.25">
      <c r="A149"/>
      <c r="B149" s="215">
        <f>+GETPIVOTDATA("31. Me siento a gusto con las estrategias de enseñanza utilizadas en mi programa académico.",$A$146,"31. Me siento a gusto con las estrategias de enseñanza utilizadas en mi programa académico.","Totalmente en desacuerdo / NO")/GETPIVOTDATA("31. Me siento a gusto con las estrategias de enseñanza utilizadas en mi programa académico.",$A$146)</f>
        <v>5.3892215568862277E-2</v>
      </c>
      <c r="C149" s="217">
        <f>+GETPIVOTDATA("31. Me siento a gusto con las estrategias de enseñanza utilizadas en mi programa académico.",$A$146,"31. Me siento a gusto con las estrategias de enseñanza utilizadas en mi programa académico.","En desacuerdo")/GETPIVOTDATA("31. Me siento a gusto con las estrategias de enseñanza utilizadas en mi programa académico.",$A$146)</f>
        <v>7.7844311377245512E-2</v>
      </c>
      <c r="D149" s="217">
        <f>+GETPIVOTDATA("31. Me siento a gusto con las estrategias de enseñanza utilizadas en mi programa académico.",$A$146,"31. Me siento a gusto con las estrategias de enseñanza utilizadas en mi programa académico.","Medianamente de acuerdo")/GETPIVOTDATA("31. Me siento a gusto con las estrategias de enseñanza utilizadas en mi programa académico.",$A$146)</f>
        <v>0.3532934131736527</v>
      </c>
      <c r="E149" s="217">
        <f>+GETPIVOTDATA("31. Me siento a gusto con las estrategias de enseñanza utilizadas en mi programa académico.",$A$146,"31. Me siento a gusto con las estrategias de enseñanza utilizadas en mi programa académico.","De acuerdo")/GETPIVOTDATA("31. Me siento a gusto con las estrategias de enseñanza utilizadas en mi programa académico.",$A$146)</f>
        <v>0.3473053892215569</v>
      </c>
      <c r="F149" s="217">
        <f>+GETPIVOTDATA("31. Me siento a gusto con las estrategias de enseñanza utilizadas en mi programa académico.",$A$146,"31. Me siento a gusto con las estrategias de enseñanza utilizadas en mi programa académico.","Totalmente de acuerdo / SI")/GETPIVOTDATA("31. Me siento a gusto con las estrategias de enseñanza utilizadas en mi programa académico.",$A$146)</f>
        <v>0.16167664670658682</v>
      </c>
      <c r="G149" s="217">
        <f>+GETPIVOTDATA("31. Me siento a gusto con las estrategias de enseñanza utilizadas en mi programa académico.",$A$146,"31. Me siento a gusto con las estrategias de enseñanza utilizadas en mi programa académico.","No sabe / No puede opinar al respecto")/GETPIVOTDATA("31. Me siento a gusto con las estrategias de enseñanza utilizadas en mi programa académico.",$A$146)</f>
        <v>5.9880239520958087E-3</v>
      </c>
      <c r="I149" s="217">
        <f>SUM(B149:H149)</f>
        <v>1</v>
      </c>
    </row>
    <row r="150" spans="1:9" ht="15.75" customHeight="1" x14ac:dyDescent="0.25">
      <c r="A150"/>
      <c r="B150" s="164" t="s">
        <v>2816</v>
      </c>
      <c r="C150"/>
      <c r="D150"/>
      <c r="E150"/>
      <c r="F150"/>
      <c r="G150"/>
      <c r="H150"/>
      <c r="I150"/>
    </row>
    <row r="151" spans="1:9" ht="15" x14ac:dyDescent="0.25">
      <c r="A151"/>
      <c r="B151" t="s">
        <v>1093</v>
      </c>
      <c r="C151" t="s">
        <v>1</v>
      </c>
      <c r="D151" t="s">
        <v>2</v>
      </c>
      <c r="E151" t="s">
        <v>3</v>
      </c>
      <c r="F151" t="s">
        <v>1092</v>
      </c>
      <c r="G151" t="s">
        <v>5</v>
      </c>
      <c r="H151" t="s">
        <v>1358</v>
      </c>
      <c r="I151" t="s">
        <v>1096</v>
      </c>
    </row>
    <row r="152" spans="1:9" ht="135" x14ac:dyDescent="0.25">
      <c r="A152" s="166" t="s">
        <v>1133</v>
      </c>
      <c r="B152" s="165">
        <v>10</v>
      </c>
      <c r="C152" s="165">
        <v>7</v>
      </c>
      <c r="D152" s="165">
        <v>26</v>
      </c>
      <c r="E152" s="165">
        <v>53</v>
      </c>
      <c r="F152" s="165">
        <v>61</v>
      </c>
      <c r="G152" s="165">
        <v>10</v>
      </c>
      <c r="H152" s="165"/>
      <c r="I152" s="165">
        <v>167</v>
      </c>
    </row>
    <row r="153" spans="1:9" ht="15" x14ac:dyDescent="0.25">
      <c r="A153"/>
      <c r="B153" s="215">
        <f>+GETPIVOTDATA("32. Conozco las diferencias entre los programas de formación en ingeniería por ciclos y los programas de ingeniería tradicional.",$A$150,"32. Conozco las diferencias entre los programas de formación en ingeniería por ciclos y los programas de ingeniería tradicional.","Totalmente en desacuerdo / NO")/GETPIVOTDATA("32. Conozco las diferencias entre los programas de formación en ingeniería por ciclos y los programas de ingeniería tradicional.",$A$150)</f>
        <v>5.9880239520958084E-2</v>
      </c>
      <c r="C153" s="217">
        <f>+GETPIVOTDATA("32. Conozco las diferencias entre los programas de formación en ingeniería por ciclos y los programas de ingeniería tradicional.",$A$150,"32. Conozco las diferencias entre los programas de formación en ingeniería por ciclos y los programas de ingeniería tradicional.","En desacuerdo")/GETPIVOTDATA("32. Conozco las diferencias entre los programas de formación en ingeniería por ciclos y los programas de ingeniería tradicional.",$A$150)</f>
        <v>4.1916167664670656E-2</v>
      </c>
      <c r="D153" s="217">
        <f>+GETPIVOTDATA("32. Conozco las diferencias entre los programas de formación en ingeniería por ciclos y los programas de ingeniería tradicional.",$A$150,"32. Conozco las diferencias entre los programas de formación en ingeniería por ciclos y los programas de ingeniería tradicional.","Medianamente de acuerdo")/GETPIVOTDATA("32. Conozco las diferencias entre los programas de formación en ingeniería por ciclos y los programas de ingeniería tradicional.",$A$150)</f>
        <v>0.15568862275449102</v>
      </c>
      <c r="E153" s="217">
        <f>+GETPIVOTDATA("32. Conozco las diferencias entre los programas de formación en ingeniería por ciclos y los programas de ingeniería tradicional.",$A$150,"32. Conozco las diferencias entre los programas de formación en ingeniería por ciclos y los programas de ingeniería tradicional.","De acuerdo")/GETPIVOTDATA("32. Conozco las diferencias entre los programas de formación en ingeniería por ciclos y los programas de ingeniería tradicional.",$A$150)</f>
        <v>0.31736526946107785</v>
      </c>
      <c r="F153" s="217">
        <f>+GETPIVOTDATA("32. Conozco las diferencias entre los programas de formación en ingeniería por ciclos y los programas de ingeniería tradicional.",$A$150,"32. Conozco las diferencias entre los programas de formación en ingeniería por ciclos y los programas de ingeniería tradicional.","Totalmente de acuerdo / SI")/GETPIVOTDATA("32. Conozco las diferencias entre los programas de formación en ingeniería por ciclos y los programas de ingeniería tradicional.",$A$150)</f>
        <v>0.3652694610778443</v>
      </c>
      <c r="G153" s="217">
        <f>+GETPIVOTDATA("32. Conozco las diferencias entre los programas de formación en ingeniería por ciclos y los programas de ingeniería tradicional.",$A$150,"32. Conozco las diferencias entre los programas de formación en ingeniería por ciclos y los programas de ingeniería tradicional.","No sabe / No puede opinar al respecto")/GETPIVOTDATA("32. Conozco las diferencias entre los programas de formación en ingeniería por ciclos y los programas de ingeniería tradicional.",$A$150)</f>
        <v>5.9880239520958084E-2</v>
      </c>
      <c r="I153" s="217">
        <f>SUM(B153:H153)</f>
        <v>1</v>
      </c>
    </row>
    <row r="154" spans="1:9" ht="15" x14ac:dyDescent="0.25">
      <c r="A154"/>
      <c r="B154" s="164" t="s">
        <v>2816</v>
      </c>
      <c r="C154"/>
      <c r="D154"/>
      <c r="E154"/>
      <c r="F154"/>
      <c r="G154"/>
      <c r="H154"/>
      <c r="I154"/>
    </row>
    <row r="155" spans="1:9" ht="15" x14ac:dyDescent="0.25">
      <c r="A155"/>
      <c r="B155" t="s">
        <v>1093</v>
      </c>
      <c r="C155" t="s">
        <v>1</v>
      </c>
      <c r="D155" t="s">
        <v>2</v>
      </c>
      <c r="E155" t="s">
        <v>3</v>
      </c>
      <c r="F155" t="s">
        <v>1092</v>
      </c>
      <c r="G155" t="s">
        <v>5</v>
      </c>
      <c r="H155" t="s">
        <v>1358</v>
      </c>
      <c r="I155" t="s">
        <v>1096</v>
      </c>
    </row>
    <row r="156" spans="1:9" ht="105" x14ac:dyDescent="0.25">
      <c r="A156" s="166" t="s">
        <v>1134</v>
      </c>
      <c r="B156" s="165">
        <v>7</v>
      </c>
      <c r="C156" s="165">
        <v>9</v>
      </c>
      <c r="D156" s="165">
        <v>31</v>
      </c>
      <c r="E156" s="165">
        <v>54</v>
      </c>
      <c r="F156" s="165">
        <v>60</v>
      </c>
      <c r="G156" s="165">
        <v>6</v>
      </c>
      <c r="H156" s="165"/>
      <c r="I156" s="165">
        <v>167</v>
      </c>
    </row>
    <row r="157" spans="1:9" ht="15" x14ac:dyDescent="0.25">
      <c r="A157"/>
      <c r="B157" s="215">
        <f>+GETPIVOTDATA("33. Tengo claro qué es y para qué sirve el componente propedéutico en un programa de ingeniería por ciclos.",$A$154,"33. Tengo claro qué es y para qué sirve el componente propedéutico en un programa de ingeniería por ciclos.","Totalmente en desacuerdo / NO")/GETPIVOTDATA("33. Tengo claro qué es y para qué sirve el componente propedéutico en un programa de ingeniería por ciclos.",$A$154)</f>
        <v>4.1916167664670656E-2</v>
      </c>
      <c r="C157" s="217">
        <f>+GETPIVOTDATA("33. Tengo claro qué es y para qué sirve el componente propedéutico en un programa de ingeniería por ciclos.",$A$154,"33. Tengo claro qué es y para qué sirve el componente propedéutico en un programa de ingeniería por ciclos.","En desacuerdo")/GETPIVOTDATA("33. Tengo claro qué es y para qué sirve el componente propedéutico en un programa de ingeniería por ciclos.",$A$154)</f>
        <v>5.3892215568862277E-2</v>
      </c>
      <c r="D157" s="217">
        <f>+GETPIVOTDATA("33. Tengo claro qué es y para qué sirve el componente propedéutico en un programa de ingeniería por ciclos.",$A$154,"33. Tengo claro qué es y para qué sirve el componente propedéutico en un programa de ingeniería por ciclos.","Medianamente de acuerdo")/GETPIVOTDATA("33. Tengo claro qué es y para qué sirve el componente propedéutico en un programa de ingeniería por ciclos.",$A$154)</f>
        <v>0.18562874251497005</v>
      </c>
      <c r="E157" s="217">
        <f>+GETPIVOTDATA("33. Tengo claro qué es y para qué sirve el componente propedéutico en un programa de ingeniería por ciclos.",$A$154,"33. Tengo claro qué es y para qué sirve el componente propedéutico en un programa de ingeniería por ciclos.","De acuerdo")/GETPIVOTDATA("33. Tengo claro qué es y para qué sirve el componente propedéutico en un programa de ingeniería por ciclos.",$A$154)</f>
        <v>0.32335329341317365</v>
      </c>
      <c r="F157" s="217">
        <f>+GETPIVOTDATA("33. Tengo claro qué es y para qué sirve el componente propedéutico en un programa de ingeniería por ciclos.",$A$154,"33. Tengo claro qué es y para qué sirve el componente propedéutico en un programa de ingeniería por ciclos.","Totalmente de acuerdo / SI")/GETPIVOTDATA("33. Tengo claro qué es y para qué sirve el componente propedéutico en un programa de ingeniería por ciclos.",$A$154)</f>
        <v>0.3592814371257485</v>
      </c>
      <c r="G157" s="217">
        <f>+GETPIVOTDATA("33. Tengo claro qué es y para qué sirve el componente propedéutico en un programa de ingeniería por ciclos.",$A$154,"33. Tengo claro qué es y para qué sirve el componente propedéutico en un programa de ingeniería por ciclos.","No sabe / No puede opinar al respecto")/GETPIVOTDATA("33. Tengo claro qué es y para qué sirve el componente propedéutico en un programa de ingeniería por ciclos.",$A$154)</f>
        <v>3.5928143712574849E-2</v>
      </c>
      <c r="I157" s="217">
        <f>SUM(B157:H157)</f>
        <v>0.99999999999999989</v>
      </c>
    </row>
    <row r="158" spans="1:9" ht="15" x14ac:dyDescent="0.25">
      <c r="A158"/>
      <c r="B158" s="164" t="s">
        <v>2816</v>
      </c>
      <c r="C158"/>
      <c r="D158"/>
      <c r="E158"/>
      <c r="F158"/>
      <c r="G158"/>
      <c r="H158"/>
    </row>
    <row r="159" spans="1:9" ht="15" x14ac:dyDescent="0.25">
      <c r="A159"/>
      <c r="B159" t="s">
        <v>1093</v>
      </c>
      <c r="C159" t="s">
        <v>1</v>
      </c>
      <c r="D159" t="s">
        <v>2</v>
      </c>
      <c r="E159" t="s">
        <v>3</v>
      </c>
      <c r="F159" t="s">
        <v>1092</v>
      </c>
      <c r="G159" t="s">
        <v>1358</v>
      </c>
      <c r="H159" t="s">
        <v>1096</v>
      </c>
    </row>
    <row r="160" spans="1:9" ht="90" x14ac:dyDescent="0.25">
      <c r="A160" s="166" t="s">
        <v>1135</v>
      </c>
      <c r="B160" s="165">
        <v>1</v>
      </c>
      <c r="C160" s="165">
        <v>4</v>
      </c>
      <c r="D160" s="165">
        <v>15</v>
      </c>
      <c r="E160" s="165">
        <v>65</v>
      </c>
      <c r="F160" s="165">
        <v>82</v>
      </c>
      <c r="G160" s="165"/>
      <c r="H160" s="165">
        <v>167</v>
      </c>
    </row>
    <row r="161" spans="1:9" ht="15" x14ac:dyDescent="0.25">
      <c r="A161"/>
      <c r="B161" s="215">
        <f>+GETPIVOTDATA("34. Considero que ser tecnólogo me brinda oportunidades para vincularme en el mercado laboral.",$A$158,"34. Considero que ser tecnólogo me brinda oportunidades para vincularme en el mercado laboral.","Totalmente en desacuerdo / NO")/GETPIVOTDATA("34. Considero que ser tecnólogo me brinda oportunidades para vincularme en el mercado laboral.",$A$158)</f>
        <v>5.9880239520958087E-3</v>
      </c>
      <c r="C161" s="217">
        <f>+GETPIVOTDATA("34. Considero que ser tecnólogo me brinda oportunidades para vincularme en el mercado laboral.",$A$158,"34. Considero que ser tecnólogo me brinda oportunidades para vincularme en el mercado laboral.","En desacuerdo")/GETPIVOTDATA("34. Considero que ser tecnólogo me brinda oportunidades para vincularme en el mercado laboral.",$A$158)</f>
        <v>2.3952095808383235E-2</v>
      </c>
      <c r="D161" s="217">
        <f>+GETPIVOTDATA("34. Considero que ser tecnólogo me brinda oportunidades para vincularme en el mercado laboral.",$A$158,"34. Considero que ser tecnólogo me brinda oportunidades para vincularme en el mercado laboral.","Medianamente de acuerdo")/GETPIVOTDATA("34. Considero que ser tecnólogo me brinda oportunidades para vincularme en el mercado laboral.",$A$158)</f>
        <v>8.9820359281437126E-2</v>
      </c>
      <c r="E161" s="217">
        <f>+GETPIVOTDATA("34. Considero que ser tecnólogo me brinda oportunidades para vincularme en el mercado laboral.",$A$158,"34. Considero que ser tecnólogo me brinda oportunidades para vincularme en el mercado laboral.","De acuerdo")/GETPIVOTDATA("34. Considero que ser tecnólogo me brinda oportunidades para vincularme en el mercado laboral.",$A$158)</f>
        <v>0.38922155688622756</v>
      </c>
      <c r="F161" s="217">
        <f>+GETPIVOTDATA("34. Considero que ser tecnólogo me brinda oportunidades para vincularme en el mercado laboral.",$A$158,"34. Considero que ser tecnólogo me brinda oportunidades para vincularme en el mercado laboral.","Totalmente de acuerdo / SI")/GETPIVOTDATA("34. Considero que ser tecnólogo me brinda oportunidades para vincularme en el mercado laboral.",$A$158)</f>
        <v>0.49101796407185627</v>
      </c>
      <c r="I161" s="217">
        <f>SUM(B161:H161)</f>
        <v>1</v>
      </c>
    </row>
    <row r="162" spans="1:9" ht="15" x14ac:dyDescent="0.25">
      <c r="A162"/>
      <c r="B162" s="164" t="s">
        <v>2816</v>
      </c>
      <c r="C162"/>
      <c r="D162"/>
      <c r="E162"/>
      <c r="F162"/>
      <c r="G162"/>
      <c r="H162"/>
      <c r="I162"/>
    </row>
    <row r="163" spans="1:9" ht="15" x14ac:dyDescent="0.25">
      <c r="A163"/>
      <c r="B163" t="s">
        <v>1093</v>
      </c>
      <c r="C163" t="s">
        <v>1</v>
      </c>
      <c r="D163" t="s">
        <v>2</v>
      </c>
      <c r="E163" t="s">
        <v>3</v>
      </c>
      <c r="F163" t="s">
        <v>1092</v>
      </c>
      <c r="G163" t="s">
        <v>5</v>
      </c>
      <c r="H163" t="s">
        <v>1358</v>
      </c>
      <c r="I163" t="s">
        <v>1096</v>
      </c>
    </row>
    <row r="164" spans="1:9" ht="75" x14ac:dyDescent="0.25">
      <c r="A164" s="166" t="s">
        <v>1136</v>
      </c>
      <c r="B164" s="165">
        <v>1</v>
      </c>
      <c r="C164" s="165">
        <v>1</v>
      </c>
      <c r="D164" s="165">
        <v>18</v>
      </c>
      <c r="E164" s="165">
        <v>41</v>
      </c>
      <c r="F164" s="165">
        <v>102</v>
      </c>
      <c r="G164" s="165">
        <v>4</v>
      </c>
      <c r="H164" s="165"/>
      <c r="I164" s="165">
        <v>167</v>
      </c>
    </row>
    <row r="165" spans="1:9" ht="15" x14ac:dyDescent="0.25">
      <c r="A165"/>
      <c r="B165" s="215">
        <f>+GETPIVOTDATA("35. Ser ingeniero mejora las condiciones laborales del tecnólogo. ",$A$162,"35. Ser ingeniero mejora las condiciones laborales del tecnólogo. ","Totalmente en desacuerdo / NO")/GETPIVOTDATA("35. Ser ingeniero mejora las condiciones laborales del tecnólogo. ",$A$162)</f>
        <v>5.9880239520958087E-3</v>
      </c>
      <c r="C165" s="217">
        <f>+GETPIVOTDATA("35. Ser ingeniero mejora las condiciones laborales del tecnólogo. ",$A$162,"35. Ser ingeniero mejora las condiciones laborales del tecnólogo. ","En desacuerdo")/GETPIVOTDATA("35. Ser ingeniero mejora las condiciones laborales del tecnólogo. ",$A$162)</f>
        <v>5.9880239520958087E-3</v>
      </c>
      <c r="D165" s="217">
        <f>+GETPIVOTDATA("35. Ser ingeniero mejora las condiciones laborales del tecnólogo. ",$A$162,"35. Ser ingeniero mejora las condiciones laborales del tecnólogo. ","Medianamente de acuerdo")/GETPIVOTDATA("35. Ser ingeniero mejora las condiciones laborales del tecnólogo. ",$A$162)</f>
        <v>0.10778443113772455</v>
      </c>
      <c r="E165" s="217">
        <f>+GETPIVOTDATA("35. Ser ingeniero mejora las condiciones laborales del tecnólogo. ",$A$162,"35. Ser ingeniero mejora las condiciones laborales del tecnólogo. ","De acuerdo")/GETPIVOTDATA("35. Ser ingeniero mejora las condiciones laborales del tecnólogo. ",$A$162)</f>
        <v>0.24550898203592814</v>
      </c>
      <c r="F165" s="217">
        <f>+GETPIVOTDATA("35. Ser ingeniero mejora las condiciones laborales del tecnólogo. ",$A$162,"35. Ser ingeniero mejora las condiciones laborales del tecnólogo. ","Totalmente de acuerdo / SI")/GETPIVOTDATA("35. Ser ingeniero mejora las condiciones laborales del tecnólogo. ",$A$162)</f>
        <v>0.6107784431137725</v>
      </c>
      <c r="G165" s="217">
        <f>+GETPIVOTDATA("35. Ser ingeniero mejora las condiciones laborales del tecnólogo. ",$A$162,"35. Ser ingeniero mejora las condiciones laborales del tecnólogo. ","No sabe / No puede opinar al respecto")/GETPIVOTDATA("35. Ser ingeniero mejora las condiciones laborales del tecnólogo. ",$A$162)</f>
        <v>2.3952095808383235E-2</v>
      </c>
      <c r="I165" s="217">
        <f>SUM(B165:H165)</f>
        <v>1</v>
      </c>
    </row>
    <row r="166" spans="1:9" ht="15" x14ac:dyDescent="0.25">
      <c r="A166"/>
      <c r="B166" s="164" t="s">
        <v>2816</v>
      </c>
      <c r="C166"/>
      <c r="D166"/>
      <c r="E166"/>
      <c r="F166"/>
      <c r="G166"/>
      <c r="H166"/>
      <c r="I166"/>
    </row>
    <row r="167" spans="1:9" ht="15" x14ac:dyDescent="0.25">
      <c r="A167"/>
      <c r="B167" t="s">
        <v>1093</v>
      </c>
      <c r="C167" t="s">
        <v>1</v>
      </c>
      <c r="D167" t="s">
        <v>2</v>
      </c>
      <c r="E167" t="s">
        <v>3</v>
      </c>
      <c r="F167" t="s">
        <v>1092</v>
      </c>
      <c r="G167" t="s">
        <v>5</v>
      </c>
      <c r="H167" t="s">
        <v>1358</v>
      </c>
      <c r="I167" t="s">
        <v>1096</v>
      </c>
    </row>
    <row r="168" spans="1:9" ht="90" x14ac:dyDescent="0.25">
      <c r="A168" s="166" t="s">
        <v>1137</v>
      </c>
      <c r="B168" s="165">
        <v>1</v>
      </c>
      <c r="C168" s="165">
        <v>2</v>
      </c>
      <c r="D168" s="165">
        <v>10</v>
      </c>
      <c r="E168" s="165">
        <v>38</v>
      </c>
      <c r="F168" s="165">
        <v>113</v>
      </c>
      <c r="G168" s="165">
        <v>3</v>
      </c>
      <c r="H168" s="165"/>
      <c r="I168" s="165">
        <v>167</v>
      </c>
    </row>
    <row r="169" spans="1:9" ht="15" x14ac:dyDescent="0.25">
      <c r="A169"/>
      <c r="B169" s="215">
        <f>+GETPIVOTDATA("36. Mi proyecto de vida me motiva o me motivó a continuar con mis estudios de ingeniería. ",$A$166,"36. Mi proyecto de vida me motiva o me motivó a continuar con mis estudios de ingeniería. ","Totalmente en desacuerdo / NO")/GETPIVOTDATA("36. Mi proyecto de vida me motiva o me motivó a continuar con mis estudios de ingeniería. ",$A$166)</f>
        <v>5.9880239520958087E-3</v>
      </c>
      <c r="C169" s="217">
        <f>+GETPIVOTDATA("36. Mi proyecto de vida me motiva o me motivó a continuar con mis estudios de ingeniería. ",$A$166,"36. Mi proyecto de vida me motiva o me motivó a continuar con mis estudios de ingeniería. ","En desacuerdo")/GETPIVOTDATA("36. Mi proyecto de vida me motiva o me motivó a continuar con mis estudios de ingeniería. ",$A$166)</f>
        <v>1.1976047904191617E-2</v>
      </c>
      <c r="D169" s="217">
        <f>+GETPIVOTDATA("36. Mi proyecto de vida me motiva o me motivó a continuar con mis estudios de ingeniería. ",$A$166,"36. Mi proyecto de vida me motiva o me motivó a continuar con mis estudios de ingeniería. ","Medianamente de acuerdo")/GETPIVOTDATA("36. Mi proyecto de vida me motiva o me motivó a continuar con mis estudios de ingeniería. ",$A$166)</f>
        <v>5.9880239520958084E-2</v>
      </c>
      <c r="E169" s="217">
        <f>+GETPIVOTDATA("36. Mi proyecto de vida me motiva o me motivó a continuar con mis estudios de ingeniería. ",$A$166,"36. Mi proyecto de vida me motiva o me motivó a continuar con mis estudios de ingeniería. ","De acuerdo")/GETPIVOTDATA("36. Mi proyecto de vida me motiva o me motivó a continuar con mis estudios de ingeniería. ",$A$166)</f>
        <v>0.22754491017964071</v>
      </c>
      <c r="F169" s="217">
        <f>+GETPIVOTDATA("36. Mi proyecto de vida me motiva o me motivó a continuar con mis estudios de ingeniería. ",$A$166,"36. Mi proyecto de vida me motiva o me motivó a continuar con mis estudios de ingeniería. ","Totalmente de acuerdo / SI")/GETPIVOTDATA("36. Mi proyecto de vida me motiva o me motivó a continuar con mis estudios de ingeniería. ",$A$166)</f>
        <v>0.67664670658682635</v>
      </c>
      <c r="G169" s="217">
        <f>+GETPIVOTDATA("36. Mi proyecto de vida me motiva o me motivó a continuar con mis estudios de ingeniería. ",$A$166,"36. Mi proyecto de vida me motiva o me motivó a continuar con mis estudios de ingeniería. ","No sabe / No puede opinar al respecto")/GETPIVOTDATA("36. Mi proyecto de vida me motiva o me motivó a continuar con mis estudios de ingeniería. ",$A$166)</f>
        <v>1.7964071856287425E-2</v>
      </c>
      <c r="I169" s="217">
        <f>SUM(B169:H169)</f>
        <v>1</v>
      </c>
    </row>
    <row r="170" spans="1:9" ht="15" x14ac:dyDescent="0.25">
      <c r="A170"/>
      <c r="B170" s="164" t="s">
        <v>2816</v>
      </c>
      <c r="C170"/>
      <c r="D170"/>
      <c r="E170"/>
      <c r="F170"/>
      <c r="G170"/>
      <c r="H170"/>
      <c r="I170"/>
    </row>
    <row r="171" spans="1:9" ht="15" x14ac:dyDescent="0.25">
      <c r="A171"/>
      <c r="B171" t="s">
        <v>1093</v>
      </c>
      <c r="C171" t="s">
        <v>1</v>
      </c>
      <c r="D171" t="s">
        <v>2</v>
      </c>
      <c r="E171" t="s">
        <v>3</v>
      </c>
      <c r="F171" t="s">
        <v>1092</v>
      </c>
      <c r="G171" t="s">
        <v>5</v>
      </c>
      <c r="H171" t="s">
        <v>1358</v>
      </c>
      <c r="I171" t="s">
        <v>1096</v>
      </c>
    </row>
    <row r="172" spans="1:9" ht="105" x14ac:dyDescent="0.25">
      <c r="A172" s="166" t="s">
        <v>1138</v>
      </c>
      <c r="B172" s="165">
        <v>15</v>
      </c>
      <c r="C172" s="165">
        <v>14</v>
      </c>
      <c r="D172" s="165">
        <v>25</v>
      </c>
      <c r="E172" s="165">
        <v>54</v>
      </c>
      <c r="F172" s="165">
        <v>57</v>
      </c>
      <c r="G172" s="165">
        <v>2</v>
      </c>
      <c r="H172" s="165"/>
      <c r="I172" s="165">
        <v>167</v>
      </c>
    </row>
    <row r="173" spans="1:9" ht="15" x14ac:dyDescent="0.25">
      <c r="A173"/>
      <c r="B173" s="215">
        <f>+GETPIVOTDATA("37. Considero o consideré atractivo la posibilidad de cursar una ingeniería en otra área del conocimiento. ",$A$170,"37. Considero o consideré atractivo la posibilidad de cursar una ingeniería en otra área del conocimiento. ","Totalmente en desacuerdo / NO")/GETPIVOTDATA("37. Considero o consideré atractivo la posibilidad de cursar una ingeniería en otra área del conocimiento. ",$A$170)</f>
        <v>8.9820359281437126E-2</v>
      </c>
      <c r="C173" s="217">
        <f>+GETPIVOTDATA("37. Considero o consideré atractivo la posibilidad de cursar una ingeniería en otra área del conocimiento. ",$A$170,"37. Considero o consideré atractivo la posibilidad de cursar una ingeniería en otra área del conocimiento. ","En desacuerdo")/GETPIVOTDATA("37. Considero o consideré atractivo la posibilidad de cursar una ingeniería en otra área del conocimiento. ",$A$170)</f>
        <v>8.3832335329341312E-2</v>
      </c>
      <c r="D173" s="217">
        <f>+GETPIVOTDATA("37. Considero o consideré atractivo la posibilidad de cursar una ingeniería en otra área del conocimiento. ",$A$170,"37. Considero o consideré atractivo la posibilidad de cursar una ingeniería en otra área del conocimiento. ","Medianamente de acuerdo")/GETPIVOTDATA("37. Considero o consideré atractivo la posibilidad de cursar una ingeniería en otra área del conocimiento. ",$A$170)</f>
        <v>0.1497005988023952</v>
      </c>
      <c r="E173" s="217">
        <f>+GETPIVOTDATA("37. Considero o consideré atractivo la posibilidad de cursar una ingeniería en otra área del conocimiento. ",$A$170,"37. Considero o consideré atractivo la posibilidad de cursar una ingeniería en otra área del conocimiento. ","De acuerdo")/GETPIVOTDATA("37. Considero o consideré atractivo la posibilidad de cursar una ingeniería en otra área del conocimiento. ",$A$170)</f>
        <v>0.32335329341317365</v>
      </c>
      <c r="F173" s="217">
        <f>+GETPIVOTDATA("37. Considero o consideré atractivo la posibilidad de cursar una ingeniería en otra área del conocimiento. ",$A$170,"37. Considero o consideré atractivo la posibilidad de cursar una ingeniería en otra área del conocimiento. ","Totalmente de acuerdo / SI")/GETPIVOTDATA("37. Considero o consideré atractivo la posibilidad de cursar una ingeniería en otra área del conocimiento. ",$A$170)</f>
        <v>0.3413173652694611</v>
      </c>
      <c r="G173" s="217">
        <f>+GETPIVOTDATA("37. Considero o consideré atractivo la posibilidad de cursar una ingeniería en otra área del conocimiento. ",$A$170,"37. Considero o consideré atractivo la posibilidad de cursar una ingeniería en otra área del conocimiento. ","No sabe / No puede opinar al respecto")/GETPIVOTDATA("37. Considero o consideré atractivo la posibilidad de cursar una ingeniería en otra área del conocimiento. ",$A$170)</f>
        <v>1.1976047904191617E-2</v>
      </c>
      <c r="I173" s="217">
        <f>SUM(B173:H173)</f>
        <v>1</v>
      </c>
    </row>
    <row r="174" spans="1:9" ht="15" x14ac:dyDescent="0.25">
      <c r="A174"/>
      <c r="B174" s="164" t="s">
        <v>2816</v>
      </c>
      <c r="C174"/>
      <c r="D174"/>
      <c r="E174"/>
      <c r="F174"/>
      <c r="G174"/>
      <c r="H174"/>
      <c r="I174"/>
    </row>
    <row r="175" spans="1:9" ht="15" x14ac:dyDescent="0.25">
      <c r="A175"/>
      <c r="B175" t="s">
        <v>1093</v>
      </c>
      <c r="C175" t="s">
        <v>1</v>
      </c>
      <c r="D175" t="s">
        <v>2</v>
      </c>
      <c r="E175" t="s">
        <v>3</v>
      </c>
      <c r="F175" t="s">
        <v>1092</v>
      </c>
      <c r="G175" t="s">
        <v>5</v>
      </c>
      <c r="H175" t="s">
        <v>1358</v>
      </c>
      <c r="I175" t="s">
        <v>1096</v>
      </c>
    </row>
    <row r="176" spans="1:9" ht="105" x14ac:dyDescent="0.25">
      <c r="A176" s="166" t="s">
        <v>1139</v>
      </c>
      <c r="B176" s="165">
        <v>11</v>
      </c>
      <c r="C176" s="165">
        <v>13</v>
      </c>
      <c r="D176" s="165">
        <v>49</v>
      </c>
      <c r="E176" s="165">
        <v>68</v>
      </c>
      <c r="F176" s="165">
        <v>23</v>
      </c>
      <c r="G176" s="165">
        <v>3</v>
      </c>
      <c r="H176" s="165"/>
      <c r="I176" s="165">
        <v>167</v>
      </c>
    </row>
    <row r="177" spans="1:9" ht="15" x14ac:dyDescent="0.25">
      <c r="A177"/>
      <c r="B177" s="215">
        <f>+GETPIVOTDATA("38. Las evaluaciones practicadas en los diferentes espacios académicos son adecuadas e imparciales.",$A$174,"38. Las evaluaciones practicadas en los diferentes espacios académicos son adecuadas e imparciales.","Totalmente en desacuerdo / NO")/GETPIVOTDATA("38. Las evaluaciones practicadas en los diferentes espacios académicos son adecuadas e imparciales.",$A$174)</f>
        <v>6.5868263473053898E-2</v>
      </c>
      <c r="C177" s="217">
        <f>+GETPIVOTDATA("38. Las evaluaciones practicadas en los diferentes espacios académicos son adecuadas e imparciales.",$A$174,"38. Las evaluaciones practicadas en los diferentes espacios académicos son adecuadas e imparciales.","En desacuerdo")/GETPIVOTDATA("38. Las evaluaciones practicadas en los diferentes espacios académicos son adecuadas e imparciales.",$A$174)</f>
        <v>7.7844311377245512E-2</v>
      </c>
      <c r="D177" s="217">
        <f>+GETPIVOTDATA("38. Las evaluaciones practicadas en los diferentes espacios académicos son adecuadas e imparciales.",$A$174,"38. Las evaluaciones practicadas en los diferentes espacios académicos son adecuadas e imparciales.","Medianamente de acuerdo")/GETPIVOTDATA("38. Las evaluaciones practicadas en los diferentes espacios académicos son adecuadas e imparciales.",$A$174)</f>
        <v>0.29341317365269459</v>
      </c>
      <c r="E177" s="217">
        <f>+GETPIVOTDATA("38. Las evaluaciones practicadas en los diferentes espacios académicos son adecuadas e imparciales.",$A$174,"38. Las evaluaciones practicadas en los diferentes espacios académicos son adecuadas e imparciales.","De acuerdo")/GETPIVOTDATA("38. Las evaluaciones practicadas en los diferentes espacios académicos son adecuadas e imparciales.",$A$174)</f>
        <v>0.40718562874251496</v>
      </c>
      <c r="F177" s="217">
        <f>+GETPIVOTDATA("38. Las evaluaciones practicadas en los diferentes espacios académicos son adecuadas e imparciales.",$A$174,"38. Las evaluaciones practicadas en los diferentes espacios académicos son adecuadas e imparciales.","Totalmente de acuerdo / SI")/GETPIVOTDATA("38. Las evaluaciones practicadas en los diferentes espacios académicos son adecuadas e imparciales.",$A$174)</f>
        <v>0.1377245508982036</v>
      </c>
      <c r="G177" s="217">
        <f>+GETPIVOTDATA("38. Las evaluaciones practicadas en los diferentes espacios académicos son adecuadas e imparciales.",$A$174,"38. Las evaluaciones practicadas en los diferentes espacios académicos son adecuadas e imparciales.","No sabe / No puede opinar al respecto")/GETPIVOTDATA("38. Las evaluaciones practicadas en los diferentes espacios académicos son adecuadas e imparciales.",$A$174)</f>
        <v>1.7964071856287425E-2</v>
      </c>
      <c r="I177" s="217">
        <f>SUM(B177:H177)</f>
        <v>1</v>
      </c>
    </row>
    <row r="178" spans="1:9" ht="15" x14ac:dyDescent="0.25">
      <c r="A178"/>
      <c r="B178" s="164" t="s">
        <v>2816</v>
      </c>
      <c r="C178"/>
      <c r="D178"/>
      <c r="E178"/>
      <c r="F178"/>
      <c r="G178"/>
      <c r="H178"/>
      <c r="I178"/>
    </row>
    <row r="179" spans="1:9" ht="15" x14ac:dyDescent="0.25">
      <c r="A179"/>
      <c r="B179" t="s">
        <v>1093</v>
      </c>
      <c r="C179" t="s">
        <v>1</v>
      </c>
      <c r="D179" t="s">
        <v>2</v>
      </c>
      <c r="E179" t="s">
        <v>3</v>
      </c>
      <c r="F179" t="s">
        <v>1092</v>
      </c>
      <c r="G179" t="s">
        <v>5</v>
      </c>
      <c r="H179" t="s">
        <v>1358</v>
      </c>
      <c r="I179" t="s">
        <v>1096</v>
      </c>
    </row>
    <row r="180" spans="1:9" ht="75" x14ac:dyDescent="0.25">
      <c r="A180" s="166" t="s">
        <v>1140</v>
      </c>
      <c r="B180" s="165">
        <v>5</v>
      </c>
      <c r="C180" s="165">
        <v>9</v>
      </c>
      <c r="D180" s="165">
        <v>33</v>
      </c>
      <c r="E180" s="165">
        <v>71</v>
      </c>
      <c r="F180" s="165">
        <v>36</v>
      </c>
      <c r="G180" s="165">
        <v>13</v>
      </c>
      <c r="H180" s="165"/>
      <c r="I180" s="165">
        <v>167</v>
      </c>
    </row>
    <row r="181" spans="1:9" ht="15" x14ac:dyDescent="0.25">
      <c r="A181"/>
      <c r="B181" s="215">
        <f>+GETPIVOTDATA("39. Las reglas de evaluación están claramente definidas en el estatuto estudiantil.",$A$178,"39. Las reglas de evaluación están claramente definidas en el estatuto estudiantil.","Totalmente en desacuerdo / NO")/GETPIVOTDATA("39. Las reglas de evaluación están claramente definidas en el estatuto estudiantil.",$A$178)</f>
        <v>2.9940119760479042E-2</v>
      </c>
      <c r="C181" s="217">
        <f>+GETPIVOTDATA("39. Las reglas de evaluación están claramente definidas en el estatuto estudiantil.",$A$178,"39. Las reglas de evaluación están claramente definidas en el estatuto estudiantil.","En desacuerdo")/GETPIVOTDATA("39. Las reglas de evaluación están claramente definidas en el estatuto estudiantil.",$A$178)</f>
        <v>5.3892215568862277E-2</v>
      </c>
      <c r="D181" s="217">
        <f>+GETPIVOTDATA("39. Las reglas de evaluación están claramente definidas en el estatuto estudiantil.",$A$178,"39. Las reglas de evaluación están claramente definidas en el estatuto estudiantil.","Medianamente de acuerdo")/GETPIVOTDATA("39. Las reglas de evaluación están claramente definidas en el estatuto estudiantil.",$A$178)</f>
        <v>0.19760479041916168</v>
      </c>
      <c r="E181" s="217">
        <f>+GETPIVOTDATA("39. Las reglas de evaluación están claramente definidas en el estatuto estudiantil.",$A$178,"39. Las reglas de evaluación están claramente definidas en el estatuto estudiantil.","De acuerdo")/GETPIVOTDATA("39. Las reglas de evaluación están claramente definidas en el estatuto estudiantil.",$A$178)</f>
        <v>0.42514970059880242</v>
      </c>
      <c r="F181" s="217">
        <f>+GETPIVOTDATA("39. Las reglas de evaluación están claramente definidas en el estatuto estudiantil.",$A$178,"39. Las reglas de evaluación están claramente definidas en el estatuto estudiantil.","Totalmente de acuerdo / SI")/GETPIVOTDATA("39. Las reglas de evaluación están claramente definidas en el estatuto estudiantil.",$A$178)</f>
        <v>0.21556886227544911</v>
      </c>
      <c r="G181" s="217">
        <f>+GETPIVOTDATA("39. Las reglas de evaluación están claramente definidas en el estatuto estudiantil.",$A$178,"39. Las reglas de evaluación están claramente definidas en el estatuto estudiantil.","No sabe / No puede opinar al respecto")/GETPIVOTDATA("39. Las reglas de evaluación están claramente definidas en el estatuto estudiantil.",$A$178)</f>
        <v>7.7844311377245512E-2</v>
      </c>
      <c r="I181" s="217">
        <f>SUM(B181:H181)</f>
        <v>1</v>
      </c>
    </row>
    <row r="182" spans="1:9" ht="15" x14ac:dyDescent="0.25">
      <c r="A182"/>
      <c r="B182" s="164" t="s">
        <v>2816</v>
      </c>
      <c r="C182"/>
      <c r="D182"/>
      <c r="E182"/>
      <c r="F182"/>
      <c r="G182"/>
      <c r="H182"/>
      <c r="I182"/>
    </row>
    <row r="183" spans="1:9" ht="15" x14ac:dyDescent="0.25">
      <c r="A183"/>
      <c r="B183" t="s">
        <v>1093</v>
      </c>
      <c r="C183" t="s">
        <v>1</v>
      </c>
      <c r="D183" t="s">
        <v>2</v>
      </c>
      <c r="E183" t="s">
        <v>3</v>
      </c>
      <c r="F183" t="s">
        <v>1092</v>
      </c>
      <c r="G183" t="s">
        <v>5</v>
      </c>
      <c r="H183" t="s">
        <v>1358</v>
      </c>
      <c r="I183" t="s">
        <v>1096</v>
      </c>
    </row>
    <row r="184" spans="1:9" ht="120" x14ac:dyDescent="0.25">
      <c r="A184" s="166" t="s">
        <v>1141</v>
      </c>
      <c r="B184" s="165">
        <v>3</v>
      </c>
      <c r="C184" s="165">
        <v>6</v>
      </c>
      <c r="D184" s="165">
        <v>34</v>
      </c>
      <c r="E184" s="165">
        <v>76</v>
      </c>
      <c r="F184" s="165">
        <v>47</v>
      </c>
      <c r="G184" s="165">
        <v>1</v>
      </c>
      <c r="H184" s="165"/>
      <c r="I184" s="165">
        <v>167</v>
      </c>
    </row>
    <row r="185" spans="1:9" ht="15" x14ac:dyDescent="0.25">
      <c r="A185"/>
      <c r="B185" s="215">
        <f>+GETPIVOTDATA("40. Los temas de los trabajos desarrollados en los espacios académicos despiertan mi interés personal y profesional.",$A$182,"40. Los temas de los trabajos desarrollados en los espacios académicos despiertan mi interés personal y profesional.","Totalmente en desacuerdo / NO")/GETPIVOTDATA("40. Los temas de los trabajos desarrollados en los espacios académicos despiertan mi interés personal y profesional.",$A$182)</f>
        <v>1.7964071856287425E-2</v>
      </c>
      <c r="C185" s="217">
        <f>+GETPIVOTDATA("40. Los temas de los trabajos desarrollados en los espacios académicos despiertan mi interés personal y profesional.",$A$182,"40. Los temas de los trabajos desarrollados en los espacios académicos despiertan mi interés personal y profesional.","En desacuerdo")/GETPIVOTDATA("40. Los temas de los trabajos desarrollados en los espacios académicos despiertan mi interés personal y profesional.",$A$182)</f>
        <v>3.5928143712574849E-2</v>
      </c>
      <c r="D185" s="217">
        <f>+GETPIVOTDATA("40. Los temas de los trabajos desarrollados en los espacios académicos despiertan mi interés personal y profesional.",$A$182,"40. Los temas de los trabajos desarrollados en los espacios académicos despiertan mi interés personal y profesional.","Medianamente de acuerdo")/GETPIVOTDATA("40. Los temas de los trabajos desarrollados en los espacios académicos despiertan mi interés personal y profesional.",$A$182)</f>
        <v>0.20359281437125748</v>
      </c>
      <c r="E185" s="217">
        <f>+GETPIVOTDATA("40. Los temas de los trabajos desarrollados en los espacios académicos despiertan mi interés personal y profesional.",$A$182,"40. Los temas de los trabajos desarrollados en los espacios académicos despiertan mi interés personal y profesional.","De acuerdo")/GETPIVOTDATA("40. Los temas de los trabajos desarrollados en los espacios académicos despiertan mi interés personal y profesional.",$A$182)</f>
        <v>0.45508982035928142</v>
      </c>
      <c r="F185" s="217">
        <f>+GETPIVOTDATA("40. Los temas de los trabajos desarrollados en los espacios académicos despiertan mi interés personal y profesional.",$A$182,"40. Los temas de los trabajos desarrollados en los espacios académicos despiertan mi interés personal y profesional.","Totalmente de acuerdo / SI")/GETPIVOTDATA("40. Los temas de los trabajos desarrollados en los espacios académicos despiertan mi interés personal y profesional.",$A$182)</f>
        <v>0.28143712574850299</v>
      </c>
      <c r="G185" s="217">
        <f>+GETPIVOTDATA("40. Los temas de los trabajos desarrollados en los espacios académicos despiertan mi interés personal y profesional.",$A$182,"40. Los temas de los trabajos desarrollados en los espacios académicos despiertan mi interés personal y profesional.","No sabe / No puede opinar al respecto")/GETPIVOTDATA("40. Los temas de los trabajos desarrollados en los espacios académicos despiertan mi interés personal y profesional.",$A$182)</f>
        <v>5.9880239520958087E-3</v>
      </c>
      <c r="I185" s="217">
        <f>SUM(B185:H185)</f>
        <v>1</v>
      </c>
    </row>
    <row r="186" spans="1:9" ht="15" x14ac:dyDescent="0.25">
      <c r="A186"/>
      <c r="B186" s="164" t="s">
        <v>2816</v>
      </c>
      <c r="C186"/>
      <c r="D186"/>
      <c r="E186"/>
      <c r="F186"/>
      <c r="G186"/>
      <c r="H186"/>
      <c r="I186"/>
    </row>
    <row r="187" spans="1:9" ht="15" x14ac:dyDescent="0.25">
      <c r="A187"/>
      <c r="B187" t="s">
        <v>1093</v>
      </c>
      <c r="C187" t="s">
        <v>1</v>
      </c>
      <c r="D187" t="s">
        <v>2</v>
      </c>
      <c r="E187" t="s">
        <v>3</v>
      </c>
      <c r="F187" t="s">
        <v>1092</v>
      </c>
      <c r="G187" t="s">
        <v>5</v>
      </c>
      <c r="H187" t="s">
        <v>1358</v>
      </c>
      <c r="I187" t="s">
        <v>1096</v>
      </c>
    </row>
    <row r="188" spans="1:9" ht="120" x14ac:dyDescent="0.25">
      <c r="A188" s="166" t="s">
        <v>1142</v>
      </c>
      <c r="B188" s="165">
        <v>6</v>
      </c>
      <c r="C188" s="165">
        <v>8</v>
      </c>
      <c r="D188" s="165">
        <v>35</v>
      </c>
      <c r="E188" s="165">
        <v>87</v>
      </c>
      <c r="F188" s="165">
        <v>30</v>
      </c>
      <c r="G188" s="165">
        <v>1</v>
      </c>
      <c r="H188" s="165"/>
      <c r="I188" s="165">
        <v>167</v>
      </c>
    </row>
    <row r="189" spans="1:9" ht="15" x14ac:dyDescent="0.25">
      <c r="A189"/>
      <c r="B189" s="215">
        <f>+GETPIVOTDATA("41. Los objetivos de cada uno de los espacios académicos son coherentes con los trabajos de aula solicitados por los docentes.",$A$186,"41. Los objetivos de cada uno de los espacios académicos son coherentes con los trabajos de aula solicitados por los docentes.","Totalmente en desacuerdo / NO")/GETPIVOTDATA("41. Los objetivos de cada uno de los espacios académicos son coherentes con los trabajos de aula solicitados por los docentes.",$A$186)</f>
        <v>3.5928143712574849E-2</v>
      </c>
      <c r="C189" s="217">
        <f>+GETPIVOTDATA("41. Los objetivos de cada uno de los espacios académicos son coherentes con los trabajos de aula solicitados por los docentes.",$A$186,"41. Los objetivos de cada uno de los espacios académicos son coherentes con los trabajos de aula solicitados por los docentes.","En desacuerdo")/GETPIVOTDATA("41. Los objetivos de cada uno de los espacios académicos son coherentes con los trabajos de aula solicitados por los docentes.",$A$186)</f>
        <v>4.790419161676647E-2</v>
      </c>
      <c r="D189" s="217">
        <f>+GETPIVOTDATA("41. Los objetivos de cada uno de los espacios académicos son coherentes con los trabajos de aula solicitados por los docentes.",$A$186,"41. Los objetivos de cada uno de los espacios académicos son coherentes con los trabajos de aula solicitados por los docentes.","Medianamente de acuerdo")/GETPIVOTDATA("41. Los objetivos de cada uno de los espacios académicos son coherentes con los trabajos de aula solicitados por los docentes.",$A$186)</f>
        <v>0.20958083832335328</v>
      </c>
      <c r="E189" s="217">
        <f>+GETPIVOTDATA("41. Los objetivos de cada uno de los espacios académicos son coherentes con los trabajos de aula solicitados por los docentes.",$A$186,"41. Los objetivos de cada uno de los espacios académicos son coherentes con los trabajos de aula solicitados por los docentes.","De acuerdo")/GETPIVOTDATA("41. Los objetivos de cada uno de los espacios académicos son coherentes con los trabajos de aula solicitados por los docentes.",$A$186)</f>
        <v>0.52095808383233533</v>
      </c>
      <c r="F189" s="217">
        <f>+GETPIVOTDATA("41. Los objetivos de cada uno de los espacios académicos son coherentes con los trabajos de aula solicitados por los docentes.",$A$186,"41. Los objetivos de cada uno de los espacios académicos son coherentes con los trabajos de aula solicitados por los docentes.","Totalmente de acuerdo / SI")/GETPIVOTDATA("41. Los objetivos de cada uno de los espacios académicos son coherentes con los trabajos de aula solicitados por los docentes.",$A$186)</f>
        <v>0.17964071856287425</v>
      </c>
      <c r="G189" s="217">
        <f>+GETPIVOTDATA("41. Los objetivos de cada uno de los espacios académicos son coherentes con los trabajos de aula solicitados por los docentes.",$A$186,"41. Los objetivos de cada uno de los espacios académicos son coherentes con los trabajos de aula solicitados por los docentes.","No sabe / No puede opinar al respecto")/GETPIVOTDATA("41. Los objetivos de cada uno de los espacios académicos son coherentes con los trabajos de aula solicitados por los docentes.",$A$186)</f>
        <v>5.9880239520958087E-3</v>
      </c>
      <c r="I189" s="217">
        <f>SUM(B189:H189)</f>
        <v>1</v>
      </c>
    </row>
    <row r="190" spans="1:9" ht="15" x14ac:dyDescent="0.25">
      <c r="A190"/>
      <c r="B190" s="164" t="s">
        <v>2816</v>
      </c>
      <c r="C190"/>
      <c r="D190"/>
      <c r="E190"/>
      <c r="F190"/>
      <c r="G190"/>
      <c r="H190"/>
      <c r="I190"/>
    </row>
    <row r="191" spans="1:9" ht="15" x14ac:dyDescent="0.25">
      <c r="A191"/>
      <c r="B191" t="s">
        <v>1093</v>
      </c>
      <c r="C191" t="s">
        <v>1</v>
      </c>
      <c r="D191" t="s">
        <v>2</v>
      </c>
      <c r="E191" t="s">
        <v>3</v>
      </c>
      <c r="F191" t="s">
        <v>1092</v>
      </c>
      <c r="G191" t="s">
        <v>5</v>
      </c>
      <c r="H191" t="s">
        <v>1358</v>
      </c>
      <c r="I191" t="s">
        <v>1096</v>
      </c>
    </row>
    <row r="192" spans="1:9" ht="120" x14ac:dyDescent="0.25">
      <c r="A192" s="166" t="s">
        <v>1143</v>
      </c>
      <c r="B192" s="165">
        <v>18</v>
      </c>
      <c r="C192" s="165">
        <v>9</v>
      </c>
      <c r="D192" s="165">
        <v>37</v>
      </c>
      <c r="E192" s="165">
        <v>57</v>
      </c>
      <c r="F192" s="165">
        <v>29</v>
      </c>
      <c r="G192" s="165">
        <v>17</v>
      </c>
      <c r="H192" s="165"/>
      <c r="I192" s="165">
        <v>167</v>
      </c>
    </row>
    <row r="193" spans="1:9" ht="15" x14ac:dyDescent="0.25">
      <c r="A193"/>
      <c r="B193" s="215">
        <f>+GETPIVOTDATA("42. Conozco los procesos para la evaluación periódica de la pertinencia y calidad del programa académico al cual pertenezco.",$A$190,"42. Conozco los procesos para la evaluación periódica de la pertinencia y calidad del programa académico al cual pertenezco.","Totalmente en desacuerdo / NO")/GETPIVOTDATA("42. Conozco los procesos para la evaluación periódica de la pertinencia y calidad del programa académico al cual pertenezco.",$A$190)</f>
        <v>0.10778443113772455</v>
      </c>
      <c r="C193" s="217">
        <f>+GETPIVOTDATA("42. Conozco los procesos para la evaluación periódica de la pertinencia y calidad del programa académico al cual pertenezco.",$A$190,"42. Conozco los procesos para la evaluación periódica de la pertinencia y calidad del programa académico al cual pertenezco.","En desacuerdo")/GETPIVOTDATA("42. Conozco los procesos para la evaluación periódica de la pertinencia y calidad del programa académico al cual pertenezco.",$A$190)</f>
        <v>5.3892215568862277E-2</v>
      </c>
      <c r="D193" s="217">
        <f>+GETPIVOTDATA("42. Conozco los procesos para la evaluación periódica de la pertinencia y calidad del programa académico al cual pertenezco.",$A$190,"42. Conozco los procesos para la evaluación periódica de la pertinencia y calidad del programa académico al cual pertenezco.","Medianamente de acuerdo")/GETPIVOTDATA("42. Conozco los procesos para la evaluación periódica de la pertinencia y calidad del programa académico al cual pertenezco.",$A$190)</f>
        <v>0.22155688622754491</v>
      </c>
      <c r="E193" s="217">
        <f>+GETPIVOTDATA("42. Conozco los procesos para la evaluación periódica de la pertinencia y calidad del programa académico al cual pertenezco.",$A$190,"42. Conozco los procesos para la evaluación periódica de la pertinencia y calidad del programa académico al cual pertenezco.","De acuerdo")/GETPIVOTDATA("42. Conozco los procesos para la evaluación periódica de la pertinencia y calidad del programa académico al cual pertenezco.",$A$190)</f>
        <v>0.3413173652694611</v>
      </c>
      <c r="F193" s="217">
        <f>+GETPIVOTDATA("42. Conozco los procesos para la evaluación periódica de la pertinencia y calidad del programa académico al cual pertenezco.",$A$190,"42. Conozco los procesos para la evaluación periódica de la pertinencia y calidad del programa académico al cual pertenezco.","Totalmente de acuerdo / SI")/GETPIVOTDATA("42. Conozco los procesos para la evaluación periódica de la pertinencia y calidad del programa académico al cual pertenezco.",$A$190)</f>
        <v>0.17365269461077845</v>
      </c>
      <c r="G193" s="217">
        <f>+GETPIVOTDATA("42. Conozco los procesos para la evaluación periódica de la pertinencia y calidad del programa académico al cual pertenezco.",$A$190,"42. Conozco los procesos para la evaluación periódica de la pertinencia y calidad del programa académico al cual pertenezco.","No sabe / No puede opinar al respecto")/GETPIVOTDATA("42. Conozco los procesos para la evaluación periódica de la pertinencia y calidad del programa académico al cual pertenezco.",$A$190)</f>
        <v>0.10179640718562874</v>
      </c>
      <c r="I193" s="217">
        <f>SUM(B193:H193)</f>
        <v>1</v>
      </c>
    </row>
    <row r="194" spans="1:9" ht="15" x14ac:dyDescent="0.25">
      <c r="A194"/>
      <c r="B194" s="164" t="s">
        <v>2816</v>
      </c>
      <c r="C194"/>
      <c r="D194"/>
      <c r="E194"/>
      <c r="F194"/>
      <c r="G194"/>
      <c r="H194"/>
      <c r="I194"/>
    </row>
    <row r="195" spans="1:9" ht="15" x14ac:dyDescent="0.25">
      <c r="A195"/>
      <c r="B195" t="s">
        <v>1093</v>
      </c>
      <c r="C195" t="s">
        <v>1</v>
      </c>
      <c r="D195" t="s">
        <v>2</v>
      </c>
      <c r="E195" t="s">
        <v>3</v>
      </c>
      <c r="F195" t="s">
        <v>1092</v>
      </c>
      <c r="G195" t="s">
        <v>5</v>
      </c>
      <c r="H195" t="s">
        <v>1358</v>
      </c>
      <c r="I195" t="s">
        <v>1096</v>
      </c>
    </row>
    <row r="196" spans="1:9" ht="120" x14ac:dyDescent="0.25">
      <c r="A196" s="166" t="s">
        <v>1144</v>
      </c>
      <c r="B196" s="165">
        <v>29</v>
      </c>
      <c r="C196" s="165">
        <v>16</v>
      </c>
      <c r="D196" s="165">
        <v>43</v>
      </c>
      <c r="E196" s="165">
        <v>42</v>
      </c>
      <c r="F196" s="165">
        <v>18</v>
      </c>
      <c r="G196" s="165">
        <v>19</v>
      </c>
      <c r="H196" s="165"/>
      <c r="I196" s="165">
        <v>167</v>
      </c>
    </row>
    <row r="197" spans="1:9" ht="15" x14ac:dyDescent="0.25">
      <c r="A197"/>
      <c r="B197" s="215">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pertenezco.","Totalmente en desacuerdo / NO")/GETPIVOTDATA("43. He participado en procesos para la evaluación periódica de la pertinencia y calidad del programa académico al cual pertenezco.",$A$194)</f>
        <v>0.17365269461077845</v>
      </c>
      <c r="C197" s="217">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pertenezco.","En desacuerdo")/GETPIVOTDATA("43. He participado en procesos para la evaluación periódica de la pertinencia y calidad del programa académico al cual pertenezco.",$A$194)</f>
        <v>9.580838323353294E-2</v>
      </c>
      <c r="D197" s="217">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pertenezco.","Medianamente de acuerdo")/GETPIVOTDATA("43. He participado en procesos para la evaluación periódica de la pertinencia y calidad del programa académico al cual pertenezco.",$A$194)</f>
        <v>0.25748502994011974</v>
      </c>
      <c r="E197" s="217">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pertenezco.","De acuerdo")/GETPIVOTDATA("43. He participado en procesos para la evaluación periódica de la pertinencia y calidad del programa académico al cual pertenezco.",$A$194)</f>
        <v>0.25149700598802394</v>
      </c>
      <c r="F197" s="217">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pertenezco.","Totalmente de acuerdo / SI")/GETPIVOTDATA("43. He participado en procesos para la evaluación periódica de la pertinencia y calidad del programa académico al cual pertenezco.",$A$194)</f>
        <v>0.10778443113772455</v>
      </c>
      <c r="G197" s="217">
        <f>+GETPIVOTDATA("43. He participado en procesos para la evaluación periódica de la pertinencia y calidad del programa académico al cual pertenezco.",$A$194,"43. He participado en procesos para la evaluación periódica de la pertinencia y calidad del programa académico al cual pertenezco.","No sabe / No puede opinar al respecto")/GETPIVOTDATA("43. He participado en procesos para la evaluación periódica de la pertinencia y calidad del programa académico al cual pertenezco.",$A$194)</f>
        <v>0.11377245508982035</v>
      </c>
      <c r="I197" s="217">
        <f>SUM(B197:H197)</f>
        <v>0.99999999999999989</v>
      </c>
    </row>
    <row r="198" spans="1:9" ht="15" x14ac:dyDescent="0.25">
      <c r="A198"/>
      <c r="B198" s="164" t="s">
        <v>2816</v>
      </c>
      <c r="C198"/>
      <c r="D198"/>
      <c r="E198"/>
      <c r="F198"/>
      <c r="G198"/>
      <c r="H198"/>
      <c r="I198"/>
    </row>
    <row r="199" spans="1:9" ht="15" x14ac:dyDescent="0.25">
      <c r="A199"/>
      <c r="B199" t="s">
        <v>1093</v>
      </c>
      <c r="C199" t="s">
        <v>1</v>
      </c>
      <c r="D199" t="s">
        <v>2</v>
      </c>
      <c r="E199" t="s">
        <v>3</v>
      </c>
      <c r="F199" t="s">
        <v>1092</v>
      </c>
      <c r="G199" t="s">
        <v>5</v>
      </c>
      <c r="H199" t="s">
        <v>1358</v>
      </c>
      <c r="I199" t="s">
        <v>1096</v>
      </c>
    </row>
    <row r="200" spans="1:9" ht="90" x14ac:dyDescent="0.25">
      <c r="A200" s="166" t="s">
        <v>1145</v>
      </c>
      <c r="B200" s="165">
        <v>19</v>
      </c>
      <c r="C200" s="165">
        <v>20</v>
      </c>
      <c r="D200" s="165">
        <v>44</v>
      </c>
      <c r="E200" s="165">
        <v>33</v>
      </c>
      <c r="F200" s="165">
        <v>25</v>
      </c>
      <c r="G200" s="165">
        <v>26</v>
      </c>
      <c r="H200" s="165"/>
      <c r="I200" s="165">
        <v>167</v>
      </c>
    </row>
    <row r="201" spans="1:9" ht="15" x14ac:dyDescent="0.25">
      <c r="A201"/>
      <c r="B201" s="215">
        <f>+GETPIVOTDATA("44. Puedo identificar mejoras realizadas  en mi programa académico durante el último año.",$A$198,"44. Puedo identificar mejoras realizadas  en mi programa académico durante el último año.","Totalmente en desacuerdo / NO")/GETPIVOTDATA("44. Puedo identificar mejoras realizadas  en mi programa académico durante el último año.",$A$198)</f>
        <v>0.11377245508982035</v>
      </c>
      <c r="C201" s="217">
        <f>+GETPIVOTDATA("44. Puedo identificar mejoras realizadas  en mi programa académico durante el último año.",$A$198,"44. Puedo identificar mejoras realizadas  en mi programa académico durante el último año.","En desacuerdo")/GETPIVOTDATA("44. Puedo identificar mejoras realizadas  en mi programa académico durante el último año.",$A$198)</f>
        <v>0.11976047904191617</v>
      </c>
      <c r="D201" s="217">
        <f>+GETPIVOTDATA("44. Puedo identificar mejoras realizadas  en mi programa académico durante el último año.",$A$198,"44. Puedo identificar mejoras realizadas  en mi programa académico durante el último año.","Medianamente de acuerdo")/GETPIVOTDATA("44. Puedo identificar mejoras realizadas  en mi programa académico durante el último año.",$A$198)</f>
        <v>0.26347305389221559</v>
      </c>
      <c r="E201" s="217">
        <f>+GETPIVOTDATA("44. Puedo identificar mejoras realizadas  en mi programa académico durante el último año.",$A$198,"44. Puedo identificar mejoras realizadas  en mi programa académico durante el último año.","De acuerdo")/GETPIVOTDATA("44. Puedo identificar mejoras realizadas  en mi programa académico durante el último año.",$A$198)</f>
        <v>0.19760479041916168</v>
      </c>
      <c r="F201" s="217">
        <f>+GETPIVOTDATA("44. Puedo identificar mejoras realizadas  en mi programa académico durante el último año.",$A$198,"44. Puedo identificar mejoras realizadas  en mi programa académico durante el último año.","Totalmente de acuerdo / SI")/GETPIVOTDATA("44. Puedo identificar mejoras realizadas  en mi programa académico durante el último año.",$A$198)</f>
        <v>0.1497005988023952</v>
      </c>
      <c r="G201" s="217">
        <f>+GETPIVOTDATA("44. Puedo identificar mejoras realizadas  en mi programa académico durante el último año.",$A$198,"44. Puedo identificar mejoras realizadas  en mi programa académico durante el último año.","No sabe / No puede opinar al respecto")/GETPIVOTDATA("44. Puedo identificar mejoras realizadas  en mi programa académico durante el último año.",$A$198)</f>
        <v>0.15568862275449102</v>
      </c>
      <c r="I201" s="217">
        <f>SUM(B201:H201)</f>
        <v>1</v>
      </c>
    </row>
    <row r="202" spans="1:9" ht="15" x14ac:dyDescent="0.25">
      <c r="A202"/>
      <c r="B202" s="164" t="s">
        <v>2816</v>
      </c>
      <c r="C202"/>
      <c r="D202"/>
      <c r="E202"/>
      <c r="F202"/>
      <c r="G202"/>
      <c r="H202"/>
      <c r="I202"/>
    </row>
    <row r="203" spans="1:9" ht="15" x14ac:dyDescent="0.25">
      <c r="A203"/>
      <c r="B203" t="s">
        <v>1093</v>
      </c>
      <c r="C203" t="s">
        <v>1</v>
      </c>
      <c r="D203" t="s">
        <v>2</v>
      </c>
      <c r="E203" t="s">
        <v>3</v>
      </c>
      <c r="F203" t="s">
        <v>1092</v>
      </c>
      <c r="G203" t="s">
        <v>5</v>
      </c>
      <c r="H203" t="s">
        <v>1358</v>
      </c>
      <c r="I203" t="s">
        <v>1096</v>
      </c>
    </row>
    <row r="204" spans="1:9" ht="105" x14ac:dyDescent="0.25">
      <c r="A204" s="166" t="s">
        <v>1146</v>
      </c>
      <c r="B204" s="165">
        <v>38</v>
      </c>
      <c r="C204" s="165">
        <v>24</v>
      </c>
      <c r="D204" s="165">
        <v>35</v>
      </c>
      <c r="E204" s="165">
        <v>28</v>
      </c>
      <c r="F204" s="165">
        <v>15</v>
      </c>
      <c r="G204" s="165">
        <v>27</v>
      </c>
      <c r="H204" s="165"/>
      <c r="I204" s="165">
        <v>167</v>
      </c>
    </row>
    <row r="205" spans="1:9" ht="15" x14ac:dyDescent="0.25">
      <c r="A205"/>
      <c r="B205" s="215">
        <f>+GETPIVOTDATA("45. Conozco proyectos dirigidos a la comunidad y liderados por mi programa académico.",$A$202,"45. Conozco proyectos dirigidos a la comunidad y liderados por mi programa académico.","Totalmente en desacuerdo / NO")/GETPIVOTDATA("45. Conozco proyectos dirigidos a la comunidad y liderados por mi programa académico.",$A$202)</f>
        <v>0.22754491017964071</v>
      </c>
      <c r="C205" s="217">
        <f>+GETPIVOTDATA("45. Conozco proyectos dirigidos a la comunidad y liderados por mi programa académico.",$A$202,"45. Conozco proyectos dirigidos a la comunidad y liderados por mi programa académico.","En desacuerdo")/GETPIVOTDATA("45. Conozco proyectos dirigidos a la comunidad y liderados por mi programa académico.",$A$202)</f>
        <v>0.1437125748502994</v>
      </c>
      <c r="D205" s="217">
        <f>+GETPIVOTDATA("45. Conozco proyectos dirigidos a la comunidad y liderados por mi programa académico.",$A$202,"45. Conozco proyectos dirigidos a la comunidad y liderados por mi programa académico.","Medianamente de acuerdo")/GETPIVOTDATA("45. Conozco proyectos dirigidos a la comunidad y liderados por mi programa académico.",$A$202)</f>
        <v>0.20958083832335328</v>
      </c>
      <c r="E205" s="217">
        <f>+GETPIVOTDATA("45. Conozco proyectos dirigidos a la comunidad y liderados por mi programa académico.",$A$202,"45. Conozco proyectos dirigidos a la comunidad y liderados por mi programa académico.","De acuerdo")/GETPIVOTDATA("45. Conozco proyectos dirigidos a la comunidad y liderados por mi programa académico.",$A$202)</f>
        <v>0.16766467065868262</v>
      </c>
      <c r="F205" s="217">
        <f>+GETPIVOTDATA("45. Conozco proyectos dirigidos a la comunidad y liderados por mi programa académico.",$A$202,"45. Conozco proyectos dirigidos a la comunidad y liderados por mi programa académico.","Totalmente de acuerdo / SI")/GETPIVOTDATA("45. Conozco proyectos dirigidos a la comunidad y liderados por mi programa académico.",$A$202)</f>
        <v>8.9820359281437126E-2</v>
      </c>
      <c r="G205" s="217">
        <f>+GETPIVOTDATA("45. Conozco proyectos dirigidos a la comunidad y liderados por mi programa académico.",$A$202,"45. Conozco proyectos dirigidos a la comunidad y liderados por mi programa académico.","No sabe / No puede opinar al respecto")/GETPIVOTDATA("45. Conozco proyectos dirigidos a la comunidad y liderados por mi programa académico.",$A$202)</f>
        <v>0.16167664670658682</v>
      </c>
      <c r="I205" s="217">
        <f>SUM(B205:H205)</f>
        <v>1</v>
      </c>
    </row>
    <row r="206" spans="1:9" ht="15" x14ac:dyDescent="0.25">
      <c r="A206"/>
      <c r="B206" s="164" t="s">
        <v>2816</v>
      </c>
      <c r="C206"/>
      <c r="D206"/>
      <c r="E206"/>
      <c r="F206"/>
      <c r="G206"/>
      <c r="H206"/>
      <c r="I206"/>
    </row>
    <row r="207" spans="1:9" ht="15" x14ac:dyDescent="0.25">
      <c r="A207"/>
      <c r="B207" t="s">
        <v>1093</v>
      </c>
      <c r="C207" t="s">
        <v>1</v>
      </c>
      <c r="D207" t="s">
        <v>2</v>
      </c>
      <c r="E207" t="s">
        <v>3</v>
      </c>
      <c r="F207" t="s">
        <v>1092</v>
      </c>
      <c r="G207" t="s">
        <v>5</v>
      </c>
      <c r="H207" t="s">
        <v>1358</v>
      </c>
      <c r="I207" t="s">
        <v>1096</v>
      </c>
    </row>
    <row r="208" spans="1:9" ht="105" x14ac:dyDescent="0.25">
      <c r="A208" s="166" t="s">
        <v>1147</v>
      </c>
      <c r="B208" s="165">
        <v>76</v>
      </c>
      <c r="C208" s="165">
        <v>27</v>
      </c>
      <c r="D208" s="165">
        <v>25</v>
      </c>
      <c r="E208" s="165">
        <v>24</v>
      </c>
      <c r="F208" s="165">
        <v>3</v>
      </c>
      <c r="G208" s="165">
        <v>12</v>
      </c>
      <c r="H208" s="165"/>
      <c r="I208" s="165">
        <v>167</v>
      </c>
    </row>
    <row r="209" spans="1:9" ht="15" x14ac:dyDescent="0.25">
      <c r="A209"/>
      <c r="B209" s="215">
        <f>+GETPIVOTDATA("46. He participado en proyectos dirigidos a la comunidad y liderados por el programa académico.",$A$206,"46. He participado en proyectos dirigidos a la comunidad y liderados por el programa académico.","Totalmente en desacuerdo / NO")/GETPIVOTDATA("46. He participado en proyectos dirigidos a la comunidad y liderados por el programa académico.",$A$206)</f>
        <v>0.45508982035928142</v>
      </c>
      <c r="C209" s="217">
        <f>+GETPIVOTDATA("46. He participado en proyectos dirigidos a la comunidad y liderados por el programa académico.",$A$206,"46. He participado en proyectos dirigidos a la comunidad y liderados por el programa académico.","En desacuerdo")/GETPIVOTDATA("46. He participado en proyectos dirigidos a la comunidad y liderados por el programa académico.",$A$206)</f>
        <v>0.16167664670658682</v>
      </c>
      <c r="D209" s="217">
        <f>+GETPIVOTDATA("46. He participado en proyectos dirigidos a la comunidad y liderados por el programa académico.",$A$206,"46. He participado en proyectos dirigidos a la comunidad y liderados por el programa académico.","Medianamente de acuerdo")/GETPIVOTDATA("46. He participado en proyectos dirigidos a la comunidad y liderados por el programa académico.",$A$206)</f>
        <v>0.1497005988023952</v>
      </c>
      <c r="E209" s="217">
        <f>+GETPIVOTDATA("46. He participado en proyectos dirigidos a la comunidad y liderados por el programa académico.",$A$206,"46. He participado en proyectos dirigidos a la comunidad y liderados por el programa académico.","De acuerdo")/GETPIVOTDATA("46. He participado en proyectos dirigidos a la comunidad y liderados por el programa académico.",$A$206)</f>
        <v>0.1437125748502994</v>
      </c>
      <c r="F209" s="217">
        <f>+GETPIVOTDATA("46. He participado en proyectos dirigidos a la comunidad y liderados por el programa académico.",$A$206,"46. He participado en proyectos dirigidos a la comunidad y liderados por el programa académico.","Totalmente de acuerdo / SI")/GETPIVOTDATA("46. He participado en proyectos dirigidos a la comunidad y liderados por el programa académico.",$A$206)</f>
        <v>1.7964071856287425E-2</v>
      </c>
      <c r="G209" s="217">
        <f>+GETPIVOTDATA("46. He participado en proyectos dirigidos a la comunidad y liderados por el programa académico.",$A$206,"46. He participado en proyectos dirigidos a la comunidad y liderados por el programa académico.","No sabe / No puede opinar al respecto")/GETPIVOTDATA("46. He participado en proyectos dirigidos a la comunidad y liderados por el programa académico.",$A$206)</f>
        <v>7.1856287425149698E-2</v>
      </c>
      <c r="I209" s="217">
        <f>SUM(B209:H209)</f>
        <v>1</v>
      </c>
    </row>
    <row r="210" spans="1:9" ht="15" x14ac:dyDescent="0.25">
      <c r="A210"/>
      <c r="B210" s="164" t="s">
        <v>2816</v>
      </c>
      <c r="C210"/>
      <c r="D210"/>
      <c r="E210"/>
      <c r="F210"/>
      <c r="G210"/>
      <c r="H210"/>
      <c r="I210"/>
    </row>
    <row r="211" spans="1:9" ht="15" x14ac:dyDescent="0.25">
      <c r="A211"/>
      <c r="B211" t="s">
        <v>1093</v>
      </c>
      <c r="C211" t="s">
        <v>1</v>
      </c>
      <c r="D211" t="s">
        <v>2</v>
      </c>
      <c r="E211" t="s">
        <v>3</v>
      </c>
      <c r="F211" t="s">
        <v>1092</v>
      </c>
      <c r="G211" t="s">
        <v>5</v>
      </c>
      <c r="H211" t="s">
        <v>1358</v>
      </c>
      <c r="I211" t="s">
        <v>1096</v>
      </c>
    </row>
    <row r="212" spans="1:9" ht="75" x14ac:dyDescent="0.25">
      <c r="A212" s="166" t="s">
        <v>1148</v>
      </c>
      <c r="B212" s="165">
        <v>20</v>
      </c>
      <c r="C212" s="165">
        <v>15</v>
      </c>
      <c r="D212" s="165">
        <v>38</v>
      </c>
      <c r="E212" s="165">
        <v>45</v>
      </c>
      <c r="F212" s="165">
        <v>32</v>
      </c>
      <c r="G212" s="165">
        <v>17</v>
      </c>
      <c r="H212" s="165"/>
      <c r="I212" s="165">
        <v>167</v>
      </c>
    </row>
    <row r="213" spans="1:9" ht="15" x14ac:dyDescent="0.25">
      <c r="A213"/>
      <c r="B213" s="215">
        <f>+GETPIVOTDATA("47. Desde mi programa académico se ayuda a resolver problemas de la comunidad.",$A$210,"47. Desde mi programa académico se ayuda a resolver problemas de la comunidad.","Totalmente en desacuerdo / NO")/GETPIVOTDATA("47. Desde mi programa académico se ayuda a resolver problemas de la comunidad.",$A$210)</f>
        <v>0.11976047904191617</v>
      </c>
      <c r="C213" s="217">
        <f>+GETPIVOTDATA("47. Desde mi programa académico se ayuda a resolver problemas de la comunidad.",$A$210,"47. Desde mi programa académico se ayuda a resolver problemas de la comunidad.","En desacuerdo")/GETPIVOTDATA("47. Desde mi programa académico se ayuda a resolver problemas de la comunidad.",$A$210)</f>
        <v>8.9820359281437126E-2</v>
      </c>
      <c r="D213" s="217">
        <f>+GETPIVOTDATA("47. Desde mi programa académico se ayuda a resolver problemas de la comunidad.",$A$210,"47. Desde mi programa académico se ayuda a resolver problemas de la comunidad.","Medianamente de acuerdo")/GETPIVOTDATA("47. Desde mi programa académico se ayuda a resolver problemas de la comunidad.",$A$210)</f>
        <v>0.22754491017964071</v>
      </c>
      <c r="E213" s="217">
        <f>+GETPIVOTDATA("47. Desde mi programa académico se ayuda a resolver problemas de la comunidad.",$A$210,"47. Desde mi programa académico se ayuda a resolver problemas de la comunidad.","De acuerdo")/GETPIVOTDATA("47. Desde mi programa académico se ayuda a resolver problemas de la comunidad.",$A$210)</f>
        <v>0.26946107784431139</v>
      </c>
      <c r="F213" s="217">
        <f>+GETPIVOTDATA("47. Desde mi programa académico se ayuda a resolver problemas de la comunidad.",$A$210,"47. Desde mi programa académico se ayuda a resolver problemas de la comunidad.","Totalmente de acuerdo / SI")/GETPIVOTDATA("47. Desde mi programa académico se ayuda a resolver problemas de la comunidad.",$A$210)</f>
        <v>0.19161676646706588</v>
      </c>
      <c r="G213" s="217">
        <f>+GETPIVOTDATA("47. Desde mi programa académico se ayuda a resolver problemas de la comunidad.",$A$210,"47. Desde mi programa académico se ayuda a resolver problemas de la comunidad.","No sabe / No puede opinar al respecto")/GETPIVOTDATA("47. Desde mi programa académico se ayuda a resolver problemas de la comunidad.",$A$210)</f>
        <v>0.10179640718562874</v>
      </c>
      <c r="I213" s="217">
        <f>SUM(B213:H213)</f>
        <v>1</v>
      </c>
    </row>
    <row r="214" spans="1:9" ht="15" x14ac:dyDescent="0.25">
      <c r="A214"/>
      <c r="B214" s="164" t="s">
        <v>2816</v>
      </c>
      <c r="C214"/>
      <c r="D214"/>
      <c r="E214"/>
      <c r="F214"/>
      <c r="G214"/>
      <c r="H214"/>
      <c r="I214"/>
    </row>
    <row r="215" spans="1:9" ht="15" x14ac:dyDescent="0.25">
      <c r="A215"/>
      <c r="B215" t="s">
        <v>1093</v>
      </c>
      <c r="C215" t="s">
        <v>1</v>
      </c>
      <c r="D215" t="s">
        <v>2</v>
      </c>
      <c r="E215" t="s">
        <v>3</v>
      </c>
      <c r="F215" t="s">
        <v>1092</v>
      </c>
      <c r="G215" t="s">
        <v>5</v>
      </c>
      <c r="H215" t="s">
        <v>1358</v>
      </c>
      <c r="I215" t="s">
        <v>1096</v>
      </c>
    </row>
    <row r="216" spans="1:9" ht="75" x14ac:dyDescent="0.25">
      <c r="A216" s="166" t="s">
        <v>1149</v>
      </c>
      <c r="B216" s="165">
        <v>18</v>
      </c>
      <c r="C216" s="165">
        <v>17</v>
      </c>
      <c r="D216" s="165">
        <v>45</v>
      </c>
      <c r="E216" s="165">
        <v>54</v>
      </c>
      <c r="F216" s="165">
        <v>25</v>
      </c>
      <c r="G216" s="165">
        <v>8</v>
      </c>
      <c r="H216" s="165"/>
      <c r="I216" s="165">
        <v>167</v>
      </c>
    </row>
    <row r="217" spans="1:9" ht="15" x14ac:dyDescent="0.25">
      <c r="A217"/>
      <c r="B217" s="215">
        <f>+GETPIVOTDATA("48.1. Considero que el material bibliográfico es: SUFICIENTE.",$A$214,"48.1. Considero que el material bibliográfico es: SUFICIENTE.","Totalmente en desacuerdo / NO")/GETPIVOTDATA("48.1. Considero que el material bibliográfico es: SUFICIENTE.",$A$214)</f>
        <v>0.10778443113772455</v>
      </c>
      <c r="C217" s="217">
        <f>+GETPIVOTDATA("48.1. Considero que el material bibliográfico es: SUFICIENTE.",$A$214,"48.1. Considero que el material bibliográfico es: SUFICIENTE.","En desacuerdo")/GETPIVOTDATA("48.1. Considero que el material bibliográfico es: SUFICIENTE.",$A$214)</f>
        <v>0.10179640718562874</v>
      </c>
      <c r="D217" s="217">
        <f>+GETPIVOTDATA("48.1. Considero que el material bibliográfico es: SUFICIENTE.",$A$214,"48.1. Considero que el material bibliográfico es: SUFICIENTE.","Medianamente de acuerdo")/GETPIVOTDATA("48.1. Considero que el material bibliográfico es: SUFICIENTE.",$A$214)</f>
        <v>0.26946107784431139</v>
      </c>
      <c r="E217" s="217">
        <f>+GETPIVOTDATA("48.1. Considero que el material bibliográfico es: SUFICIENTE.",$A$214,"48.1. Considero que el material bibliográfico es: SUFICIENTE.","De acuerdo")/GETPIVOTDATA("48.1. Considero que el material bibliográfico es: SUFICIENTE.",$A$214)</f>
        <v>0.32335329341317365</v>
      </c>
      <c r="F217" s="217">
        <f>+GETPIVOTDATA("48.1. Considero que el material bibliográfico es: SUFICIENTE.",$A$214,"48.1. Considero que el material bibliográfico es: SUFICIENTE.","Totalmente de acuerdo / SI")/GETPIVOTDATA("48.1. Considero que el material bibliográfico es: SUFICIENTE.",$A$214)</f>
        <v>0.1497005988023952</v>
      </c>
      <c r="G217" s="217">
        <f>+GETPIVOTDATA("48.1. Considero que el material bibliográfico es: SUFICIENTE.",$A$214,"48.1. Considero que el material bibliográfico es: SUFICIENTE.","No sabe / No puede opinar al respecto")/GETPIVOTDATA("48.1. Considero que el material bibliográfico es: SUFICIENTE.",$A$214)</f>
        <v>4.790419161676647E-2</v>
      </c>
      <c r="I217" s="217">
        <f>SUM(B217:H217)</f>
        <v>1</v>
      </c>
    </row>
    <row r="218" spans="1:9" ht="15" x14ac:dyDescent="0.25">
      <c r="A218"/>
      <c r="B218" s="164" t="s">
        <v>2816</v>
      </c>
      <c r="C218"/>
      <c r="D218"/>
      <c r="E218"/>
      <c r="F218"/>
      <c r="G218"/>
      <c r="H218"/>
      <c r="I218"/>
    </row>
    <row r="219" spans="1:9" ht="15" x14ac:dyDescent="0.25">
      <c r="A219"/>
      <c r="B219" t="s">
        <v>1093</v>
      </c>
      <c r="C219" t="s">
        <v>1</v>
      </c>
      <c r="D219" t="s">
        <v>2</v>
      </c>
      <c r="E219" t="s">
        <v>3</v>
      </c>
      <c r="F219" t="s">
        <v>1092</v>
      </c>
      <c r="G219" t="s">
        <v>5</v>
      </c>
      <c r="H219" t="s">
        <v>1358</v>
      </c>
      <c r="I219" t="s">
        <v>1096</v>
      </c>
    </row>
    <row r="220" spans="1:9" ht="75" x14ac:dyDescent="0.25">
      <c r="A220" s="166" t="s">
        <v>1150</v>
      </c>
      <c r="B220" s="165">
        <v>10</v>
      </c>
      <c r="C220" s="165">
        <v>8</v>
      </c>
      <c r="D220" s="165">
        <v>50</v>
      </c>
      <c r="E220" s="165">
        <v>63</v>
      </c>
      <c r="F220" s="165">
        <v>30</v>
      </c>
      <c r="G220" s="165">
        <v>6</v>
      </c>
      <c r="H220" s="165"/>
      <c r="I220" s="165">
        <v>167</v>
      </c>
    </row>
    <row r="221" spans="1:9" ht="15" x14ac:dyDescent="0.25">
      <c r="A221"/>
      <c r="B221" s="215">
        <f>+GETPIVOTDATA("48.2. Considero que el material bibliográfico es: ADECUADO.",$A$218,"48.2. Considero que el material bibliográfico es: ADECUADO.","Totalmente en desacuerdo / NO")/GETPIVOTDATA("48.2. Considero que el material bibliográfico es: ADECUADO.",$A$218)</f>
        <v>5.9880239520958084E-2</v>
      </c>
      <c r="C221" s="217">
        <f>+GETPIVOTDATA("48.2. Considero que el material bibliográfico es: ADECUADO.",$A$218,"48.2. Considero que el material bibliográfico es: ADECUADO.","En desacuerdo")/GETPIVOTDATA("48.2. Considero que el material bibliográfico es: ADECUADO.",$A$218)</f>
        <v>4.790419161676647E-2</v>
      </c>
      <c r="D221" s="217">
        <f>+GETPIVOTDATA("48.2. Considero que el material bibliográfico es: ADECUADO.",$A$218,"48.2. Considero que el material bibliográfico es: ADECUADO.","Medianamente de acuerdo")/GETPIVOTDATA("48.2. Considero que el material bibliográfico es: ADECUADO.",$A$218)</f>
        <v>0.29940119760479039</v>
      </c>
      <c r="E221" s="217">
        <f>+GETPIVOTDATA("48.2. Considero que el material bibliográfico es: ADECUADO.",$A$218,"48.2. Considero que el material bibliográfico es: ADECUADO.","De acuerdo")/GETPIVOTDATA("48.2. Considero que el material bibliográfico es: ADECUADO.",$A$218)</f>
        <v>0.3772455089820359</v>
      </c>
      <c r="F221" s="217">
        <f>+GETPIVOTDATA("48.2. Considero que el material bibliográfico es: ADECUADO.",$A$218,"48.2. Considero que el material bibliográfico es: ADECUADO.","Totalmente de acuerdo / SI")/GETPIVOTDATA("48.2. Considero que el material bibliográfico es: ADECUADO.",$A$218)</f>
        <v>0.17964071856287425</v>
      </c>
      <c r="G221" s="217">
        <f>+GETPIVOTDATA("48.2. Considero que el material bibliográfico es: ADECUADO.",$A$218,"48.2. Considero que el material bibliográfico es: ADECUADO.","No sabe / No puede opinar al respecto")/GETPIVOTDATA("48.2. Considero que el material bibliográfico es: ADECUADO.",$A$218)</f>
        <v>3.5928143712574849E-2</v>
      </c>
      <c r="I221" s="217">
        <f>SUM(B221:H221)</f>
        <v>0.99999999999999989</v>
      </c>
    </row>
    <row r="222" spans="1:9" ht="15" x14ac:dyDescent="0.25">
      <c r="A222"/>
      <c r="B222" s="164" t="s">
        <v>2816</v>
      </c>
      <c r="C222"/>
      <c r="D222"/>
      <c r="E222"/>
      <c r="F222"/>
      <c r="G222"/>
      <c r="H222"/>
      <c r="I222"/>
    </row>
    <row r="223" spans="1:9" ht="15" x14ac:dyDescent="0.25">
      <c r="A223"/>
      <c r="B223" t="s">
        <v>1093</v>
      </c>
      <c r="C223" t="s">
        <v>1</v>
      </c>
      <c r="D223" t="s">
        <v>2</v>
      </c>
      <c r="E223" t="s">
        <v>3</v>
      </c>
      <c r="F223" t="s">
        <v>1092</v>
      </c>
      <c r="G223" t="s">
        <v>5</v>
      </c>
      <c r="H223" t="s">
        <v>1358</v>
      </c>
      <c r="I223" t="s">
        <v>1096</v>
      </c>
    </row>
    <row r="224" spans="1:9" ht="75" x14ac:dyDescent="0.25">
      <c r="A224" s="166" t="s">
        <v>1151</v>
      </c>
      <c r="B224" s="165">
        <v>10</v>
      </c>
      <c r="C224" s="165">
        <v>14</v>
      </c>
      <c r="D224" s="165">
        <v>58</v>
      </c>
      <c r="E224" s="165">
        <v>52</v>
      </c>
      <c r="F224" s="165">
        <v>22</v>
      </c>
      <c r="G224" s="165">
        <v>11</v>
      </c>
      <c r="H224" s="165"/>
      <c r="I224" s="165">
        <v>167</v>
      </c>
    </row>
    <row r="225" spans="1:9" ht="15" x14ac:dyDescent="0.25">
      <c r="A225"/>
      <c r="B225" s="215">
        <f>+GETPIVOTDATA("48.3. Considero que el material bibliográfico es: ACTUALIZADO.",$A$222,"48.3. Considero que el material bibliográfico es: ACTUALIZADO.","Totalmente en desacuerdo / NO")/GETPIVOTDATA("48.3. Considero que el material bibliográfico es: ACTUALIZADO.",$A$222)</f>
        <v>5.9880239520958084E-2</v>
      </c>
      <c r="C225" s="217">
        <f>+GETPIVOTDATA("48.3. Considero que el material bibliográfico es: ACTUALIZADO.",$A$222,"48.3. Considero que el material bibliográfico es: ACTUALIZADO.","En desacuerdo")/GETPIVOTDATA("48.3. Considero que el material bibliográfico es: ACTUALIZADO.",$A$222)</f>
        <v>8.3832335329341312E-2</v>
      </c>
      <c r="D225" s="217">
        <f>+GETPIVOTDATA("48.3. Considero que el material bibliográfico es: ACTUALIZADO.",$A$222,"48.3. Considero que el material bibliográfico es: ACTUALIZADO.","Medianamente de acuerdo")/GETPIVOTDATA("48.3. Considero que el material bibliográfico es: ACTUALIZADO.",$A$222)</f>
        <v>0.3473053892215569</v>
      </c>
      <c r="E225" s="217">
        <f>+GETPIVOTDATA("48.3. Considero que el material bibliográfico es: ACTUALIZADO.",$A$222,"48.3. Considero que el material bibliográfico es: ACTUALIZADO.","De acuerdo")/GETPIVOTDATA("48.3. Considero que el material bibliográfico es: ACTUALIZADO.",$A$222)</f>
        <v>0.31137724550898205</v>
      </c>
      <c r="F225" s="217">
        <f>+GETPIVOTDATA("48.3. Considero que el material bibliográfico es: ACTUALIZADO.",$A$222,"48.3. Considero que el material bibliográfico es: ACTUALIZADO.","Totalmente de acuerdo / SI")/GETPIVOTDATA("48.3. Considero que el material bibliográfico es: ACTUALIZADO.",$A$222)</f>
        <v>0.1317365269461078</v>
      </c>
      <c r="G225" s="217">
        <f>+GETPIVOTDATA("48.3. Considero que el material bibliográfico es: ACTUALIZADO.",$A$222,"48.3. Considero que el material bibliográfico es: ACTUALIZADO.","No sabe / No puede opinar al respecto")/GETPIVOTDATA("48.3. Considero que el material bibliográfico es: ACTUALIZADO.",$A$222)</f>
        <v>6.5868263473053898E-2</v>
      </c>
      <c r="I225" s="217">
        <f>SUM(B225:H225)</f>
        <v>1</v>
      </c>
    </row>
    <row r="226" spans="1:9" ht="15" x14ac:dyDescent="0.25">
      <c r="A226"/>
      <c r="B226" s="164" t="s">
        <v>2816</v>
      </c>
      <c r="C226"/>
      <c r="D226"/>
      <c r="E226"/>
      <c r="F226"/>
      <c r="G226"/>
      <c r="H226"/>
      <c r="I226"/>
    </row>
    <row r="227" spans="1:9" ht="15" x14ac:dyDescent="0.25">
      <c r="A227"/>
      <c r="B227" t="s">
        <v>1093</v>
      </c>
      <c r="C227" t="s">
        <v>1</v>
      </c>
      <c r="D227" t="s">
        <v>2</v>
      </c>
      <c r="E227" t="s">
        <v>3</v>
      </c>
      <c r="F227" t="s">
        <v>1092</v>
      </c>
      <c r="G227" t="s">
        <v>5</v>
      </c>
      <c r="H227" t="s">
        <v>1358</v>
      </c>
      <c r="I227" t="s">
        <v>1096</v>
      </c>
    </row>
    <row r="228" spans="1:9" ht="105" x14ac:dyDescent="0.25">
      <c r="A228" s="166" t="s">
        <v>1152</v>
      </c>
      <c r="B228" s="165">
        <v>17</v>
      </c>
      <c r="C228" s="165">
        <v>21</v>
      </c>
      <c r="D228" s="165">
        <v>52</v>
      </c>
      <c r="E228" s="165">
        <v>43</v>
      </c>
      <c r="F228" s="165">
        <v>31</v>
      </c>
      <c r="G228" s="165">
        <v>3</v>
      </c>
      <c r="H228" s="165"/>
      <c r="I228" s="165">
        <v>167</v>
      </c>
    </row>
    <row r="229" spans="1:9" ht="15" x14ac:dyDescent="0.25">
      <c r="A229"/>
      <c r="B229" s="215">
        <f>+GETPIVOTDATA("49.1. Considero que los computadores y software disponibles en mi programa académico son: SUFICIENTE.",$A$226,"49.1. Considero que los computadores y software disponibles en mi programa académico son: SUFICIENTE.","Totalmente en desacuerdo / NO")/GETPIVOTDATA("49.1. Considero que los computadores y software disponibles en mi programa académico son: SUFICIENTE.",$A$226)</f>
        <v>0.10179640718562874</v>
      </c>
      <c r="C229" s="217">
        <f>+GETPIVOTDATA("49.1. Considero que los computadores y software disponibles en mi programa académico son: SUFICIENTE.",$A$226,"49.1. Considero que los computadores y software disponibles en mi programa académico son: SUFICIENTE.","En desacuerdo")/GETPIVOTDATA("49.1. Considero que los computadores y software disponibles en mi programa académico son: SUFICIENTE.",$A$226)</f>
        <v>0.12574850299401197</v>
      </c>
      <c r="D229" s="217">
        <f>+GETPIVOTDATA("49.1. Considero que los computadores y software disponibles en mi programa académico son: SUFICIENTE.",$A$226,"49.1. Considero que los computadores y software disponibles en mi programa académico son: SUFICIENTE.","Medianamente de acuerdo")/GETPIVOTDATA("49.1. Considero que los computadores y software disponibles en mi programa académico son: SUFICIENTE.",$A$226)</f>
        <v>0.31137724550898205</v>
      </c>
      <c r="E229" s="217">
        <f>+GETPIVOTDATA("49.1. Considero que los computadores y software disponibles en mi programa académico son: SUFICIENTE.",$A$226,"49.1. Considero que los computadores y software disponibles en mi programa académico son: SUFICIENTE.","De acuerdo")/GETPIVOTDATA("49.1. Considero que los computadores y software disponibles en mi programa académico son: SUFICIENTE.",$A$226)</f>
        <v>0.25748502994011974</v>
      </c>
      <c r="F229" s="217">
        <f>+GETPIVOTDATA("49.1. Considero que los computadores y software disponibles en mi programa académico son: SUFICIENTE.",$A$226,"49.1. Considero que los computadores y software disponibles en mi programa académico son: SUFICIENTE.","Totalmente de acuerdo / SI")/GETPIVOTDATA("49.1. Considero que los computadores y software disponibles en mi programa académico son: SUFICIENTE.",$A$226)</f>
        <v>0.18562874251497005</v>
      </c>
      <c r="G229" s="217">
        <f>+GETPIVOTDATA("49.1. Considero que los computadores y software disponibles en mi programa académico son: SUFICIENTE.",$A$226,"49.1. Considero que los computadores y software disponibles en mi programa académico son: SUFICIENTE.","No sabe / No puede opinar al respecto")/GETPIVOTDATA("49.1. Considero que los computadores y software disponibles en mi programa académico son: SUFICIENTE.",$A$226)</f>
        <v>1.7964071856287425E-2</v>
      </c>
      <c r="I229" s="217">
        <f>SUM(B229:H229)</f>
        <v>1</v>
      </c>
    </row>
    <row r="230" spans="1:9" ht="15" x14ac:dyDescent="0.25">
      <c r="A230"/>
      <c r="B230" s="164" t="s">
        <v>2816</v>
      </c>
      <c r="C230"/>
      <c r="D230"/>
      <c r="E230"/>
      <c r="F230"/>
      <c r="G230"/>
      <c r="H230"/>
      <c r="I230"/>
    </row>
    <row r="231" spans="1:9" ht="15" x14ac:dyDescent="0.25">
      <c r="A231"/>
      <c r="B231" t="s">
        <v>1093</v>
      </c>
      <c r="C231" t="s">
        <v>1</v>
      </c>
      <c r="D231" t="s">
        <v>2</v>
      </c>
      <c r="E231" t="s">
        <v>3</v>
      </c>
      <c r="F231" t="s">
        <v>1092</v>
      </c>
      <c r="G231" t="s">
        <v>5</v>
      </c>
      <c r="H231" t="s">
        <v>1358</v>
      </c>
      <c r="I231" t="s">
        <v>1096</v>
      </c>
    </row>
    <row r="232" spans="1:9" ht="105" x14ac:dyDescent="0.25">
      <c r="A232" s="166" t="s">
        <v>1153</v>
      </c>
      <c r="B232" s="165">
        <v>10</v>
      </c>
      <c r="C232" s="165">
        <v>11</v>
      </c>
      <c r="D232" s="165">
        <v>38</v>
      </c>
      <c r="E232" s="165">
        <v>66</v>
      </c>
      <c r="F232" s="165">
        <v>39</v>
      </c>
      <c r="G232" s="165">
        <v>3</v>
      </c>
      <c r="H232" s="165"/>
      <c r="I232" s="165">
        <v>167</v>
      </c>
    </row>
    <row r="233" spans="1:9" ht="15" x14ac:dyDescent="0.25">
      <c r="A233"/>
      <c r="B233" s="215">
        <f>+GETPIVOTDATA("49.2. Considero que los computadores y software disponibles en mi programa académico son: ADECUADO.",$A$230,"49.2. Considero que los computadores y software disponibles en mi programa académico son: ADECUADO.","Totalmente en desacuerdo / NO")/GETPIVOTDATA("49.2. Considero que los computadores y software disponibles en mi programa académico son: ADECUADO.",$A$230)</f>
        <v>5.9880239520958084E-2</v>
      </c>
      <c r="C233" s="217">
        <f>+GETPIVOTDATA("49.2. Considero que los computadores y software disponibles en mi programa académico son: ADECUADO.",$A$230,"49.2. Considero que los computadores y software disponibles en mi programa académico son: ADECUADO.","En desacuerdo")/GETPIVOTDATA("49.2. Considero que los computadores y software disponibles en mi programa académico son: ADECUADO.",$A$230)</f>
        <v>6.5868263473053898E-2</v>
      </c>
      <c r="D233" s="217">
        <f>+GETPIVOTDATA("49.2. Considero que los computadores y software disponibles en mi programa académico son: ADECUADO.",$A$230,"49.2. Considero que los computadores y software disponibles en mi programa académico son: ADECUADO.","Medianamente de acuerdo")/GETPIVOTDATA("49.2. Considero que los computadores y software disponibles en mi programa académico son: ADECUADO.",$A$230)</f>
        <v>0.22754491017964071</v>
      </c>
      <c r="E233" s="217">
        <f>+GETPIVOTDATA("49.2. Considero que los computadores y software disponibles en mi programa académico son: ADECUADO.",$A$230,"49.2. Considero que los computadores y software disponibles en mi programa académico son: ADECUADO.","De acuerdo")/GETPIVOTDATA("49.2. Considero que los computadores y software disponibles en mi programa académico son: ADECUADO.",$A$230)</f>
        <v>0.39520958083832336</v>
      </c>
      <c r="F233" s="217">
        <f>+GETPIVOTDATA("49.2. Considero que los computadores y software disponibles en mi programa académico son: ADECUADO.",$A$230,"49.2. Considero que los computadores y software disponibles en mi programa académico son: ADECUADO.","Totalmente de acuerdo / SI")/GETPIVOTDATA("49.2. Considero que los computadores y software disponibles en mi programa académico son: ADECUADO.",$A$230)</f>
        <v>0.23353293413173654</v>
      </c>
      <c r="G233" s="217">
        <f>+GETPIVOTDATA("49.2. Considero que los computadores y software disponibles en mi programa académico son: ADECUADO.",$A$230,"49.2. Considero que los computadores y software disponibles en mi programa académico son: ADECUADO.","No sabe / No puede opinar al respecto")/GETPIVOTDATA("49.2. Considero que los computadores y software disponibles en mi programa académico son: ADECUADO.",$A$230)</f>
        <v>1.7964071856287425E-2</v>
      </c>
      <c r="I233" s="217">
        <f>SUM(B233:H233)</f>
        <v>1</v>
      </c>
    </row>
    <row r="234" spans="1:9" ht="15" x14ac:dyDescent="0.25">
      <c r="A234"/>
      <c r="B234" s="164" t="s">
        <v>2816</v>
      </c>
      <c r="C234"/>
      <c r="D234"/>
      <c r="E234"/>
      <c r="F234"/>
      <c r="G234"/>
      <c r="H234"/>
      <c r="I234"/>
    </row>
    <row r="235" spans="1:9" ht="15" x14ac:dyDescent="0.25">
      <c r="A235"/>
      <c r="B235" t="s">
        <v>1093</v>
      </c>
      <c r="C235" t="s">
        <v>1</v>
      </c>
      <c r="D235" t="s">
        <v>2</v>
      </c>
      <c r="E235" t="s">
        <v>3</v>
      </c>
      <c r="F235" t="s">
        <v>1092</v>
      </c>
      <c r="G235" t="s">
        <v>5</v>
      </c>
      <c r="H235" t="s">
        <v>1358</v>
      </c>
      <c r="I235" t="s">
        <v>1096</v>
      </c>
    </row>
    <row r="236" spans="1:9" ht="105" x14ac:dyDescent="0.25">
      <c r="A236" s="166" t="s">
        <v>1154</v>
      </c>
      <c r="B236" s="165">
        <v>10</v>
      </c>
      <c r="C236" s="165">
        <v>10</v>
      </c>
      <c r="D236" s="165">
        <v>34</v>
      </c>
      <c r="E236" s="165">
        <v>76</v>
      </c>
      <c r="F236" s="165">
        <v>33</v>
      </c>
      <c r="G236" s="165">
        <v>4</v>
      </c>
      <c r="H236" s="165"/>
      <c r="I236" s="165">
        <v>167</v>
      </c>
    </row>
    <row r="237" spans="1:9" ht="15" x14ac:dyDescent="0.25">
      <c r="A237"/>
      <c r="B237" s="215">
        <f>+GETPIVOTDATA("49.3. Considero que los computadores y software disponibles en mi programa académico son: ACTUALIZADO.",$A$234,"49.3. Considero que los computadores y software disponibles en mi programa académico son: ACTUALIZADO.","Totalmente en desacuerdo / NO")/GETPIVOTDATA("49.3. Considero que los computadores y software disponibles en mi programa académico son: ACTUALIZADO.",$A$234)</f>
        <v>5.9880239520958084E-2</v>
      </c>
      <c r="C237" s="217">
        <f>+GETPIVOTDATA("49.3. Considero que los computadores y software disponibles en mi programa académico son: ACTUALIZADO.",$A$234,"49.3. Considero que los computadores y software disponibles en mi programa académico son: ACTUALIZADO.","En desacuerdo")/GETPIVOTDATA("49.3. Considero que los computadores y software disponibles en mi programa académico son: ACTUALIZADO.",$A$234)</f>
        <v>5.9880239520958084E-2</v>
      </c>
      <c r="D237" s="217">
        <f>+GETPIVOTDATA("49.3. Considero que los computadores y software disponibles en mi programa académico son: ACTUALIZADO.",$A$234,"49.3. Considero que los computadores y software disponibles en mi programa académico son: ACTUALIZADO.","Medianamente de acuerdo")/GETPIVOTDATA("49.3. Considero que los computadores y software disponibles en mi programa académico son: ACTUALIZADO.",$A$234)</f>
        <v>0.20359281437125748</v>
      </c>
      <c r="E237" s="217">
        <f>+GETPIVOTDATA("49.3. Considero que los computadores y software disponibles en mi programa académico son: ACTUALIZADO.",$A$234,"49.3. Considero que los computadores y software disponibles en mi programa académico son: ACTUALIZADO.","De acuerdo")/GETPIVOTDATA("49.3. Considero que los computadores y software disponibles en mi programa académico son: ACTUALIZADO.",$A$234)</f>
        <v>0.45508982035928142</v>
      </c>
      <c r="F237" s="217">
        <f>+GETPIVOTDATA("49.3. Considero que los computadores y software disponibles en mi programa académico son: ACTUALIZADO.",$A$234,"49.3. Considero que los computadores y software disponibles en mi programa académico son: ACTUALIZADO.","Totalmente de acuerdo / SI")/GETPIVOTDATA("49.3. Considero que los computadores y software disponibles en mi programa académico son: ACTUALIZADO.",$A$234)</f>
        <v>0.19760479041916168</v>
      </c>
      <c r="G237" s="217">
        <f>+GETPIVOTDATA("49.3. Considero que los computadores y software disponibles en mi programa académico son: ACTUALIZADO.",$A$234,"49.3. Considero que los computadores y software disponibles en mi programa académico son: ACTUALIZADO.","No sabe / No puede opinar al respecto")/GETPIVOTDATA("49.3. Considero que los computadores y software disponibles en mi programa académico son: ACTUALIZADO.",$A$234)</f>
        <v>2.3952095808383235E-2</v>
      </c>
      <c r="I237" s="217">
        <f>SUM(B237:H237)</f>
        <v>0.99999999999999989</v>
      </c>
    </row>
    <row r="238" spans="1:9" ht="15" x14ac:dyDescent="0.25">
      <c r="A238"/>
      <c r="B238" s="164" t="s">
        <v>2816</v>
      </c>
      <c r="C238"/>
      <c r="D238"/>
      <c r="E238"/>
      <c r="F238"/>
      <c r="G238"/>
      <c r="H238"/>
    </row>
    <row r="239" spans="1:9" ht="15" x14ac:dyDescent="0.25">
      <c r="A239"/>
      <c r="B239" t="s">
        <v>1093</v>
      </c>
      <c r="C239" t="s">
        <v>1</v>
      </c>
      <c r="D239" t="s">
        <v>2</v>
      </c>
      <c r="E239" t="s">
        <v>3</v>
      </c>
      <c r="F239" t="s">
        <v>1092</v>
      </c>
      <c r="G239" t="s">
        <v>1358</v>
      </c>
      <c r="H239" t="s">
        <v>1096</v>
      </c>
    </row>
    <row r="240" spans="1:9" ht="195" x14ac:dyDescent="0.25">
      <c r="A240" s="166" t="s">
        <v>1155</v>
      </c>
      <c r="B240" s="165">
        <v>5</v>
      </c>
      <c r="C240" s="165">
        <v>8</v>
      </c>
      <c r="D240" s="165">
        <v>40</v>
      </c>
      <c r="E240" s="165">
        <v>71</v>
      </c>
      <c r="F240" s="165">
        <v>43</v>
      </c>
      <c r="G240" s="165"/>
      <c r="H240" s="165">
        <v>167</v>
      </c>
    </row>
    <row r="241" spans="1:9" ht="15" x14ac:dyDescent="0.25">
      <c r="A241"/>
      <c r="B241" s="215">
        <f>+GETPIVOTDATA("50. Durante el desarrollo de las clases se hace un adecuado uso de las herramientas poseídas por la Universidad Distrital Francisco José de Caldas tales como: laboratorios, talleres y medios audiovisuales.",$A$238,"50. Durante el desarrollo de las clases se hace un adecuado uso de las herramientas poseídas por la Universidad Distrital Francisco José de Caldas tales como: laboratorios, talleres y medios audiovisuales.","Totalmente en desacuerdo / NO")/GETPIVOTDATA("50. Durante el desarrollo de las clases se hace un adecuado uso de las herramientas poseídas por la Universidad Distrital Francisco José de Caldas tales como: laboratorios, talleres y medios audiovisuales.",$A$238)</f>
        <v>2.9940119760479042E-2</v>
      </c>
      <c r="C241" s="217">
        <f>+GETPIVOTDATA("50. Durante el desarrollo de las clases se hace un adecuado uso de las herramientas poseídas por la Universidad Distrital Francisco José de Caldas tales como: laboratorios, talleres y medios audiovisuales.",$A$238,"50. Durante el desarrollo de las clases se hace un adecuado uso de las herramientas poseídas por la Universidad Distrital Francisco José de Caldas tales como: laboratorios, talleres y medios audiovisuales.","En desacuerdo")/GETPIVOTDATA("50. Durante el desarrollo de las clases se hace un adecuado uso de las herramientas poseídas por la Universidad Distrital Francisco José de Caldas tales como: laboratorios, talleres y medios audiovisuales.",$A$238)</f>
        <v>4.790419161676647E-2</v>
      </c>
      <c r="D241" s="217">
        <f>+GETPIVOTDATA("50. Durante el desarrollo de las clases se hace un adecuado uso de las herramientas poseídas por la Universidad Distrital Francisco José de Caldas tales como: laboratorios, talleres y medios audiovisuales.",$A$238,"50. Durante el desarrollo de las clases se hace un adecuado uso de las herramientas poseídas por la Universidad Distrital Francisco José de Caldas tales como: laboratorios, talleres y medios audiovisuales.","Medianamente de acuerdo")/GETPIVOTDATA("50. Durante el desarrollo de las clases se hace un adecuado uso de las herramientas poseídas por la Universidad Distrital Francisco José de Caldas tales como: laboratorios, talleres y medios audiovisuales.",$A$238)</f>
        <v>0.23952095808383234</v>
      </c>
      <c r="E241" s="217">
        <f>+GETPIVOTDATA("50. Durante el desarrollo de las clases se hace un adecuado uso de las herramientas poseídas por la Universidad Distrital Francisco José de Caldas tales como: laboratorios, talleres y medios audiovisuales.",$A$238,"50. Durante el desarrollo de las clases se hace un adecuado uso de las herramientas poseídas por la Universidad Distrital Francisco José de Caldas tales como: laboratorios, talleres y medios audiovisuales.","De acuerdo")/GETPIVOTDATA("50. Durante el desarrollo de las clases se hace un adecuado uso de las herramientas poseídas por la Universidad Distrital Francisco José de Caldas tales como: laboratorios, talleres y medios audiovisuales.",$A$238)</f>
        <v>0.42514970059880242</v>
      </c>
      <c r="F241" s="217">
        <f>+GETPIVOTDATA("50. Durante el desarrollo de las clases se hace un adecuado uso de las herramientas poseídas por la Universidad Distrital Francisco José de Caldas tales como: laboratorios, talleres y medios audiovisuales.",$A$238,"50. Durante el desarrollo de las clases se hace un adecuado uso de las herramientas poseídas por la Universidad Distrital Francisco José de Caldas tales como: laboratorios, talleres y medios audiovisuales.","Totalmente de acuerdo / SI")/GETPIVOTDATA("50. Durante el desarrollo de las clases se hace un adecuado uso de las herramientas poseídas por la Universidad Distrital Francisco José de Caldas tales como: laboratorios, talleres y medios audiovisuales.",$A$238)</f>
        <v>0.25748502994011974</v>
      </c>
      <c r="I241" s="217">
        <f>SUM(B241:H241)</f>
        <v>1</v>
      </c>
    </row>
    <row r="242" spans="1:9" ht="15" x14ac:dyDescent="0.25">
      <c r="A242"/>
      <c r="B242" s="164" t="s">
        <v>2816</v>
      </c>
      <c r="C242"/>
      <c r="D242"/>
      <c r="E242"/>
      <c r="F242"/>
      <c r="G242"/>
      <c r="H242"/>
      <c r="I242"/>
    </row>
    <row r="243" spans="1:9" ht="15" x14ac:dyDescent="0.25">
      <c r="A243"/>
      <c r="B243" t="s">
        <v>1093</v>
      </c>
      <c r="C243" t="s">
        <v>1</v>
      </c>
      <c r="D243" t="s">
        <v>2</v>
      </c>
      <c r="E243" t="s">
        <v>3</v>
      </c>
      <c r="F243" t="s">
        <v>1092</v>
      </c>
      <c r="G243" t="s">
        <v>5</v>
      </c>
      <c r="H243" t="s">
        <v>1358</v>
      </c>
      <c r="I243" t="s">
        <v>1096</v>
      </c>
    </row>
    <row r="244" spans="1:9" ht="105" x14ac:dyDescent="0.25">
      <c r="A244" s="166" t="s">
        <v>1156</v>
      </c>
      <c r="B244" s="165">
        <v>18</v>
      </c>
      <c r="C244" s="165">
        <v>21</v>
      </c>
      <c r="D244" s="165">
        <v>52</v>
      </c>
      <c r="E244" s="165">
        <v>44</v>
      </c>
      <c r="F244" s="165">
        <v>30</v>
      </c>
      <c r="G244" s="165">
        <v>2</v>
      </c>
      <c r="H244" s="165"/>
      <c r="I244" s="165">
        <v>167</v>
      </c>
    </row>
    <row r="245" spans="1:9" ht="15" x14ac:dyDescent="0.25">
      <c r="A245"/>
      <c r="B245" s="215">
        <f>+GETPIVOTDATA("51.1. Considero que los laboratorios y talleres disponibles en mi programa académico son: SUFICIENTES.",$A$242,"51.1. Considero que los laboratorios y talleres disponibles en mi programa académico son: SUFICIENTES.","Totalmente en desacuerdo / NO")/GETPIVOTDATA("51.1. Considero que los laboratorios y talleres disponibles en mi programa académico son: SUFICIENTES.",$A$242)</f>
        <v>0.10778443113772455</v>
      </c>
      <c r="C245" s="217">
        <f>+GETPIVOTDATA("51.1. Considero que los laboratorios y talleres disponibles en mi programa académico son: SUFICIENTES.",$A$242,"51.1. Considero que los laboratorios y talleres disponibles en mi programa académico son: SUFICIENTES.","En desacuerdo")/GETPIVOTDATA("51.1. Considero que los laboratorios y talleres disponibles en mi programa académico son: SUFICIENTES.",$A$242)</f>
        <v>0.12574850299401197</v>
      </c>
      <c r="D245" s="217">
        <f>+GETPIVOTDATA("51.1. Considero que los laboratorios y talleres disponibles en mi programa académico son: SUFICIENTES.",$A$242,"51.1. Considero que los laboratorios y talleres disponibles en mi programa académico son: SUFICIENTES.","Medianamente de acuerdo")/GETPIVOTDATA("51.1. Considero que los laboratorios y talleres disponibles en mi programa académico son: SUFICIENTES.",$A$242)</f>
        <v>0.31137724550898205</v>
      </c>
      <c r="E245" s="217">
        <f>+GETPIVOTDATA("51.1. Considero que los laboratorios y talleres disponibles en mi programa académico son: SUFICIENTES.",$A$242,"51.1. Considero que los laboratorios y talleres disponibles en mi programa académico son: SUFICIENTES.","De acuerdo")/GETPIVOTDATA("51.1. Considero que los laboratorios y talleres disponibles en mi programa académico son: SUFICIENTES.",$A$242)</f>
        <v>0.26347305389221559</v>
      </c>
      <c r="F245" s="217">
        <f>+GETPIVOTDATA("51.1. Considero que los laboratorios y talleres disponibles en mi programa académico son: SUFICIENTES.",$A$242,"51.1. Considero que los laboratorios y talleres disponibles en mi programa académico son: SUFICIENTES.","Totalmente de acuerdo / SI")/GETPIVOTDATA("51.1. Considero que los laboratorios y talleres disponibles en mi programa académico son: SUFICIENTES.",$A$242)</f>
        <v>0.17964071856287425</v>
      </c>
      <c r="G245" s="217">
        <f>+GETPIVOTDATA("51.1. Considero que los laboratorios y talleres disponibles en mi programa académico son: SUFICIENTES.",$A$242,"51.1. Considero que los laboratorios y talleres disponibles en mi programa académico son: SUFICIENTES.","No sabe / No puede opinar al respecto")/GETPIVOTDATA("51.1. Considero que los laboratorios y talleres disponibles en mi programa académico son: SUFICIENTES.",$A$242)</f>
        <v>1.1976047904191617E-2</v>
      </c>
      <c r="I245" s="217">
        <f>SUM(B245:H245)</f>
        <v>1</v>
      </c>
    </row>
    <row r="246" spans="1:9" ht="15" x14ac:dyDescent="0.25">
      <c r="A246"/>
      <c r="B246" s="164" t="s">
        <v>2816</v>
      </c>
      <c r="C246"/>
      <c r="D246"/>
      <c r="E246"/>
      <c r="F246"/>
      <c r="G246"/>
      <c r="H246"/>
      <c r="I246"/>
    </row>
    <row r="247" spans="1:9" ht="15" x14ac:dyDescent="0.25">
      <c r="A247"/>
      <c r="B247" t="s">
        <v>1093</v>
      </c>
      <c r="C247" t="s">
        <v>1</v>
      </c>
      <c r="D247" t="s">
        <v>2</v>
      </c>
      <c r="E247" t="s">
        <v>3</v>
      </c>
      <c r="F247" t="s">
        <v>1092</v>
      </c>
      <c r="G247" t="s">
        <v>5</v>
      </c>
      <c r="H247" t="s">
        <v>1358</v>
      </c>
      <c r="I247" t="s">
        <v>1096</v>
      </c>
    </row>
    <row r="248" spans="1:9" ht="105" x14ac:dyDescent="0.25">
      <c r="A248" s="166" t="s">
        <v>1157</v>
      </c>
      <c r="B248" s="165">
        <v>10</v>
      </c>
      <c r="C248" s="165">
        <v>10</v>
      </c>
      <c r="D248" s="165">
        <v>51</v>
      </c>
      <c r="E248" s="165">
        <v>63</v>
      </c>
      <c r="F248" s="165">
        <v>31</v>
      </c>
      <c r="G248" s="165">
        <v>2</v>
      </c>
      <c r="H248" s="165"/>
      <c r="I248" s="165">
        <v>167</v>
      </c>
    </row>
    <row r="249" spans="1:9" ht="15" x14ac:dyDescent="0.25">
      <c r="A249"/>
      <c r="B249" s="215">
        <f>+GETPIVOTDATA("51.2. Considero que los laboratorios y talleres disponibles en mi programa académico son: ADECUADOS.",$A$246,"51.2. Considero que los laboratorios y talleres disponibles en mi programa académico son: ADECUADOS.","Totalmente en desacuerdo / NO")/GETPIVOTDATA("51.2. Considero que los laboratorios y talleres disponibles en mi programa académico son: ADECUADOS.",$A$246)</f>
        <v>5.9880239520958084E-2</v>
      </c>
      <c r="C249" s="217">
        <f>+GETPIVOTDATA("51.2. Considero que los laboratorios y talleres disponibles en mi programa académico son: ADECUADOS.",$A$246,"51.2. Considero que los laboratorios y talleres disponibles en mi programa académico son: ADECUADOS.","En desacuerdo")/GETPIVOTDATA("51.2. Considero que los laboratorios y talleres disponibles en mi programa académico son: ADECUADOS.",$A$246)</f>
        <v>5.9880239520958084E-2</v>
      </c>
      <c r="D249" s="217">
        <f>+GETPIVOTDATA("51.2. Considero que los laboratorios y talleres disponibles en mi programa académico son: ADECUADOS.",$A$246,"51.2. Considero que los laboratorios y talleres disponibles en mi programa académico son: ADECUADOS.","Medianamente de acuerdo")/GETPIVOTDATA("51.2. Considero que los laboratorios y talleres disponibles en mi programa académico son: ADECUADOS.",$A$246)</f>
        <v>0.30538922155688625</v>
      </c>
      <c r="E249" s="217">
        <f>+GETPIVOTDATA("51.2. Considero que los laboratorios y talleres disponibles en mi programa académico son: ADECUADOS.",$A$246,"51.2. Considero que los laboratorios y talleres disponibles en mi programa académico son: ADECUADOS.","De acuerdo")/GETPIVOTDATA("51.2. Considero que los laboratorios y talleres disponibles en mi programa académico son: ADECUADOS.",$A$246)</f>
        <v>0.3772455089820359</v>
      </c>
      <c r="F249" s="217">
        <f>+GETPIVOTDATA("51.2. Considero que los laboratorios y talleres disponibles en mi programa académico son: ADECUADOS.",$A$246,"51.2. Considero que los laboratorios y talleres disponibles en mi programa académico son: ADECUADOS.","Totalmente de acuerdo / SI")/GETPIVOTDATA("51.2. Considero que los laboratorios y talleres disponibles en mi programa académico son: ADECUADOS.",$A$246)</f>
        <v>0.18562874251497005</v>
      </c>
      <c r="G249" s="217">
        <f>+GETPIVOTDATA("51.2. Considero que los laboratorios y talleres disponibles en mi programa académico son: ADECUADOS.",$A$246,"51.2. Considero que los laboratorios y talleres disponibles en mi programa académico son: ADECUADOS.","No sabe / No puede opinar al respecto")/GETPIVOTDATA("51.2. Considero que los laboratorios y talleres disponibles en mi programa académico son: ADECUADOS.",$A$246)</f>
        <v>1.1976047904191617E-2</v>
      </c>
      <c r="I249" s="217">
        <f>SUM(B249:H249)</f>
        <v>1</v>
      </c>
    </row>
    <row r="250" spans="1:9" ht="15" x14ac:dyDescent="0.25">
      <c r="A250"/>
      <c r="B250" s="164" t="s">
        <v>2816</v>
      </c>
      <c r="C250"/>
      <c r="D250"/>
      <c r="E250"/>
      <c r="F250"/>
      <c r="G250"/>
      <c r="H250"/>
      <c r="I250"/>
    </row>
    <row r="251" spans="1:9" ht="15" x14ac:dyDescent="0.25">
      <c r="A251"/>
      <c r="B251" t="s">
        <v>1093</v>
      </c>
      <c r="C251" t="s">
        <v>1</v>
      </c>
      <c r="D251" t="s">
        <v>2</v>
      </c>
      <c r="E251" t="s">
        <v>3</v>
      </c>
      <c r="F251" t="s">
        <v>1092</v>
      </c>
      <c r="G251" t="s">
        <v>5</v>
      </c>
      <c r="H251" t="s">
        <v>1358</v>
      </c>
      <c r="I251" t="s">
        <v>1096</v>
      </c>
    </row>
    <row r="252" spans="1:9" ht="105" x14ac:dyDescent="0.25">
      <c r="A252" s="166" t="s">
        <v>1158</v>
      </c>
      <c r="B252" s="165">
        <v>16</v>
      </c>
      <c r="C252" s="165">
        <v>14</v>
      </c>
      <c r="D252" s="165">
        <v>52</v>
      </c>
      <c r="E252" s="165">
        <v>54</v>
      </c>
      <c r="F252" s="165">
        <v>24</v>
      </c>
      <c r="G252" s="165">
        <v>7</v>
      </c>
      <c r="H252" s="165"/>
      <c r="I252" s="165">
        <v>167</v>
      </c>
    </row>
    <row r="253" spans="1:9" ht="15" x14ac:dyDescent="0.25">
      <c r="A253"/>
      <c r="B253" s="215">
        <f>+GETPIVOTDATA("51.3. Considero que los laboratorios y talleres disponibles en mi programa académico son: ACTUALIZADOS.",$A$250,"51.3. Considero que los laboratorios y talleres disponibles en mi programa académico son: ACTUALIZADOS.","Totalmente en desacuerdo / NO")/GETPIVOTDATA("51.3. Considero que los laboratorios y talleres disponibles en mi programa académico son: ACTUALIZADOS.",$A$250)</f>
        <v>9.580838323353294E-2</v>
      </c>
      <c r="C253" s="217">
        <f>+GETPIVOTDATA("51.3. Considero que los laboratorios y talleres disponibles en mi programa académico son: ACTUALIZADOS.",$A$250,"51.3. Considero que los laboratorios y talleres disponibles en mi programa académico son: ACTUALIZADOS.","En desacuerdo")/GETPIVOTDATA("51.3. Considero que los laboratorios y talleres disponibles en mi programa académico son: ACTUALIZADOS.",$A$250)</f>
        <v>8.3832335329341312E-2</v>
      </c>
      <c r="D253" s="217">
        <f>+GETPIVOTDATA("51.3. Considero que los laboratorios y talleres disponibles en mi programa académico son: ACTUALIZADOS.",$A$250,"51.3. Considero que los laboratorios y talleres disponibles en mi programa académico son: ACTUALIZADOS.","Medianamente de acuerdo")/GETPIVOTDATA("51.3. Considero que los laboratorios y talleres disponibles en mi programa académico son: ACTUALIZADOS.",$A$250)</f>
        <v>0.31137724550898205</v>
      </c>
      <c r="E253" s="217">
        <f>+GETPIVOTDATA("51.3. Considero que los laboratorios y talleres disponibles en mi programa académico son: ACTUALIZADOS.",$A$250,"51.3. Considero que los laboratorios y talleres disponibles en mi programa académico son: ACTUALIZADOS.","De acuerdo")/GETPIVOTDATA("51.3. Considero que los laboratorios y talleres disponibles en mi programa académico son: ACTUALIZADOS.",$A$250)</f>
        <v>0.32335329341317365</v>
      </c>
      <c r="F253" s="217">
        <f>+GETPIVOTDATA("51.3. Considero que los laboratorios y talleres disponibles en mi programa académico son: ACTUALIZADOS.",$A$250,"51.3. Considero que los laboratorios y talleres disponibles en mi programa académico son: ACTUALIZADOS.","Totalmente de acuerdo / SI")/GETPIVOTDATA("51.3. Considero que los laboratorios y talleres disponibles en mi programa académico son: ACTUALIZADOS.",$A$250)</f>
        <v>0.1437125748502994</v>
      </c>
      <c r="G253" s="217">
        <f>+GETPIVOTDATA("51.3. Considero que los laboratorios y talleres disponibles en mi programa académico son: ACTUALIZADOS.",$A$250,"51.3. Considero que los laboratorios y talleres disponibles en mi programa académico son: ACTUALIZADOS.","No sabe / No puede opinar al respecto")/GETPIVOTDATA("51.3. Considero que los laboratorios y talleres disponibles en mi programa académico son: ACTUALIZADOS.",$A$250)</f>
        <v>4.1916167664670656E-2</v>
      </c>
      <c r="I253" s="217">
        <f>SUM(B253:H253)</f>
        <v>1</v>
      </c>
    </row>
    <row r="254" spans="1:9" ht="15" x14ac:dyDescent="0.25">
      <c r="A254"/>
      <c r="B254" s="164" t="s">
        <v>2816</v>
      </c>
      <c r="C254"/>
      <c r="D254"/>
      <c r="E254"/>
      <c r="F254"/>
      <c r="G254"/>
      <c r="H254"/>
      <c r="I254"/>
    </row>
    <row r="255" spans="1:9" ht="15" x14ac:dyDescent="0.25">
      <c r="A255"/>
      <c r="B255" t="s">
        <v>1093</v>
      </c>
      <c r="C255" t="s">
        <v>1</v>
      </c>
      <c r="D255" t="s">
        <v>2</v>
      </c>
      <c r="E255" t="s">
        <v>3</v>
      </c>
      <c r="F255" t="s">
        <v>1092</v>
      </c>
      <c r="G255" t="s">
        <v>5</v>
      </c>
      <c r="H255" t="s">
        <v>1358</v>
      </c>
      <c r="I255" t="s">
        <v>1096</v>
      </c>
    </row>
    <row r="256" spans="1:9" ht="150" x14ac:dyDescent="0.25">
      <c r="A256" s="166" t="s">
        <v>1159</v>
      </c>
      <c r="B256" s="165">
        <v>13</v>
      </c>
      <c r="C256" s="165">
        <v>7</v>
      </c>
      <c r="D256" s="165">
        <v>42</v>
      </c>
      <c r="E256" s="165">
        <v>62</v>
      </c>
      <c r="F256" s="165">
        <v>41</v>
      </c>
      <c r="G256" s="165">
        <v>2</v>
      </c>
      <c r="H256" s="165"/>
      <c r="I256" s="165">
        <v>167</v>
      </c>
    </row>
    <row r="257" spans="1:9" ht="15" x14ac:dyDescent="0.25">
      <c r="A257"/>
      <c r="B257" s="215">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CAPACITADO.","Totalmente en desacuerdo / NO")/GETPIVOTDATA("51.4. Considero que los laboratorios y talleres disponibles en mi programa académico son: APOYADOS POR PERSONAL DEBIDAMENTE CAPACITADO.",$A$254)</f>
        <v>7.7844311377245512E-2</v>
      </c>
      <c r="C257" s="217">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CAPACITADO.","En desacuerdo")/GETPIVOTDATA("51.4. Considero que los laboratorios y talleres disponibles en mi programa académico son: APOYADOS POR PERSONAL DEBIDAMENTE CAPACITADO.",$A$254)</f>
        <v>4.1916167664670656E-2</v>
      </c>
      <c r="D257" s="217">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CAPACITADO.","Medianamente de acuerdo")/GETPIVOTDATA("51.4. Considero que los laboratorios y talleres disponibles en mi programa académico son: APOYADOS POR PERSONAL DEBIDAMENTE CAPACITADO.",$A$254)</f>
        <v>0.25149700598802394</v>
      </c>
      <c r="E257" s="217">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CAPACITADO.","De acuerdo")/GETPIVOTDATA("51.4. Considero que los laboratorios y talleres disponibles en mi programa académico son: APOYADOS POR PERSONAL DEBIDAMENTE CAPACITADO.",$A$254)</f>
        <v>0.3712574850299401</v>
      </c>
      <c r="F257" s="217">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CAPACITADO.","Totalmente de acuerdo / SI")/GETPIVOTDATA("51.4. Considero que los laboratorios y talleres disponibles en mi programa académico son: APOYADOS POR PERSONAL DEBIDAMENTE CAPACITADO.",$A$254)</f>
        <v>0.24550898203592814</v>
      </c>
      <c r="G257" s="217">
        <f>+GETPIVOTDATA("51.4. Considero que los laboratorios y talleres disponibles en mi programa académico son: APOYADOS POR PERSONAL DEBIDAMENTE CAPACITADO.",$A$254,"51.4. Considero que los laboratorios y talleres disponibles en mi programa académico son: APOYADOS POR PERSONAL DEBIDAMENTE CAPACITADO.","No sabe / No puede opinar al respecto")/GETPIVOTDATA("51.4. Considero que los laboratorios y talleres disponibles en mi programa académico son: APOYADOS POR PERSONAL DEBIDAMENTE CAPACITADO.",$A$254)</f>
        <v>1.1976047904191617E-2</v>
      </c>
      <c r="I257" s="217">
        <f>SUM(B257:H257)</f>
        <v>0.99999999999999989</v>
      </c>
    </row>
    <row r="258" spans="1:9" ht="15" x14ac:dyDescent="0.25">
      <c r="A258"/>
      <c r="B258" s="164" t="s">
        <v>2816</v>
      </c>
      <c r="C258"/>
      <c r="D258"/>
      <c r="E258"/>
      <c r="F258"/>
      <c r="G258"/>
      <c r="H258"/>
      <c r="I258"/>
    </row>
    <row r="259" spans="1:9" ht="15" x14ac:dyDescent="0.25">
      <c r="A259"/>
      <c r="B259" t="s">
        <v>1093</v>
      </c>
      <c r="C259" t="s">
        <v>1</v>
      </c>
      <c r="D259" t="s">
        <v>2</v>
      </c>
      <c r="E259" t="s">
        <v>3</v>
      </c>
      <c r="F259" t="s">
        <v>1092</v>
      </c>
      <c r="G259" t="s">
        <v>5</v>
      </c>
      <c r="H259" t="s">
        <v>1358</v>
      </c>
      <c r="I259" t="s">
        <v>1096</v>
      </c>
    </row>
    <row r="260" spans="1:9" ht="105" x14ac:dyDescent="0.25">
      <c r="A260" s="166" t="s">
        <v>1160</v>
      </c>
      <c r="B260" s="165">
        <v>10</v>
      </c>
      <c r="C260" s="165">
        <v>11</v>
      </c>
      <c r="D260" s="165">
        <v>60</v>
      </c>
      <c r="E260" s="165">
        <v>52</v>
      </c>
      <c r="F260" s="165">
        <v>29</v>
      </c>
      <c r="G260" s="165">
        <v>5</v>
      </c>
      <c r="H260" s="165"/>
      <c r="I260" s="165">
        <v>167</v>
      </c>
    </row>
    <row r="261" spans="1:9" ht="15" x14ac:dyDescent="0.25">
      <c r="A261"/>
      <c r="B261" s="215">
        <f>+GETPIVOTDATA("51.5. Considero que los laboratorios y talleres disponibles en mi programa académico son: VENTILADOS.",$A$258,"51.5. Considero que los laboratorios y talleres disponibles en mi programa académico son: VENTILADOS.","Totalmente en desacuerdo / NO")/GETPIVOTDATA("51.5. Considero que los laboratorios y talleres disponibles en mi programa académico son: VENTILADOS.",$A$258)</f>
        <v>5.9880239520958084E-2</v>
      </c>
      <c r="C261" s="217">
        <f>+GETPIVOTDATA("51.5. Considero que los laboratorios y talleres disponibles en mi programa académico son: VENTILADOS.",$A$258,"51.5. Considero que los laboratorios y talleres disponibles en mi programa académico son: VENTILADOS.","En desacuerdo")/GETPIVOTDATA("51.5. Considero que los laboratorios y talleres disponibles en mi programa académico son: VENTILADOS.",$A$258)</f>
        <v>6.5868263473053898E-2</v>
      </c>
      <c r="D261" s="217">
        <f>+GETPIVOTDATA("51.5. Considero que los laboratorios y talleres disponibles en mi programa académico son: VENTILADOS.",$A$258,"51.5. Considero que los laboratorios y talleres disponibles en mi programa académico son: VENTILADOS.","Medianamente de acuerdo")/GETPIVOTDATA("51.5. Considero que los laboratorios y talleres disponibles en mi programa académico son: VENTILADOS.",$A$258)</f>
        <v>0.3592814371257485</v>
      </c>
      <c r="E261" s="217">
        <f>+GETPIVOTDATA("51.5. Considero que los laboratorios y talleres disponibles en mi programa académico son: VENTILADOS.",$A$258,"51.5. Considero que los laboratorios y talleres disponibles en mi programa académico son: VENTILADOS.","De acuerdo")/GETPIVOTDATA("51.5. Considero que los laboratorios y talleres disponibles en mi programa académico son: VENTILADOS.",$A$258)</f>
        <v>0.31137724550898205</v>
      </c>
      <c r="F261" s="217">
        <f>+GETPIVOTDATA("51.5. Considero que los laboratorios y talleres disponibles en mi programa académico son: VENTILADOS.",$A$258,"51.5. Considero que los laboratorios y talleres disponibles en mi programa académico son: VENTILADOS.","Totalmente de acuerdo / SI")/GETPIVOTDATA("51.5. Considero que los laboratorios y talleres disponibles en mi programa académico son: VENTILADOS.",$A$258)</f>
        <v>0.17365269461077845</v>
      </c>
      <c r="G261" s="217">
        <f>+GETPIVOTDATA("51.5. Considero que los laboratorios y talleres disponibles en mi programa académico son: VENTILADOS.",$A$258,"51.5. Considero que los laboratorios y talleres disponibles en mi programa académico son: VENTILADOS.","No sabe / No puede opinar al respecto")/GETPIVOTDATA("51.5. Considero que los laboratorios y talleres disponibles en mi programa académico son: VENTILADOS.",$A$258)</f>
        <v>2.9940119760479042E-2</v>
      </c>
      <c r="I261" s="217">
        <f>SUM(B261:H261)</f>
        <v>1</v>
      </c>
    </row>
    <row r="262" spans="1:9" ht="15" x14ac:dyDescent="0.25">
      <c r="A262"/>
      <c r="B262" s="164" t="s">
        <v>2816</v>
      </c>
      <c r="C262"/>
      <c r="D262"/>
      <c r="E262"/>
      <c r="F262"/>
      <c r="G262"/>
      <c r="H262"/>
      <c r="I262"/>
    </row>
    <row r="263" spans="1:9" ht="15" x14ac:dyDescent="0.25">
      <c r="A263"/>
      <c r="B263" t="s">
        <v>1093</v>
      </c>
      <c r="C263" t="s">
        <v>1</v>
      </c>
      <c r="D263" t="s">
        <v>2</v>
      </c>
      <c r="E263" t="s">
        <v>3</v>
      </c>
      <c r="F263" t="s">
        <v>1092</v>
      </c>
      <c r="G263" t="s">
        <v>5</v>
      </c>
      <c r="H263" t="s">
        <v>1358</v>
      </c>
      <c r="I263" t="s">
        <v>1096</v>
      </c>
    </row>
    <row r="264" spans="1:9" ht="105" x14ac:dyDescent="0.25">
      <c r="A264" s="166" t="s">
        <v>1161</v>
      </c>
      <c r="B264" s="165">
        <v>7</v>
      </c>
      <c r="C264" s="165">
        <v>6</v>
      </c>
      <c r="D264" s="165">
        <v>34</v>
      </c>
      <c r="E264" s="165">
        <v>66</v>
      </c>
      <c r="F264" s="165">
        <v>52</v>
      </c>
      <c r="G264" s="165">
        <v>2</v>
      </c>
      <c r="H264" s="165"/>
      <c r="I264" s="165">
        <v>167</v>
      </c>
    </row>
    <row r="265" spans="1:9" ht="15" x14ac:dyDescent="0.25">
      <c r="A265"/>
      <c r="B265" s="215">
        <f>+GETPIVOTDATA("51.6. Considero que los laboratorios y talleres disponibles en mi programa académico son: ILUMINADOS.",$A$262,"51.6. Considero que los laboratorios y talleres disponibles en mi programa académico son: ILUMINADOS.","Totalmente en desacuerdo / NO")/GETPIVOTDATA("51.6. Considero que los laboratorios y talleres disponibles en mi programa académico son: ILUMINADOS.",$A$262)</f>
        <v>4.1916167664670656E-2</v>
      </c>
      <c r="C265" s="217">
        <f>+GETPIVOTDATA("51.6. Considero que los laboratorios y talleres disponibles en mi programa académico son: ILUMINADOS.",$A$262,"51.6. Considero que los laboratorios y talleres disponibles en mi programa académico son: ILUMINADOS.","En desacuerdo")/GETPIVOTDATA("51.6. Considero que los laboratorios y talleres disponibles en mi programa académico son: ILUMINADOS.",$A$262)</f>
        <v>3.5928143712574849E-2</v>
      </c>
      <c r="D265" s="217">
        <f>+GETPIVOTDATA("51.6. Considero que los laboratorios y talleres disponibles en mi programa académico son: ILUMINADOS.",$A$262,"51.6. Considero que los laboratorios y talleres disponibles en mi programa académico son: ILUMINADOS.","Medianamente de acuerdo")/GETPIVOTDATA("51.6. Considero que los laboratorios y talleres disponibles en mi programa académico son: ILUMINADOS.",$A$262)</f>
        <v>0.20359281437125748</v>
      </c>
      <c r="E265" s="217">
        <f>+GETPIVOTDATA("51.6. Considero que los laboratorios y talleres disponibles en mi programa académico son: ILUMINADOS.",$A$262,"51.6. Considero que los laboratorios y talleres disponibles en mi programa académico son: ILUMINADOS.","De acuerdo")/GETPIVOTDATA("51.6. Considero que los laboratorios y talleres disponibles en mi programa académico son: ILUMINADOS.",$A$262)</f>
        <v>0.39520958083832336</v>
      </c>
      <c r="F265" s="217">
        <f>+GETPIVOTDATA("51.6. Considero que los laboratorios y talleres disponibles en mi programa académico son: ILUMINADOS.",$A$262,"51.6. Considero que los laboratorios y talleres disponibles en mi programa académico son: ILUMINADOS.","Totalmente de acuerdo / SI")/GETPIVOTDATA("51.6. Considero que los laboratorios y talleres disponibles en mi programa académico son: ILUMINADOS.",$A$262)</f>
        <v>0.31137724550898205</v>
      </c>
      <c r="G265" s="217">
        <f>+GETPIVOTDATA("51.6. Considero que los laboratorios y talleres disponibles en mi programa académico son: ILUMINADOS.",$A$262,"51.6. Considero que los laboratorios y talleres disponibles en mi programa académico son: ILUMINADOS.","No sabe / No puede opinar al respecto")/GETPIVOTDATA("51.6. Considero que los laboratorios y talleres disponibles en mi programa académico son: ILUMINADOS.",$A$262)</f>
        <v>1.1976047904191617E-2</v>
      </c>
      <c r="I265" s="217">
        <f>SUM(B265:H265)</f>
        <v>1</v>
      </c>
    </row>
    <row r="266" spans="1:9" ht="15" x14ac:dyDescent="0.25">
      <c r="A266"/>
      <c r="B266" s="164" t="s">
        <v>2816</v>
      </c>
      <c r="C266"/>
      <c r="D266"/>
      <c r="E266"/>
      <c r="F266"/>
      <c r="G266"/>
      <c r="H266"/>
      <c r="I266"/>
    </row>
    <row r="267" spans="1:9" ht="15" x14ac:dyDescent="0.25">
      <c r="A267"/>
      <c r="B267" t="s">
        <v>1093</v>
      </c>
      <c r="C267" t="s">
        <v>1</v>
      </c>
      <c r="D267" t="s">
        <v>2</v>
      </c>
      <c r="E267" t="s">
        <v>3</v>
      </c>
      <c r="F267" t="s">
        <v>1092</v>
      </c>
      <c r="G267" t="s">
        <v>5</v>
      </c>
      <c r="H267" t="s">
        <v>1358</v>
      </c>
      <c r="I267" t="s">
        <v>1096</v>
      </c>
    </row>
    <row r="268" spans="1:9" ht="135" x14ac:dyDescent="0.25">
      <c r="A268" s="166" t="s">
        <v>1162</v>
      </c>
      <c r="B268" s="165">
        <v>8</v>
      </c>
      <c r="C268" s="165">
        <v>9</v>
      </c>
      <c r="D268" s="165">
        <v>44</v>
      </c>
      <c r="E268" s="165">
        <v>59</v>
      </c>
      <c r="F268" s="165">
        <v>40</v>
      </c>
      <c r="G268" s="165">
        <v>7</v>
      </c>
      <c r="H268" s="165"/>
      <c r="I268" s="165">
        <v>167</v>
      </c>
    </row>
    <row r="269" spans="1:9" ht="15" x14ac:dyDescent="0.25">
      <c r="A269"/>
      <c r="B269" s="215">
        <f>+GETPIVOTDATA("51.7. Considero que los laboratorios y talleres disponibles en mi programa académico son: DISEÑADOS SEGÚN NORMAS DE SEGURIDAD.",$A$266,"51.7. Considero que los laboratorios y talleres disponibles en mi programa académico son: DISEÑADOS SEGÚN NORMAS DE SEGURIDAD.","Totalmente en desacuerdo / NO")/GETPIVOTDATA("51.7. Considero que los laboratorios y talleres disponibles en mi programa académico son: DISEÑADOS SEGÚN NORMAS DE SEGURIDAD.",$A$266)</f>
        <v>4.790419161676647E-2</v>
      </c>
      <c r="C269" s="217">
        <f>+GETPIVOTDATA("51.7. Considero que los laboratorios y talleres disponibles en mi programa académico son: DISEÑADOS SEGÚN NORMAS DE SEGURIDAD.",$A$266,"51.7. Considero que los laboratorios y talleres disponibles en mi programa académico son: DISEÑADOS SEGÚN NORMAS DE SEGURIDAD.","En desacuerdo")/GETPIVOTDATA("51.7. Considero que los laboratorios y talleres disponibles en mi programa académico son: DISEÑADOS SEGÚN NORMAS DE SEGURIDAD.",$A$266)</f>
        <v>5.3892215568862277E-2</v>
      </c>
      <c r="D269" s="217">
        <f>+GETPIVOTDATA("51.7. Considero que los laboratorios y talleres disponibles en mi programa académico son: DISEÑADOS SEGÚN NORMAS DE SEGURIDAD.",$A$266,"51.7. Considero que los laboratorios y talleres disponibles en mi programa académico son: DISEÑADOS SEGÚN NORMAS DE SEGURIDAD.","Medianamente de acuerdo")/GETPIVOTDATA("51.7. Considero que los laboratorios y talleres disponibles en mi programa académico son: DISEÑADOS SEGÚN NORMAS DE SEGURIDAD.",$A$266)</f>
        <v>0.26347305389221559</v>
      </c>
      <c r="E269" s="217">
        <f>+GETPIVOTDATA("51.7. Considero que los laboratorios y talleres disponibles en mi programa académico son: DISEÑADOS SEGÚN NORMAS DE SEGURIDAD.",$A$266,"51.7. Considero que los laboratorios y talleres disponibles en mi programa académico son: DISEÑADOS SEGÚN NORMAS DE SEGURIDAD.","De acuerdo")/GETPIVOTDATA("51.7. Considero que los laboratorios y talleres disponibles en mi programa académico son: DISEÑADOS SEGÚN NORMAS DE SEGURIDAD.",$A$266)</f>
        <v>0.3532934131736527</v>
      </c>
      <c r="F269" s="217">
        <f>+GETPIVOTDATA("51.7. Considero que los laboratorios y talleres disponibles en mi programa académico son: DISEÑADOS SEGÚN NORMAS DE SEGURIDAD.",$A$266,"51.7. Considero que los laboratorios y talleres disponibles en mi programa académico son: DISEÑADOS SEGÚN NORMAS DE SEGURIDAD.","Totalmente de acuerdo / SI")/GETPIVOTDATA("51.7. Considero que los laboratorios y talleres disponibles en mi programa académico son: DISEÑADOS SEGÚN NORMAS DE SEGURIDAD.",$A$266)</f>
        <v>0.23952095808383234</v>
      </c>
      <c r="G269" s="217">
        <f>+GETPIVOTDATA("51.7. Considero que los laboratorios y talleres disponibles en mi programa académico son: DISEÑADOS SEGÚN NORMAS DE SEGURIDAD.",$A$266,"51.7. Considero que los laboratorios y talleres disponibles en mi programa académico son: DISEÑADOS SEGÚN NORMAS DE SEGURIDAD.","No sabe / No puede opinar al respecto")/GETPIVOTDATA("51.7. Considero que los laboratorios y talleres disponibles en mi programa académico son: DISEÑADOS SEGÚN NORMAS DE SEGURIDAD.",$A$266)</f>
        <v>4.1916167664670656E-2</v>
      </c>
      <c r="I269" s="217">
        <f>SUM(B269:H269)</f>
        <v>1</v>
      </c>
    </row>
    <row r="270" spans="1:9" ht="15" x14ac:dyDescent="0.25">
      <c r="A270"/>
      <c r="B270" s="164" t="s">
        <v>2816</v>
      </c>
      <c r="C270"/>
      <c r="D270"/>
      <c r="E270"/>
      <c r="F270"/>
      <c r="G270"/>
      <c r="H270"/>
      <c r="I270"/>
    </row>
    <row r="271" spans="1:9" ht="15" x14ac:dyDescent="0.25">
      <c r="A271"/>
      <c r="B271" t="s">
        <v>1093</v>
      </c>
      <c r="C271" t="s">
        <v>1</v>
      </c>
      <c r="D271" t="s">
        <v>2</v>
      </c>
      <c r="E271" t="s">
        <v>3</v>
      </c>
      <c r="F271" t="s">
        <v>1092</v>
      </c>
      <c r="G271" t="s">
        <v>5</v>
      </c>
      <c r="H271" t="s">
        <v>1358</v>
      </c>
      <c r="I271" t="s">
        <v>1096</v>
      </c>
    </row>
    <row r="272" spans="1:9" ht="75" x14ac:dyDescent="0.25">
      <c r="A272" s="166" t="s">
        <v>1163</v>
      </c>
      <c r="B272" s="165">
        <v>12</v>
      </c>
      <c r="C272" s="165">
        <v>27</v>
      </c>
      <c r="D272" s="165">
        <v>55</v>
      </c>
      <c r="E272" s="165">
        <v>46</v>
      </c>
      <c r="F272" s="165">
        <v>24</v>
      </c>
      <c r="G272" s="165">
        <v>3</v>
      </c>
      <c r="H272" s="165"/>
      <c r="I272" s="165">
        <v>167</v>
      </c>
    </row>
    <row r="273" spans="1:9" ht="15" x14ac:dyDescent="0.25">
      <c r="A273"/>
      <c r="B273" s="215">
        <f>+GETPIVOTDATA("52.1. Considero que los materiales de apoyo audiovisual son: SUFICIENTES.",$A$270,"52.1. Considero que los materiales de apoyo audiovisual son: SUFICIENTES.","Totalmente en desacuerdo / NO")/GETPIVOTDATA("52.1. Considero que los materiales de apoyo audiovisual son: SUFICIENTES.",$A$270)</f>
        <v>7.1856287425149698E-2</v>
      </c>
      <c r="C273" s="217">
        <f>+GETPIVOTDATA("52.1. Considero que los materiales de apoyo audiovisual son: SUFICIENTES.",$A$270,"52.1. Considero que los materiales de apoyo audiovisual son: SUFICIENTES.","En desacuerdo")/GETPIVOTDATA("52.1. Considero que los materiales de apoyo audiovisual son: SUFICIENTES.",$A$270)</f>
        <v>0.16167664670658682</v>
      </c>
      <c r="D273" s="217">
        <f>+GETPIVOTDATA("52.1. Considero que los materiales de apoyo audiovisual son: SUFICIENTES.",$A$270,"52.1. Considero que los materiales de apoyo audiovisual son: SUFICIENTES.","Medianamente de acuerdo")/GETPIVOTDATA("52.1. Considero que los materiales de apoyo audiovisual son: SUFICIENTES.",$A$270)</f>
        <v>0.32934131736526945</v>
      </c>
      <c r="E273" s="217">
        <f>+GETPIVOTDATA("52.1. Considero que los materiales de apoyo audiovisual son: SUFICIENTES.",$A$270,"52.1. Considero que los materiales de apoyo audiovisual son: SUFICIENTES.","De acuerdo")/GETPIVOTDATA("52.1. Considero que los materiales de apoyo audiovisual son: SUFICIENTES.",$A$270)</f>
        <v>0.27544910179640719</v>
      </c>
      <c r="F273" s="217">
        <f>+GETPIVOTDATA("52.1. Considero que los materiales de apoyo audiovisual son: SUFICIENTES.",$A$270,"52.1. Considero que los materiales de apoyo audiovisual son: SUFICIENTES.","Totalmente de acuerdo / SI")/GETPIVOTDATA("52.1. Considero que los materiales de apoyo audiovisual son: SUFICIENTES.",$A$270)</f>
        <v>0.1437125748502994</v>
      </c>
      <c r="G273" s="217">
        <f>+GETPIVOTDATA("52.1. Considero que los materiales de apoyo audiovisual son: SUFICIENTES.",$A$270,"52.1. Considero que los materiales de apoyo audiovisual son: SUFICIENTES.","No sabe / No puede opinar al respecto")/GETPIVOTDATA("52.1. Considero que los materiales de apoyo audiovisual son: SUFICIENTES.",$A$270)</f>
        <v>1.7964071856287425E-2</v>
      </c>
      <c r="I273" s="217">
        <f>SUM(B273:H273)</f>
        <v>1</v>
      </c>
    </row>
    <row r="274" spans="1:9" ht="15" x14ac:dyDescent="0.25">
      <c r="A274"/>
      <c r="B274" s="164" t="s">
        <v>2816</v>
      </c>
      <c r="C274"/>
      <c r="D274"/>
      <c r="E274"/>
      <c r="F274"/>
      <c r="G274"/>
      <c r="H274"/>
      <c r="I274"/>
    </row>
    <row r="275" spans="1:9" ht="15" x14ac:dyDescent="0.25">
      <c r="A275"/>
      <c r="B275" t="s">
        <v>1093</v>
      </c>
      <c r="C275" t="s">
        <v>1</v>
      </c>
      <c r="D275" t="s">
        <v>2</v>
      </c>
      <c r="E275" t="s">
        <v>3</v>
      </c>
      <c r="F275" t="s">
        <v>1092</v>
      </c>
      <c r="G275" t="s">
        <v>5</v>
      </c>
      <c r="H275" t="s">
        <v>1358</v>
      </c>
      <c r="I275" t="s">
        <v>1096</v>
      </c>
    </row>
    <row r="276" spans="1:9" ht="75" x14ac:dyDescent="0.25">
      <c r="A276" s="166" t="s">
        <v>1164</v>
      </c>
      <c r="B276" s="165">
        <v>10</v>
      </c>
      <c r="C276" s="165">
        <v>18</v>
      </c>
      <c r="D276" s="165">
        <v>57</v>
      </c>
      <c r="E276" s="165">
        <v>57</v>
      </c>
      <c r="F276" s="165">
        <v>24</v>
      </c>
      <c r="G276" s="165">
        <v>1</v>
      </c>
      <c r="H276" s="165"/>
      <c r="I276" s="165">
        <v>167</v>
      </c>
    </row>
    <row r="277" spans="1:9" ht="15" x14ac:dyDescent="0.25">
      <c r="A277"/>
      <c r="B277" s="215">
        <f>+GETPIVOTDATA("52.2. Considero que los materiales de apoyo audiovisual son: ADECUADOS.",$A$274,"52.2. Considero que los materiales de apoyo audiovisual son: ADECUADOS.","Totalmente en desacuerdo / NO")/GETPIVOTDATA("52.2. Considero que los materiales de apoyo audiovisual son: ADECUADOS.",$A$274)</f>
        <v>5.9880239520958084E-2</v>
      </c>
      <c r="C277" s="217">
        <f>+GETPIVOTDATA("52.2. Considero que los materiales de apoyo audiovisual son: ADECUADOS.",$A$274,"52.2. Considero que los materiales de apoyo audiovisual son: ADECUADOS.","En desacuerdo")/GETPIVOTDATA("52.2. Considero que los materiales de apoyo audiovisual son: ADECUADOS.",$A$274)</f>
        <v>0.10778443113772455</v>
      </c>
      <c r="D277" s="217">
        <f>+GETPIVOTDATA("52.2. Considero que los materiales de apoyo audiovisual son: ADECUADOS.",$A$274,"52.2. Considero que los materiales de apoyo audiovisual son: ADECUADOS.","Medianamente de acuerdo")/GETPIVOTDATA("52.2. Considero que los materiales de apoyo audiovisual son: ADECUADOS.",$A$274)</f>
        <v>0.3413173652694611</v>
      </c>
      <c r="E277" s="217">
        <f>+GETPIVOTDATA("52.2. Considero que los materiales de apoyo audiovisual son: ADECUADOS.",$A$274,"52.2. Considero que los materiales de apoyo audiovisual son: ADECUADOS.","De acuerdo")/GETPIVOTDATA("52.2. Considero que los materiales de apoyo audiovisual son: ADECUADOS.",$A$274)</f>
        <v>0.3413173652694611</v>
      </c>
      <c r="F277" s="217">
        <f>+GETPIVOTDATA("52.2. Considero que los materiales de apoyo audiovisual son: ADECUADOS.",$A$274,"52.2. Considero que los materiales de apoyo audiovisual son: ADECUADOS.","Totalmente de acuerdo / SI")/GETPIVOTDATA("52.2. Considero que los materiales de apoyo audiovisual son: ADECUADOS.",$A$274)</f>
        <v>0.1437125748502994</v>
      </c>
      <c r="G277" s="217">
        <f>+GETPIVOTDATA("52.2. Considero que los materiales de apoyo audiovisual son: ADECUADOS.",$A$274,"52.2. Considero que los materiales de apoyo audiovisual son: ADECUADOS.","No sabe / No puede opinar al respecto")/GETPIVOTDATA("52.2. Considero que los materiales de apoyo audiovisual son: ADECUADOS.",$A$274)</f>
        <v>5.9880239520958087E-3</v>
      </c>
      <c r="I277" s="217">
        <f>SUM(B277:H277)</f>
        <v>1</v>
      </c>
    </row>
    <row r="278" spans="1:9" ht="15" x14ac:dyDescent="0.25">
      <c r="A278"/>
      <c r="B278" s="164" t="s">
        <v>2816</v>
      </c>
      <c r="C278"/>
      <c r="D278"/>
      <c r="E278"/>
      <c r="F278"/>
      <c r="G278"/>
      <c r="H278"/>
      <c r="I278"/>
    </row>
    <row r="279" spans="1:9" ht="15" x14ac:dyDescent="0.25">
      <c r="A279"/>
      <c r="B279" t="s">
        <v>1093</v>
      </c>
      <c r="C279" t="s">
        <v>1</v>
      </c>
      <c r="D279" t="s">
        <v>2</v>
      </c>
      <c r="E279" t="s">
        <v>3</v>
      </c>
      <c r="F279" t="s">
        <v>1092</v>
      </c>
      <c r="G279" t="s">
        <v>5</v>
      </c>
      <c r="H279" t="s">
        <v>1358</v>
      </c>
      <c r="I279" t="s">
        <v>1096</v>
      </c>
    </row>
    <row r="280" spans="1:9" ht="75" x14ac:dyDescent="0.25">
      <c r="A280" s="166" t="s">
        <v>1165</v>
      </c>
      <c r="B280" s="165">
        <v>8</v>
      </c>
      <c r="C280" s="165">
        <v>13</v>
      </c>
      <c r="D280" s="165">
        <v>61</v>
      </c>
      <c r="E280" s="165">
        <v>51</v>
      </c>
      <c r="F280" s="165">
        <v>30</v>
      </c>
      <c r="G280" s="165">
        <v>4</v>
      </c>
      <c r="H280" s="165"/>
      <c r="I280" s="165">
        <v>167</v>
      </c>
    </row>
    <row r="281" spans="1:9" ht="15" x14ac:dyDescent="0.25">
      <c r="A281"/>
      <c r="B281" s="215">
        <f>+GETPIVOTDATA("52.3. Considero que los materiales de apoyo audiovisual son: ACTUALIZADOS.",$A$278,"52.3. Considero que los materiales de apoyo audiovisual son: ACTUALIZADOS.","Totalmente en desacuerdo / NO")/GETPIVOTDATA("52.3. Considero que los materiales de apoyo audiovisual son: ACTUALIZADOS.",$A$278)</f>
        <v>4.790419161676647E-2</v>
      </c>
      <c r="C281" s="217">
        <f>+GETPIVOTDATA("52.3. Considero que los materiales de apoyo audiovisual son: ACTUALIZADOS.",$A$278,"52.3. Considero que los materiales de apoyo audiovisual son: ACTUALIZADOS.","En desacuerdo")/GETPIVOTDATA("52.3. Considero que los materiales de apoyo audiovisual son: ACTUALIZADOS.",$A$278)</f>
        <v>7.7844311377245512E-2</v>
      </c>
      <c r="D281" s="217">
        <f>+GETPIVOTDATA("52.3. Considero que los materiales de apoyo audiovisual son: ACTUALIZADOS.",$A$278,"52.3. Considero que los materiales de apoyo audiovisual son: ACTUALIZADOS.","Medianamente de acuerdo")/GETPIVOTDATA("52.3. Considero que los materiales de apoyo audiovisual son: ACTUALIZADOS.",$A$278)</f>
        <v>0.3652694610778443</v>
      </c>
      <c r="E281" s="217">
        <f>+GETPIVOTDATA("52.3. Considero que los materiales de apoyo audiovisual son: ACTUALIZADOS.",$A$278,"52.3. Considero que los materiales de apoyo audiovisual son: ACTUALIZADOS.","De acuerdo")/GETPIVOTDATA("52.3. Considero que los materiales de apoyo audiovisual son: ACTUALIZADOS.",$A$278)</f>
        <v>0.30538922155688625</v>
      </c>
      <c r="F281" s="217">
        <f>+GETPIVOTDATA("52.3. Considero que los materiales de apoyo audiovisual son: ACTUALIZADOS.",$A$278,"52.3. Considero que los materiales de apoyo audiovisual son: ACTUALIZADOS.","Totalmente de acuerdo / SI")/GETPIVOTDATA("52.3. Considero que los materiales de apoyo audiovisual son: ACTUALIZADOS.",$A$278)</f>
        <v>0.17964071856287425</v>
      </c>
      <c r="G281" s="217">
        <f>+GETPIVOTDATA("52.3. Considero que los materiales de apoyo audiovisual son: ACTUALIZADOS.",$A$278,"52.3. Considero que los materiales de apoyo audiovisual son: ACTUALIZADOS.","No sabe / No puede opinar al respecto")/GETPIVOTDATA("52.3. Considero que los materiales de apoyo audiovisual son: ACTUALIZADOS.",$A$278)</f>
        <v>2.3952095808383235E-2</v>
      </c>
      <c r="I281" s="217">
        <f>SUM(B281:H281)</f>
        <v>0.99999999999999989</v>
      </c>
    </row>
    <row r="282" spans="1:9" ht="15" x14ac:dyDescent="0.25">
      <c r="A282"/>
      <c r="B282" s="164" t="s">
        <v>2816</v>
      </c>
      <c r="C282"/>
      <c r="D282"/>
      <c r="E282"/>
      <c r="F282"/>
      <c r="G282"/>
      <c r="H282"/>
      <c r="I282"/>
    </row>
    <row r="283" spans="1:9" ht="15" x14ac:dyDescent="0.25">
      <c r="A283"/>
      <c r="B283" t="s">
        <v>1093</v>
      </c>
      <c r="C283" t="s">
        <v>1</v>
      </c>
      <c r="D283" t="s">
        <v>2</v>
      </c>
      <c r="E283" t="s">
        <v>3</v>
      </c>
      <c r="F283" t="s">
        <v>1092</v>
      </c>
      <c r="G283" t="s">
        <v>5</v>
      </c>
      <c r="H283" t="s">
        <v>1358</v>
      </c>
      <c r="I283" t="s">
        <v>1096</v>
      </c>
    </row>
    <row r="284" spans="1:9" ht="120" x14ac:dyDescent="0.25">
      <c r="A284" s="166" t="s">
        <v>1166</v>
      </c>
      <c r="B284" s="165">
        <v>8</v>
      </c>
      <c r="C284" s="165">
        <v>10</v>
      </c>
      <c r="D284" s="165">
        <v>45</v>
      </c>
      <c r="E284" s="165">
        <v>62</v>
      </c>
      <c r="F284" s="165">
        <v>31</v>
      </c>
      <c r="G284" s="165">
        <v>11</v>
      </c>
      <c r="H284" s="165"/>
      <c r="I284" s="165">
        <v>167</v>
      </c>
    </row>
    <row r="285" spans="1:9" ht="15" x14ac:dyDescent="0.25">
      <c r="A285"/>
      <c r="B285" s="215">
        <f>+GETPIVOTDATA("52.4. Considero que los materiales de apoyo audiovisual son: SOPORTADOS POR PERSONAL DEBIDAMENTE CAPACITADO.",$A$282,"52.4. Considero que los materiales de apoyo audiovisual son: SOPORTADOS POR PERSONAL DEBIDAMENTE CAPACITADO.","Totalmente en desacuerdo / NO")/GETPIVOTDATA("52.4. Considero que los materiales de apoyo audiovisual son: SOPORTADOS POR PERSONAL DEBIDAMENTE CAPACITADO.",$A$282)</f>
        <v>4.790419161676647E-2</v>
      </c>
      <c r="C285" s="217">
        <f>+GETPIVOTDATA("52.4. Considero que los materiales de apoyo audiovisual son: SOPORTADOS POR PERSONAL DEBIDAMENTE CAPACITADO.",$A$282,"52.4. Considero que los materiales de apoyo audiovisual son: SOPORTADOS POR PERSONAL DEBIDAMENTE CAPACITADO.","En desacuerdo")/GETPIVOTDATA("52.4. Considero que los materiales de apoyo audiovisual son: SOPORTADOS POR PERSONAL DEBIDAMENTE CAPACITADO.",$A$282)</f>
        <v>5.9880239520958084E-2</v>
      </c>
      <c r="D285" s="217">
        <f>+GETPIVOTDATA("52.4. Considero que los materiales de apoyo audiovisual son: SOPORTADOS POR PERSONAL DEBIDAMENTE CAPACITADO.",$A$282,"52.4. Considero que los materiales de apoyo audiovisual son: SOPORTADOS POR PERSONAL DEBIDAMENTE CAPACITADO.","Medianamente de acuerdo")/GETPIVOTDATA("52.4. Considero que los materiales de apoyo audiovisual son: SOPORTADOS POR PERSONAL DEBIDAMENTE CAPACITADO.",$A$282)</f>
        <v>0.26946107784431139</v>
      </c>
      <c r="E285" s="217">
        <f>+GETPIVOTDATA("52.4. Considero que los materiales de apoyo audiovisual son: SOPORTADOS POR PERSONAL DEBIDAMENTE CAPACITADO.",$A$282,"52.4. Considero que los materiales de apoyo audiovisual son: SOPORTADOS POR PERSONAL DEBIDAMENTE CAPACITADO.","De acuerdo")/GETPIVOTDATA("52.4. Considero que los materiales de apoyo audiovisual son: SOPORTADOS POR PERSONAL DEBIDAMENTE CAPACITADO.",$A$282)</f>
        <v>0.3712574850299401</v>
      </c>
      <c r="F285" s="217">
        <f>+GETPIVOTDATA("52.4. Considero que los materiales de apoyo audiovisual son: SOPORTADOS POR PERSONAL DEBIDAMENTE CAPACITADO.",$A$282,"52.4. Considero que los materiales de apoyo audiovisual son: SOPORTADOS POR PERSONAL DEBIDAMENTE CAPACITADO.","Totalmente de acuerdo / SI")/GETPIVOTDATA("52.4. Considero que los materiales de apoyo audiovisual son: SOPORTADOS POR PERSONAL DEBIDAMENTE CAPACITADO.",$A$282)</f>
        <v>0.18562874251497005</v>
      </c>
      <c r="G285" s="217">
        <f>+GETPIVOTDATA("52.4. Considero que los materiales de apoyo audiovisual son: SOPORTADOS POR PERSONAL DEBIDAMENTE CAPACITADO.",$A$282,"52.4. Considero que los materiales de apoyo audiovisual son: SOPORTADOS POR PERSONAL DEBIDAMENTE CAPACITADO.","No sabe / No puede opinar al respecto")/GETPIVOTDATA("52.4. Considero que los materiales de apoyo audiovisual son: SOPORTADOS POR PERSONAL DEBIDAMENTE CAPACITADO.",$A$282)</f>
        <v>6.5868263473053898E-2</v>
      </c>
      <c r="I285" s="217">
        <f>SUM(B285:H285)</f>
        <v>1</v>
      </c>
    </row>
    <row r="286" spans="1:9" ht="15" x14ac:dyDescent="0.25">
      <c r="A286"/>
      <c r="B286" s="164" t="s">
        <v>2816</v>
      </c>
      <c r="C286"/>
      <c r="D286"/>
      <c r="E286"/>
      <c r="F286"/>
      <c r="G286"/>
      <c r="H286"/>
      <c r="I286"/>
    </row>
    <row r="287" spans="1:9" ht="15" x14ac:dyDescent="0.25">
      <c r="A287"/>
      <c r="B287" t="s">
        <v>1093</v>
      </c>
      <c r="C287" t="s">
        <v>1</v>
      </c>
      <c r="D287" t="s">
        <v>2</v>
      </c>
      <c r="E287" t="s">
        <v>3</v>
      </c>
      <c r="F287" t="s">
        <v>1092</v>
      </c>
      <c r="G287" t="s">
        <v>5</v>
      </c>
      <c r="H287" t="s">
        <v>1358</v>
      </c>
      <c r="I287" t="s">
        <v>1096</v>
      </c>
    </row>
    <row r="288" spans="1:9" ht="90" x14ac:dyDescent="0.25">
      <c r="A288" s="166" t="s">
        <v>1167</v>
      </c>
      <c r="B288" s="165">
        <v>15</v>
      </c>
      <c r="C288" s="165">
        <v>13</v>
      </c>
      <c r="D288" s="165">
        <v>46</v>
      </c>
      <c r="E288" s="165">
        <v>54</v>
      </c>
      <c r="F288" s="165">
        <v>33</v>
      </c>
      <c r="G288" s="165">
        <v>6</v>
      </c>
      <c r="H288" s="165"/>
      <c r="I288" s="165">
        <v>167</v>
      </c>
    </row>
    <row r="289" spans="1:9" ht="15" x14ac:dyDescent="0.25">
      <c r="A289"/>
      <c r="B289" s="215">
        <f>+GETPIVOTDATA("53. Mi programa académico promueve la participación en proyectos de investigación.",$A$286,"53. Mi programa académico promueve la participación en proyectos de investigación.","Totalmente en desacuerdo / NO")/GETPIVOTDATA("53. Mi programa académico promueve la participación en proyectos de investigación.",$A$286)</f>
        <v>8.9820359281437126E-2</v>
      </c>
      <c r="C289" s="217">
        <f>+GETPIVOTDATA("53. Mi programa académico promueve la participación en proyectos de investigación.",$A$286,"53. Mi programa académico promueve la participación en proyectos de investigación.","En desacuerdo")/GETPIVOTDATA("53. Mi programa académico promueve la participación en proyectos de investigación.",$A$286)</f>
        <v>7.7844311377245512E-2</v>
      </c>
      <c r="D289" s="217">
        <f>+GETPIVOTDATA("53. Mi programa académico promueve la participación en proyectos de investigación.",$A$286,"53. Mi programa académico promueve la participación en proyectos de investigación.","Medianamente de acuerdo")/GETPIVOTDATA("53. Mi programa académico promueve la participación en proyectos de investigación.",$A$286)</f>
        <v>0.27544910179640719</v>
      </c>
      <c r="E289" s="217">
        <f>+GETPIVOTDATA("53. Mi programa académico promueve la participación en proyectos de investigación.",$A$286,"53. Mi programa académico promueve la participación en proyectos de investigación.","De acuerdo")/GETPIVOTDATA("53. Mi programa académico promueve la participación en proyectos de investigación.",$A$286)</f>
        <v>0.32335329341317365</v>
      </c>
      <c r="F289" s="217">
        <f>+GETPIVOTDATA("53. Mi programa académico promueve la participación en proyectos de investigación.",$A$286,"53. Mi programa académico promueve la participación en proyectos de investigación.","Totalmente de acuerdo / SI")/GETPIVOTDATA("53. Mi programa académico promueve la participación en proyectos de investigación.",$A$286)</f>
        <v>0.19760479041916168</v>
      </c>
      <c r="G289" s="217">
        <f>+GETPIVOTDATA("53. Mi programa académico promueve la participación en proyectos de investigación.",$A$286,"53. Mi programa académico promueve la participación en proyectos de investigación.","No sabe / No puede opinar al respecto")/GETPIVOTDATA("53. Mi programa académico promueve la participación en proyectos de investigación.",$A$286)</f>
        <v>3.5928143712574849E-2</v>
      </c>
      <c r="I289" s="217">
        <f>SUM(B289:H289)</f>
        <v>1</v>
      </c>
    </row>
    <row r="290" spans="1:9" ht="15" x14ac:dyDescent="0.25">
      <c r="A290"/>
      <c r="B290" s="164" t="s">
        <v>2816</v>
      </c>
      <c r="C290"/>
      <c r="D290"/>
      <c r="E290"/>
      <c r="F290"/>
      <c r="G290"/>
      <c r="H290"/>
      <c r="I290"/>
    </row>
    <row r="291" spans="1:9" ht="15" x14ac:dyDescent="0.25">
      <c r="A291"/>
      <c r="B291" t="s">
        <v>1093</v>
      </c>
      <c r="C291" t="s">
        <v>1</v>
      </c>
      <c r="D291" t="s">
        <v>2</v>
      </c>
      <c r="E291" t="s">
        <v>3</v>
      </c>
      <c r="F291" t="s">
        <v>1092</v>
      </c>
      <c r="G291" t="s">
        <v>5</v>
      </c>
      <c r="H291" t="s">
        <v>1358</v>
      </c>
      <c r="I291" t="s">
        <v>1096</v>
      </c>
    </row>
    <row r="292" spans="1:9" ht="120" x14ac:dyDescent="0.25">
      <c r="A292" s="166" t="s">
        <v>1168</v>
      </c>
      <c r="B292" s="165">
        <v>15</v>
      </c>
      <c r="C292" s="165">
        <v>15</v>
      </c>
      <c r="D292" s="165">
        <v>49</v>
      </c>
      <c r="E292" s="165">
        <v>46</v>
      </c>
      <c r="F292" s="165">
        <v>19</v>
      </c>
      <c r="G292" s="165">
        <v>23</v>
      </c>
      <c r="H292" s="165"/>
      <c r="I292" s="165">
        <v>167</v>
      </c>
    </row>
    <row r="293" spans="1:9" ht="15" x14ac:dyDescent="0.25">
      <c r="A293"/>
      <c r="B293" s="215">
        <f>+GETPIVOTDATA("54. Mi programa académico dispone de los recursos que necesito para desarrollar mis trabajos de investigación. ",$A$290,"54. Mi programa académico dispone de los recursos que necesito para desarrollar mis trabajos de investigación. ","Totalmente en desacuerdo / NO")/GETPIVOTDATA("54. Mi programa académico dispone de los recursos que necesito para desarrollar mis trabajos de investigación. ",$A$290)</f>
        <v>8.9820359281437126E-2</v>
      </c>
      <c r="C293" s="217">
        <f>+GETPIVOTDATA("54. Mi programa académico dispone de los recursos que necesito para desarrollar mis trabajos de investigación. ",$A$290,"54. Mi programa académico dispone de los recursos que necesito para desarrollar mis trabajos de investigación. ","En desacuerdo")/GETPIVOTDATA("54. Mi programa académico dispone de los recursos que necesito para desarrollar mis trabajos de investigación. ",$A$290)</f>
        <v>8.9820359281437126E-2</v>
      </c>
      <c r="D293" s="217">
        <f>+GETPIVOTDATA("54. Mi programa académico dispone de los recursos que necesito para desarrollar mis trabajos de investigación. ",$A$290,"54. Mi programa académico dispone de los recursos que necesito para desarrollar mis trabajos de investigación. ","Medianamente de acuerdo")/GETPIVOTDATA("54. Mi programa académico dispone de los recursos que necesito para desarrollar mis trabajos de investigación. ",$A$290)</f>
        <v>0.29341317365269459</v>
      </c>
      <c r="E293" s="217">
        <f>+GETPIVOTDATA("54. Mi programa académico dispone de los recursos que necesito para desarrollar mis trabajos de investigación. ",$A$290,"54. Mi programa académico dispone de los recursos que necesito para desarrollar mis trabajos de investigación. ","De acuerdo")/GETPIVOTDATA("54. Mi programa académico dispone de los recursos que necesito para desarrollar mis trabajos de investigación. ",$A$290)</f>
        <v>0.27544910179640719</v>
      </c>
      <c r="F293" s="217">
        <f>+GETPIVOTDATA("54. Mi programa académico dispone de los recursos que necesito para desarrollar mis trabajos de investigación. ",$A$290,"54. Mi programa académico dispone de los recursos que necesito para desarrollar mis trabajos de investigación. ","Totalmente de acuerdo / SI")/GETPIVOTDATA("54. Mi programa académico dispone de los recursos que necesito para desarrollar mis trabajos de investigación. ",$A$290)</f>
        <v>0.11377245508982035</v>
      </c>
      <c r="G293" s="217">
        <f>+GETPIVOTDATA("54. Mi programa académico dispone de los recursos que necesito para desarrollar mis trabajos de investigación. ",$A$290,"54. Mi programa académico dispone de los recursos que necesito para desarrollar mis trabajos de investigación. ","No sabe / No puede opinar al respecto")/GETPIVOTDATA("54. Mi programa académico dispone de los recursos que necesito para desarrollar mis trabajos de investigación. ",$A$290)</f>
        <v>0.1377245508982036</v>
      </c>
      <c r="I293" s="217">
        <f>SUM(B293:H293)</f>
        <v>1</v>
      </c>
    </row>
    <row r="294" spans="1:9" ht="15" x14ac:dyDescent="0.25">
      <c r="A294"/>
      <c r="B294" s="164" t="s">
        <v>2816</v>
      </c>
      <c r="C294"/>
      <c r="D294"/>
      <c r="E294"/>
      <c r="F294"/>
      <c r="G294"/>
      <c r="H294"/>
      <c r="I294"/>
    </row>
    <row r="295" spans="1:9" ht="15" x14ac:dyDescent="0.25">
      <c r="A295"/>
      <c r="B295" t="s">
        <v>1093</v>
      </c>
      <c r="C295" t="s">
        <v>1</v>
      </c>
      <c r="D295" t="s">
        <v>2</v>
      </c>
      <c r="E295" t="s">
        <v>3</v>
      </c>
      <c r="F295" t="s">
        <v>1092</v>
      </c>
      <c r="G295" t="s">
        <v>5</v>
      </c>
      <c r="H295" t="s">
        <v>1358</v>
      </c>
      <c r="I295" t="s">
        <v>1096</v>
      </c>
    </row>
    <row r="296" spans="1:9" ht="120" x14ac:dyDescent="0.25">
      <c r="A296" s="166" t="s">
        <v>1169</v>
      </c>
      <c r="B296" s="165">
        <v>66</v>
      </c>
      <c r="C296" s="165">
        <v>23</v>
      </c>
      <c r="D296" s="165">
        <v>26</v>
      </c>
      <c r="E296" s="165">
        <v>19</v>
      </c>
      <c r="F296" s="165">
        <v>13</v>
      </c>
      <c r="G296" s="165">
        <v>20</v>
      </c>
      <c r="H296" s="165"/>
      <c r="I296" s="165">
        <v>167</v>
      </c>
    </row>
    <row r="297" spans="1:9" ht="15" x14ac:dyDescent="0.25">
      <c r="A297"/>
      <c r="B297" s="215">
        <f>+GETPIVOTDATA("55. Participo o he participado en grupos y redes académicas externas a la Universidad Distrital Francisco José de Caldas.",$A$294,"55. Participo o he participado en grupos y redes académicas externas a la Universidad Distrital Francisco José de Caldas.","Totalmente en desacuerdo / NO")/GETPIVOTDATA("55. Participo o he participado en grupos y redes académicas externas a la Universidad Distrital Francisco José de Caldas.",$A$294)</f>
        <v>0.39520958083832336</v>
      </c>
      <c r="C297" s="217">
        <f>+GETPIVOTDATA("55. Participo o he participado en grupos y redes académicas externas a la Universidad Distrital Francisco José de Caldas.",$A$294,"55. Participo o he participado en grupos y redes académicas externas a la Universidad Distrital Francisco José de Caldas.","En desacuerdo")/GETPIVOTDATA("55. Participo o he participado en grupos y redes académicas externas a la Universidad Distrital Francisco José de Caldas.",$A$294)</f>
        <v>0.1377245508982036</v>
      </c>
      <c r="D297" s="217">
        <f>+GETPIVOTDATA("55. Participo o he participado en grupos y redes académicas externas a la Universidad Distrital Francisco José de Caldas.",$A$294,"55. Participo o he participado en grupos y redes académicas externas a la Universidad Distrital Francisco José de Caldas.","Medianamente de acuerdo")/GETPIVOTDATA("55. Participo o he participado en grupos y redes académicas externas a la Universidad Distrital Francisco José de Caldas.",$A$294)</f>
        <v>0.15568862275449102</v>
      </c>
      <c r="E297" s="217">
        <f>+GETPIVOTDATA("55. Participo o he participado en grupos y redes académicas externas a la Universidad Distrital Francisco José de Caldas.",$A$294,"55. Participo o he participado en grupos y redes académicas externas a la Universidad Distrital Francisco José de Caldas.","De acuerdo")/GETPIVOTDATA("55. Participo o he participado en grupos y redes académicas externas a la Universidad Distrital Francisco José de Caldas.",$A$294)</f>
        <v>0.11377245508982035</v>
      </c>
      <c r="F297" s="217">
        <f>+GETPIVOTDATA("55. Participo o he participado en grupos y redes académicas externas a la Universidad Distrital Francisco José de Caldas.",$A$294,"55. Participo o he participado en grupos y redes académicas externas a la Universidad Distrital Francisco José de Caldas.","Totalmente de acuerdo / SI")/GETPIVOTDATA("55. Participo o he participado en grupos y redes académicas externas a la Universidad Distrital Francisco José de Caldas.",$A$294)</f>
        <v>7.7844311377245512E-2</v>
      </c>
      <c r="G297" s="217">
        <f>+GETPIVOTDATA("55. Participo o he participado en grupos y redes académicas externas a la Universidad Distrital Francisco José de Caldas.",$A$294,"55. Participo o he participado en grupos y redes académicas externas a la Universidad Distrital Francisco José de Caldas.","No sabe / No puede opinar al respecto")/GETPIVOTDATA("55. Participo o he participado en grupos y redes académicas externas a la Universidad Distrital Francisco José de Caldas.",$A$294)</f>
        <v>0.11976047904191617</v>
      </c>
      <c r="I297" s="217">
        <f>SUM(B297:H297)</f>
        <v>1</v>
      </c>
    </row>
    <row r="298" spans="1:9" ht="15" x14ac:dyDescent="0.25">
      <c r="A298"/>
      <c r="B298" s="164" t="s">
        <v>2816</v>
      </c>
      <c r="C298"/>
      <c r="D298"/>
      <c r="E298"/>
      <c r="F298"/>
      <c r="G298"/>
      <c r="H298"/>
      <c r="I298"/>
    </row>
    <row r="299" spans="1:9" ht="15" x14ac:dyDescent="0.25">
      <c r="A299"/>
      <c r="B299" t="s">
        <v>1093</v>
      </c>
      <c r="C299" t="s">
        <v>1</v>
      </c>
      <c r="D299" t="s">
        <v>2</v>
      </c>
      <c r="E299" t="s">
        <v>3</v>
      </c>
      <c r="F299" t="s">
        <v>1092</v>
      </c>
      <c r="G299" t="s">
        <v>5</v>
      </c>
      <c r="H299" t="s">
        <v>1358</v>
      </c>
      <c r="I299" t="s">
        <v>1096</v>
      </c>
    </row>
    <row r="300" spans="1:9" ht="135" x14ac:dyDescent="0.25">
      <c r="A300" s="166" t="s">
        <v>1170</v>
      </c>
      <c r="B300" s="165">
        <v>14</v>
      </c>
      <c r="C300" s="165">
        <v>11</v>
      </c>
      <c r="D300" s="165">
        <v>43</v>
      </c>
      <c r="E300" s="165">
        <v>58</v>
      </c>
      <c r="F300" s="165">
        <v>33</v>
      </c>
      <c r="G300" s="165">
        <v>8</v>
      </c>
      <c r="H300" s="165"/>
      <c r="I300" s="165">
        <v>167</v>
      </c>
    </row>
    <row r="301" spans="1:9" ht="15" x14ac:dyDescent="0.25">
      <c r="A301"/>
      <c r="B301" s="215">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profesional.","Totalmente en desacuerdo / NO")/GETPIVOTDATA("56. Considero que los servicios o actividades ofrecidas por Bienestar Institucional contribuyen a mi desarrollo personal y profesional.",$A$298)</f>
        <v>8.3832335329341312E-2</v>
      </c>
      <c r="C301" s="217">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profesional.","En desacuerdo")/GETPIVOTDATA("56. Considero que los servicios o actividades ofrecidas por Bienestar Institucional contribuyen a mi desarrollo personal y profesional.",$A$298)</f>
        <v>6.5868263473053898E-2</v>
      </c>
      <c r="D301" s="217">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profesional.","Medianamente de acuerdo")/GETPIVOTDATA("56. Considero que los servicios o actividades ofrecidas por Bienestar Institucional contribuyen a mi desarrollo personal y profesional.",$A$298)</f>
        <v>0.25748502994011974</v>
      </c>
      <c r="E301" s="217">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profesional.","De acuerdo")/GETPIVOTDATA("56. Considero que los servicios o actividades ofrecidas por Bienestar Institucional contribuyen a mi desarrollo personal y profesional.",$A$298)</f>
        <v>0.3473053892215569</v>
      </c>
      <c r="F301" s="217">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profesional.","Totalmente de acuerdo / SI")/GETPIVOTDATA("56. Considero que los servicios o actividades ofrecidas por Bienestar Institucional contribuyen a mi desarrollo personal y profesional.",$A$298)</f>
        <v>0.19760479041916168</v>
      </c>
      <c r="G301" s="217">
        <f>+GETPIVOTDATA("56. Considero que los servicios o actividades ofrecidas por Bienestar Institucional contribuyen a mi desarrollo personal y profesional.",$A$298,"56. Considero que los servicios o actividades ofrecidas por Bienestar Institucional contribuyen a mi desarrollo personal y profesional.","No sabe / No puede opinar al respecto")/GETPIVOTDATA("56. Considero que los servicios o actividades ofrecidas por Bienestar Institucional contribuyen a mi desarrollo personal y profesional.",$A$298)</f>
        <v>4.790419161676647E-2</v>
      </c>
      <c r="I301" s="217">
        <f>SUM(B301:H301)</f>
        <v>1</v>
      </c>
    </row>
    <row r="302" spans="1:9" ht="15" x14ac:dyDescent="0.25">
      <c r="A302"/>
      <c r="B302" s="164" t="s">
        <v>2816</v>
      </c>
      <c r="C302"/>
      <c r="D302"/>
      <c r="E302"/>
      <c r="F302"/>
      <c r="G302"/>
      <c r="H302"/>
      <c r="I302"/>
    </row>
    <row r="303" spans="1:9" ht="15" x14ac:dyDescent="0.25">
      <c r="A303"/>
      <c r="B303" t="s">
        <v>1093</v>
      </c>
      <c r="C303" t="s">
        <v>1</v>
      </c>
      <c r="D303" t="s">
        <v>2</v>
      </c>
      <c r="E303" t="s">
        <v>3</v>
      </c>
      <c r="F303" t="s">
        <v>1092</v>
      </c>
      <c r="G303" t="s">
        <v>5</v>
      </c>
      <c r="H303" t="s">
        <v>1358</v>
      </c>
      <c r="I303" t="s">
        <v>1096</v>
      </c>
    </row>
    <row r="304" spans="1:9" ht="75" x14ac:dyDescent="0.25">
      <c r="A304" s="166" t="s">
        <v>1171</v>
      </c>
      <c r="B304" s="165">
        <v>22</v>
      </c>
      <c r="C304" s="165">
        <v>21</v>
      </c>
      <c r="D304" s="165">
        <v>56</v>
      </c>
      <c r="E304" s="165">
        <v>40</v>
      </c>
      <c r="F304" s="165">
        <v>19</v>
      </c>
      <c r="G304" s="165">
        <v>9</v>
      </c>
      <c r="H304" s="165"/>
      <c r="I304" s="165">
        <v>167</v>
      </c>
    </row>
    <row r="305" spans="1:9" ht="15" x14ac:dyDescent="0.25">
      <c r="A305"/>
      <c r="B305" s="215">
        <f>+GETPIVOTDATA("57.1. Considero que los servicios de bienestar son: SUFICIENTE.",$A$302,"57.1. Considero que los servicios de bienestar son: SUFICIENTE.","Totalmente en desacuerdo / NO")/GETPIVOTDATA("57.1. Considero que los servicios de bienestar son: SUFICIENTE.",$A$302)</f>
        <v>0.1317365269461078</v>
      </c>
      <c r="C305" s="217">
        <f>+GETPIVOTDATA("57.1. Considero que los servicios de bienestar son: SUFICIENTE.",$A$302,"57.1. Considero que los servicios de bienestar son: SUFICIENTE.","En desacuerdo")/GETPIVOTDATA("57.1. Considero que los servicios de bienestar son: SUFICIENTE.",$A$302)</f>
        <v>0.12574850299401197</v>
      </c>
      <c r="D305" s="217">
        <f>+GETPIVOTDATA("57.1. Considero que los servicios de bienestar son: SUFICIENTE.",$A$302,"57.1. Considero que los servicios de bienestar son: SUFICIENTE.","Medianamente de acuerdo")/GETPIVOTDATA("57.1. Considero que los servicios de bienestar son: SUFICIENTE.",$A$302)</f>
        <v>0.33532934131736525</v>
      </c>
      <c r="E305" s="217">
        <f>+GETPIVOTDATA("57.1. Considero que los servicios de bienestar son: SUFICIENTE.",$A$302,"57.1. Considero que los servicios de bienestar son: SUFICIENTE.","De acuerdo")/GETPIVOTDATA("57.1. Considero que los servicios de bienestar son: SUFICIENTE.",$A$302)</f>
        <v>0.23952095808383234</v>
      </c>
      <c r="F305" s="217">
        <f>+GETPIVOTDATA("57.1. Considero que los servicios de bienestar son: SUFICIENTE.",$A$302,"57.1. Considero que los servicios de bienestar son: SUFICIENTE.","Totalmente de acuerdo / SI")/GETPIVOTDATA("57.1. Considero que los servicios de bienestar son: SUFICIENTE.",$A$302)</f>
        <v>0.11377245508982035</v>
      </c>
      <c r="G305" s="217">
        <f>+GETPIVOTDATA("57.1. Considero que los servicios de bienestar son: SUFICIENTE.",$A$302,"57.1. Considero que los servicios de bienestar son: SUFICIENTE.","No sabe / No puede opinar al respecto")/GETPIVOTDATA("57.1. Considero que los servicios de bienestar son: SUFICIENTE.",$A$302)</f>
        <v>5.3892215568862277E-2</v>
      </c>
      <c r="I305" s="217">
        <f>SUM(B305:H305)</f>
        <v>1</v>
      </c>
    </row>
    <row r="306" spans="1:9" ht="15" x14ac:dyDescent="0.25">
      <c r="A306"/>
      <c r="B306" s="164" t="s">
        <v>2816</v>
      </c>
      <c r="C306"/>
      <c r="D306"/>
      <c r="E306"/>
      <c r="F306"/>
      <c r="G306"/>
      <c r="H306"/>
      <c r="I306"/>
    </row>
    <row r="307" spans="1:9" ht="15" x14ac:dyDescent="0.25">
      <c r="A307"/>
      <c r="B307" t="s">
        <v>1093</v>
      </c>
      <c r="C307" t="s">
        <v>1</v>
      </c>
      <c r="D307" t="s">
        <v>2</v>
      </c>
      <c r="E307" t="s">
        <v>3</v>
      </c>
      <c r="F307" t="s">
        <v>1092</v>
      </c>
      <c r="G307" t="s">
        <v>5</v>
      </c>
      <c r="H307" t="s">
        <v>1358</v>
      </c>
      <c r="I307" t="s">
        <v>1096</v>
      </c>
    </row>
    <row r="308" spans="1:9" ht="75" x14ac:dyDescent="0.25">
      <c r="A308" s="166" t="s">
        <v>1172</v>
      </c>
      <c r="B308" s="165">
        <v>14</v>
      </c>
      <c r="C308" s="165">
        <v>11</v>
      </c>
      <c r="D308" s="165">
        <v>56</v>
      </c>
      <c r="E308" s="165">
        <v>54</v>
      </c>
      <c r="F308" s="165">
        <v>23</v>
      </c>
      <c r="G308" s="165">
        <v>9</v>
      </c>
      <c r="H308" s="165"/>
      <c r="I308" s="165">
        <v>167</v>
      </c>
    </row>
    <row r="309" spans="1:9" ht="15" x14ac:dyDescent="0.25">
      <c r="A309"/>
      <c r="B309" s="215">
        <f>+GETPIVOTDATA("57.2. Considero que los servicios de bienestar son: ADECUADO.",$A$306,"57.2. Considero que los servicios de bienestar son: ADECUADO.","Totalmente en desacuerdo / NO")/GETPIVOTDATA("57.2. Considero que los servicios de bienestar son: ADECUADO.",$A$306)</f>
        <v>8.3832335329341312E-2</v>
      </c>
      <c r="C309" s="217">
        <f>+GETPIVOTDATA("57.2. Considero que los servicios de bienestar son: ADECUADO.",$A$306,"57.2. Considero que los servicios de bienestar son: ADECUADO.","En desacuerdo")/GETPIVOTDATA("57.2. Considero que los servicios de bienestar son: ADECUADO.",$A$306)</f>
        <v>6.5868263473053898E-2</v>
      </c>
      <c r="D309" s="217">
        <f>+GETPIVOTDATA("57.2. Considero que los servicios de bienestar son: ADECUADO.",$A$306,"57.2. Considero que los servicios de bienestar son: ADECUADO.","Medianamente de acuerdo")/GETPIVOTDATA("57.2. Considero que los servicios de bienestar son: ADECUADO.",$A$306)</f>
        <v>0.33532934131736525</v>
      </c>
      <c r="E309" s="217">
        <f>+GETPIVOTDATA("57.2. Considero que los servicios de bienestar son: ADECUADO.",$A$306,"57.2. Considero que los servicios de bienestar son: ADECUADO.","De acuerdo")/GETPIVOTDATA("57.2. Considero que los servicios de bienestar son: ADECUADO.",$A$306)</f>
        <v>0.32335329341317365</v>
      </c>
      <c r="F309" s="217">
        <f>+GETPIVOTDATA("57.2. Considero que los servicios de bienestar son: ADECUADO.",$A$306,"57.2. Considero que los servicios de bienestar son: ADECUADO.","Totalmente de acuerdo / SI")/GETPIVOTDATA("57.2. Considero que los servicios de bienestar son: ADECUADO.",$A$306)</f>
        <v>0.1377245508982036</v>
      </c>
      <c r="G309" s="217">
        <f>+GETPIVOTDATA("57.2. Considero que los servicios de bienestar son: ADECUADO.",$A$306,"57.2. Considero que los servicios de bienestar son: ADECUADO.","No sabe / No puede opinar al respecto")/GETPIVOTDATA("57.2. Considero que los servicios de bienestar son: ADECUADO.",$A$306)</f>
        <v>5.3892215568862277E-2</v>
      </c>
      <c r="I309" s="217">
        <f>SUM(B309:H309)</f>
        <v>1</v>
      </c>
    </row>
    <row r="310" spans="1:9" ht="15" x14ac:dyDescent="0.25">
      <c r="A310"/>
      <c r="B310" s="164" t="s">
        <v>2816</v>
      </c>
      <c r="C310"/>
      <c r="D310"/>
      <c r="E310"/>
      <c r="F310"/>
      <c r="G310"/>
      <c r="H310"/>
      <c r="I310"/>
    </row>
    <row r="311" spans="1:9" ht="15" x14ac:dyDescent="0.25">
      <c r="A311"/>
      <c r="B311" t="s">
        <v>1093</v>
      </c>
      <c r="C311" t="s">
        <v>1</v>
      </c>
      <c r="D311" t="s">
        <v>2</v>
      </c>
      <c r="E311" t="s">
        <v>3</v>
      </c>
      <c r="F311" t="s">
        <v>1092</v>
      </c>
      <c r="G311" t="s">
        <v>5</v>
      </c>
      <c r="H311" t="s">
        <v>1358</v>
      </c>
      <c r="I311" t="s">
        <v>1096</v>
      </c>
    </row>
    <row r="312" spans="1:9" ht="75" x14ac:dyDescent="0.25">
      <c r="A312" s="166" t="s">
        <v>1173</v>
      </c>
      <c r="B312" s="165">
        <v>16</v>
      </c>
      <c r="C312" s="165">
        <v>16</v>
      </c>
      <c r="D312" s="165">
        <v>45</v>
      </c>
      <c r="E312" s="165">
        <v>54</v>
      </c>
      <c r="F312" s="165">
        <v>30</v>
      </c>
      <c r="G312" s="165">
        <v>6</v>
      </c>
      <c r="H312" s="165"/>
      <c r="I312" s="165">
        <v>167</v>
      </c>
    </row>
    <row r="313" spans="1:9" ht="15" x14ac:dyDescent="0.25">
      <c r="A313"/>
      <c r="B313" s="215">
        <f>+GETPIVOTDATA("57.3. Considero que los servicios de bienestar son: ACCESIBLES.",$A$310,"57.3. Considero que los servicios de bienestar son: ACCESIBLES.","Totalmente en desacuerdo / NO")/GETPIVOTDATA("57.3. Considero que los servicios de bienestar son: ACCESIBLES.",$A$310)</f>
        <v>9.580838323353294E-2</v>
      </c>
      <c r="C313" s="217">
        <f>+GETPIVOTDATA("57.3. Considero que los servicios de bienestar son: ACCESIBLES.",$A$310,"57.3. Considero que los servicios de bienestar son: ACCESIBLES.","En desacuerdo")/GETPIVOTDATA("57.3. Considero que los servicios de bienestar son: ACCESIBLES.",$A$310)</f>
        <v>9.580838323353294E-2</v>
      </c>
      <c r="D313" s="217">
        <f>+GETPIVOTDATA("57.3. Considero que los servicios de bienestar son: ACCESIBLES.",$A$310,"57.3. Considero que los servicios de bienestar son: ACCESIBLES.","Medianamente de acuerdo")/GETPIVOTDATA("57.3. Considero que los servicios de bienestar son: ACCESIBLES.",$A$310)</f>
        <v>0.26946107784431139</v>
      </c>
      <c r="E313" s="217">
        <f>+GETPIVOTDATA("57.3. Considero que los servicios de bienestar son: ACCESIBLES.",$A$310,"57.3. Considero que los servicios de bienestar son: ACCESIBLES.","De acuerdo")/GETPIVOTDATA("57.3. Considero que los servicios de bienestar son: ACCESIBLES.",$A$310)</f>
        <v>0.32335329341317365</v>
      </c>
      <c r="F313" s="217">
        <f>+GETPIVOTDATA("57.3. Considero que los servicios de bienestar son: ACCESIBLES.",$A$310,"57.3. Considero que los servicios de bienestar son: ACCESIBLES.","Totalmente de acuerdo / SI")/GETPIVOTDATA("57.3. Considero que los servicios de bienestar son: ACCESIBLES.",$A$310)</f>
        <v>0.17964071856287425</v>
      </c>
      <c r="G313" s="217">
        <f>+GETPIVOTDATA("57.3. Considero que los servicios de bienestar son: ACCESIBLES.",$A$310,"57.3. Considero que los servicios de bienestar son: ACCESIBLES.","No sabe / No puede opinar al respecto")/GETPIVOTDATA("57.3. Considero que los servicios de bienestar son: ACCESIBLES.",$A$310)</f>
        <v>3.5928143712574849E-2</v>
      </c>
      <c r="I313" s="217">
        <f>SUM(B313:H313)</f>
        <v>1</v>
      </c>
    </row>
    <row r="314" spans="1:9" ht="15" x14ac:dyDescent="0.25">
      <c r="A314"/>
      <c r="B314" s="164" t="s">
        <v>2816</v>
      </c>
      <c r="C314"/>
      <c r="D314"/>
      <c r="E314"/>
      <c r="F314"/>
      <c r="G314"/>
      <c r="H314"/>
      <c r="I314"/>
    </row>
    <row r="315" spans="1:9" ht="15" x14ac:dyDescent="0.25">
      <c r="A315"/>
      <c r="B315" t="s">
        <v>1093</v>
      </c>
      <c r="C315" t="s">
        <v>1</v>
      </c>
      <c r="D315" t="s">
        <v>2</v>
      </c>
      <c r="E315" t="s">
        <v>3</v>
      </c>
      <c r="F315" t="s">
        <v>1092</v>
      </c>
      <c r="G315" t="s">
        <v>5</v>
      </c>
      <c r="H315" t="s">
        <v>1358</v>
      </c>
      <c r="I315" t="s">
        <v>1096</v>
      </c>
    </row>
    <row r="316" spans="1:9" ht="105" x14ac:dyDescent="0.25">
      <c r="A316" s="166" t="s">
        <v>1174</v>
      </c>
      <c r="B316" s="165">
        <v>6</v>
      </c>
      <c r="C316" s="165">
        <v>6</v>
      </c>
      <c r="D316" s="165">
        <v>30</v>
      </c>
      <c r="E316" s="165">
        <v>46</v>
      </c>
      <c r="F316" s="165">
        <v>76</v>
      </c>
      <c r="G316" s="165">
        <v>3</v>
      </c>
      <c r="H316" s="165"/>
      <c r="I316" s="165">
        <v>167</v>
      </c>
    </row>
    <row r="317" spans="1:9" ht="15" x14ac:dyDescent="0.25">
      <c r="A317"/>
      <c r="B317" s="214">
        <f>+GETPIVOTDATA("58. Mi experiencia en éste programa académico me motiva a continuar en mi programa académico.  ",$A$314,"58. Mi experiencia en éste programa académico me motiva a continuar en mi programa académico.  ","Totalmente en desacuerdo / NO")/GETPIVOTDATA("58. Mi experiencia en éste programa académico me motiva a continuar en mi programa académico.  ",$A$314)</f>
        <v>3.5928143712574849E-2</v>
      </c>
      <c r="C317" s="218">
        <f>+GETPIVOTDATA("58. Mi experiencia en éste programa académico me motiva a continuar en mi programa académico.  ",$A$314,"58. Mi experiencia en éste programa académico me motiva a continuar en mi programa académico.  ","En desacuerdo")/GETPIVOTDATA("58. Mi experiencia en éste programa académico me motiva a continuar en mi programa académico.  ",$A$314)</f>
        <v>3.5928143712574849E-2</v>
      </c>
      <c r="D317" s="218">
        <f>+GETPIVOTDATA("58. Mi experiencia en éste programa académico me motiva a continuar en mi programa académico.  ",$A$314,"58. Mi experiencia en éste programa académico me motiva a continuar en mi programa académico.  ","Medianamente de acuerdo")/GETPIVOTDATA("58. Mi experiencia en éste programa académico me motiva a continuar en mi programa académico.  ",$A$314)</f>
        <v>0.17964071856287425</v>
      </c>
      <c r="E317" s="218">
        <f>+GETPIVOTDATA("58. Mi experiencia en éste programa académico me motiva a continuar en mi programa académico.  ",$A$314,"58. Mi experiencia en éste programa académico me motiva a continuar en mi programa académico.  ","De acuerdo")/GETPIVOTDATA("58. Mi experiencia en éste programa académico me motiva a continuar en mi programa académico.  ",$A$314)</f>
        <v>0.27544910179640719</v>
      </c>
      <c r="F317" s="218">
        <f>+GETPIVOTDATA("58. Mi experiencia en éste programa académico me motiva a continuar en mi programa académico.  ",$A$314,"58. Mi experiencia en éste programa académico me motiva a continuar en mi programa académico.  ","Totalmente de acuerdo / SI")/GETPIVOTDATA("58. Mi experiencia en éste programa académico me motiva a continuar en mi programa académico.  ",$A$314)</f>
        <v>0.45508982035928142</v>
      </c>
      <c r="G317" s="218">
        <f>+GETPIVOTDATA("58. Mi experiencia en éste programa académico me motiva a continuar en mi programa académico.  ",$A$314,"58. Mi experiencia en éste programa académico me motiva a continuar en mi programa académico.  ","No sabe / No puede opinar al respecto")/GETPIVOTDATA("58. Mi experiencia en éste programa académico me motiva a continuar en mi programa académico.  ",$A$314)</f>
        <v>1.7964071856287425E-2</v>
      </c>
      <c r="I317" s="217">
        <f>SUM(B317:H317)</f>
        <v>1</v>
      </c>
    </row>
    <row r="318" spans="1:9" ht="15" x14ac:dyDescent="0.25">
      <c r="A318"/>
      <c r="B318" s="164" t="s">
        <v>2816</v>
      </c>
      <c r="C318"/>
      <c r="D318"/>
      <c r="E318"/>
      <c r="F318"/>
      <c r="G318"/>
      <c r="H318"/>
      <c r="I318"/>
    </row>
    <row r="319" spans="1:9" ht="15" x14ac:dyDescent="0.25">
      <c r="A319"/>
      <c r="B319" t="s">
        <v>1093</v>
      </c>
      <c r="C319" t="s">
        <v>1</v>
      </c>
      <c r="D319" t="s">
        <v>2</v>
      </c>
      <c r="E319" t="s">
        <v>3</v>
      </c>
      <c r="F319" t="s">
        <v>1092</v>
      </c>
      <c r="G319" t="s">
        <v>5</v>
      </c>
      <c r="H319" t="s">
        <v>1358</v>
      </c>
      <c r="I319" t="s">
        <v>1096</v>
      </c>
    </row>
    <row r="320" spans="1:9" ht="90" x14ac:dyDescent="0.25">
      <c r="A320" s="166" t="s">
        <v>1175</v>
      </c>
      <c r="B320" s="165">
        <v>51</v>
      </c>
      <c r="C320" s="165">
        <v>21</v>
      </c>
      <c r="D320" s="165">
        <v>34</v>
      </c>
      <c r="E320" s="165">
        <v>30</v>
      </c>
      <c r="F320" s="165">
        <v>25</v>
      </c>
      <c r="G320" s="165">
        <v>6</v>
      </c>
      <c r="H320" s="165"/>
      <c r="I320" s="165">
        <v>167</v>
      </c>
    </row>
    <row r="321" spans="1:9" ht="15" x14ac:dyDescent="0.25">
      <c r="A321"/>
      <c r="B321" s="215">
        <f>+GETPIVOTDATA("59. Puedo terminar mi pregrado en el tiempo establecido por mi programa académico. ",$A$318,"59. Puedo terminar mi pregrado en el tiempo establecido por mi programa académico. ","Totalmente en desacuerdo / NO")/GETPIVOTDATA("59. Puedo terminar mi pregrado en el tiempo establecido por mi programa académico. ",$A$318)</f>
        <v>0.30538922155688625</v>
      </c>
      <c r="C321" s="217">
        <f>+GETPIVOTDATA("59. Puedo terminar mi pregrado en el tiempo establecido por mi programa académico. ",$A$318,"59. Puedo terminar mi pregrado en el tiempo establecido por mi programa académico. ","En desacuerdo")/GETPIVOTDATA("59. Puedo terminar mi pregrado en el tiempo establecido por mi programa académico. ",$A$318)</f>
        <v>0.12574850299401197</v>
      </c>
      <c r="D321" s="217">
        <f>+GETPIVOTDATA("59. Puedo terminar mi pregrado en el tiempo establecido por mi programa académico. ",$A$318,"59. Puedo terminar mi pregrado en el tiempo establecido por mi programa académico. ","Medianamente de acuerdo")/GETPIVOTDATA("59. Puedo terminar mi pregrado en el tiempo establecido por mi programa académico. ",$A$318)</f>
        <v>0.20359281437125748</v>
      </c>
      <c r="E321" s="217">
        <f>+GETPIVOTDATA("59. Puedo terminar mi pregrado en el tiempo establecido por mi programa académico. ",$A$318,"59. Puedo terminar mi pregrado en el tiempo establecido por mi programa académico. ","De acuerdo")/GETPIVOTDATA("59. Puedo terminar mi pregrado en el tiempo establecido por mi programa académico. ",$A$318)</f>
        <v>0.17964071856287425</v>
      </c>
      <c r="F321" s="217">
        <f>+GETPIVOTDATA("59. Puedo terminar mi pregrado en el tiempo establecido por mi programa académico. ",$A$318,"59. Puedo terminar mi pregrado en el tiempo establecido por mi programa académico. ","Totalmente de acuerdo / SI")/GETPIVOTDATA("59. Puedo terminar mi pregrado en el tiempo establecido por mi programa académico. ",$A$318)</f>
        <v>0.1497005988023952</v>
      </c>
      <c r="G321" s="217">
        <f>+GETPIVOTDATA("59. Puedo terminar mi pregrado en el tiempo establecido por mi programa académico. ",$A$318,"59. Puedo terminar mi pregrado en el tiempo establecido por mi programa académico. ","No sabe / No puede opinar al respecto")/GETPIVOTDATA("59. Puedo terminar mi pregrado en el tiempo establecido por mi programa académico. ",$A$318)</f>
        <v>3.5928143712574849E-2</v>
      </c>
      <c r="I321" s="217">
        <f>SUM(B321:H321)</f>
        <v>0.99999999999999989</v>
      </c>
    </row>
    <row r="322" spans="1:9" ht="15" x14ac:dyDescent="0.25">
      <c r="A322"/>
      <c r="B322" s="164" t="s">
        <v>2816</v>
      </c>
      <c r="C322"/>
      <c r="D322"/>
      <c r="E322"/>
      <c r="F322"/>
      <c r="G322"/>
      <c r="H322"/>
      <c r="I322"/>
    </row>
    <row r="323" spans="1:9" ht="15" x14ac:dyDescent="0.25">
      <c r="A323"/>
      <c r="B323" t="s">
        <v>1093</v>
      </c>
      <c r="C323" t="s">
        <v>1</v>
      </c>
      <c r="D323" t="s">
        <v>2</v>
      </c>
      <c r="E323" t="s">
        <v>3</v>
      </c>
      <c r="F323" t="s">
        <v>1092</v>
      </c>
      <c r="G323" t="s">
        <v>5</v>
      </c>
      <c r="H323" t="s">
        <v>1358</v>
      </c>
      <c r="I323" t="s">
        <v>1096</v>
      </c>
    </row>
    <row r="324" spans="1:9" ht="90" x14ac:dyDescent="0.25">
      <c r="A324" s="166" t="s">
        <v>1176</v>
      </c>
      <c r="B324" s="165">
        <v>37</v>
      </c>
      <c r="C324" s="165">
        <v>21</v>
      </c>
      <c r="D324" s="165">
        <v>38</v>
      </c>
      <c r="E324" s="165">
        <v>46</v>
      </c>
      <c r="F324" s="165">
        <v>17</v>
      </c>
      <c r="G324" s="165">
        <v>8</v>
      </c>
      <c r="H324" s="165"/>
      <c r="I324" s="165">
        <v>167</v>
      </c>
    </row>
    <row r="325" spans="1:9" ht="15" x14ac:dyDescent="0.25">
      <c r="A325"/>
      <c r="B325" s="215">
        <f>+GETPIVOTDATA("60. Las alternativas de grado actuales me permitirán terminar mis estudios en el tiempo previsto. ",$A$322,"60. Las alternativas de grado actuales me permitirán terminar mis estudios en el tiempo previsto. ","Totalmente en desacuerdo / NO")/GETPIVOTDATA("60. Las alternativas de grado actuales me permitirán terminar mis estudios en el tiempo previsto. ",$A$322)</f>
        <v>0.22155688622754491</v>
      </c>
      <c r="C325" s="217">
        <f>+GETPIVOTDATA("60. Las alternativas de grado actuales me permitirán terminar mis estudios en el tiempo previsto. ",$A$322,"60. Las alternativas de grado actuales me permitirán terminar mis estudios en el tiempo previsto. ","En desacuerdo")/GETPIVOTDATA("60. Las alternativas de grado actuales me permitirán terminar mis estudios en el tiempo previsto. ",$A$322)</f>
        <v>0.12574850299401197</v>
      </c>
      <c r="D325" s="217">
        <f>+GETPIVOTDATA("60. Las alternativas de grado actuales me permitirán terminar mis estudios en el tiempo previsto. ",$A$322,"60. Las alternativas de grado actuales me permitirán terminar mis estudios en el tiempo previsto. ","Medianamente de acuerdo")/GETPIVOTDATA("60. Las alternativas de grado actuales me permitirán terminar mis estudios en el tiempo previsto. ",$A$322)</f>
        <v>0.22754491017964071</v>
      </c>
      <c r="E325" s="217">
        <f>+GETPIVOTDATA("60. Las alternativas de grado actuales me permitirán terminar mis estudios en el tiempo previsto. ",$A$322,"60. Las alternativas de grado actuales me permitirán terminar mis estudios en el tiempo previsto. ","De acuerdo")/GETPIVOTDATA("60. Las alternativas de grado actuales me permitirán terminar mis estudios en el tiempo previsto. ",$A$322)</f>
        <v>0.27544910179640719</v>
      </c>
      <c r="F325" s="217">
        <f>+GETPIVOTDATA("60. Las alternativas de grado actuales me permitirán terminar mis estudios en el tiempo previsto. ",$A$322,"60. Las alternativas de grado actuales me permitirán terminar mis estudios en el tiempo previsto. ","Totalmente de acuerdo / SI")/GETPIVOTDATA("60. Las alternativas de grado actuales me permitirán terminar mis estudios en el tiempo previsto. ",$A$322)</f>
        <v>0.10179640718562874</v>
      </c>
      <c r="G325" s="217">
        <f>+GETPIVOTDATA("60. Las alternativas de grado actuales me permitirán terminar mis estudios en el tiempo previsto. ",$A$322,"60. Las alternativas de grado actuales me permitirán terminar mis estudios en el tiempo previsto. ","No sabe / No puede opinar al respecto")/GETPIVOTDATA("60. Las alternativas de grado actuales me permitirán terminar mis estudios en el tiempo previsto. ",$A$322)</f>
        <v>4.790419161676647E-2</v>
      </c>
      <c r="I325" s="217">
        <f>SUM(B325:H325)</f>
        <v>1</v>
      </c>
    </row>
    <row r="326" spans="1:9" ht="15" x14ac:dyDescent="0.25">
      <c r="A326"/>
      <c r="B326" s="164" t="s">
        <v>2816</v>
      </c>
      <c r="C326"/>
      <c r="D326"/>
      <c r="E326"/>
      <c r="F326"/>
      <c r="G326"/>
      <c r="H326"/>
      <c r="I326"/>
    </row>
    <row r="327" spans="1:9" ht="15" x14ac:dyDescent="0.25">
      <c r="A327"/>
      <c r="B327" t="s">
        <v>1093</v>
      </c>
      <c r="C327" t="s">
        <v>1</v>
      </c>
      <c r="D327" t="s">
        <v>2</v>
      </c>
      <c r="E327" t="s">
        <v>3</v>
      </c>
      <c r="F327" t="s">
        <v>1092</v>
      </c>
      <c r="G327" t="s">
        <v>5</v>
      </c>
      <c r="H327" t="s">
        <v>1358</v>
      </c>
      <c r="I327" t="s">
        <v>1096</v>
      </c>
    </row>
    <row r="328" spans="1:9" ht="105" x14ac:dyDescent="0.25">
      <c r="A328" s="166" t="s">
        <v>1177</v>
      </c>
      <c r="B328" s="165">
        <v>16</v>
      </c>
      <c r="C328" s="165">
        <v>10</v>
      </c>
      <c r="D328" s="165">
        <v>53</v>
      </c>
      <c r="E328" s="165">
        <v>54</v>
      </c>
      <c r="F328" s="165">
        <v>27</v>
      </c>
      <c r="G328" s="165">
        <v>7</v>
      </c>
      <c r="H328" s="165"/>
      <c r="I328" s="165">
        <v>167</v>
      </c>
    </row>
    <row r="329" spans="1:9" ht="15" x14ac:dyDescent="0.25">
      <c r="A329"/>
      <c r="B329" s="215">
        <f>+GETPIVOTDATA("61. Considero que la atención por parte del personal administrativo de mi programa académico es idónea. ",$A$326,"61. Considero que la atención por parte del personal administrativo de mi programa académico es idónea. ","Totalmente en desacuerdo / NO")/GETPIVOTDATA("61. Considero que la atención por parte del personal administrativo de mi programa académico es idónea. ",$A$326)</f>
        <v>9.580838323353294E-2</v>
      </c>
      <c r="C329" s="217">
        <f>+GETPIVOTDATA("61. Considero que la atención por parte del personal administrativo de mi programa académico es idónea. ",$A$326,"61. Considero que la atención por parte del personal administrativo de mi programa académico es idónea. ","En desacuerdo")/GETPIVOTDATA("61. Considero que la atención por parte del personal administrativo de mi programa académico es idónea. ",$A$326)</f>
        <v>5.9880239520958084E-2</v>
      </c>
      <c r="D329" s="217">
        <f>+GETPIVOTDATA("61. Considero que la atención por parte del personal administrativo de mi programa académico es idónea. ",$A$326,"61. Considero que la atención por parte del personal administrativo de mi programa académico es idónea. ","Medianamente de acuerdo")/GETPIVOTDATA("61. Considero que la atención por parte del personal administrativo de mi programa académico es idónea. ",$A$326)</f>
        <v>0.31736526946107785</v>
      </c>
      <c r="E329" s="217">
        <f>+GETPIVOTDATA("61. Considero que la atención por parte del personal administrativo de mi programa académico es idónea. ",$A$326,"61. Considero que la atención por parte del personal administrativo de mi programa académico es idónea. ","De acuerdo")/GETPIVOTDATA("61. Considero que la atención por parte del personal administrativo de mi programa académico es idónea. ",$A$326)</f>
        <v>0.32335329341317365</v>
      </c>
      <c r="F329" s="217">
        <f>+GETPIVOTDATA("61. Considero que la atención por parte del personal administrativo de mi programa académico es idónea. ",$A$326,"61. Considero que la atención por parte del personal administrativo de mi programa académico es idónea. ","Totalmente de acuerdo / SI")/GETPIVOTDATA("61. Considero que la atención por parte del personal administrativo de mi programa académico es idónea. ",$A$326)</f>
        <v>0.16167664670658682</v>
      </c>
      <c r="G329" s="217">
        <f>+GETPIVOTDATA("61. Considero que la atención por parte del personal administrativo de mi programa académico es idónea. ",$A$326,"61. Considero que la atención por parte del personal administrativo de mi programa académico es idónea. ","No sabe / No puede opinar al respecto")/GETPIVOTDATA("61. Considero que la atención por parte del personal administrativo de mi programa académico es idónea. ",$A$326)</f>
        <v>4.1916167664670656E-2</v>
      </c>
      <c r="I329" s="217">
        <f>SUM(B329:H329)</f>
        <v>1</v>
      </c>
    </row>
    <row r="330" spans="1:9" ht="15" x14ac:dyDescent="0.25">
      <c r="A330"/>
      <c r="B330" s="164" t="s">
        <v>2816</v>
      </c>
      <c r="C330"/>
      <c r="D330"/>
      <c r="E330"/>
      <c r="F330"/>
      <c r="G330"/>
      <c r="H330"/>
      <c r="I330"/>
    </row>
    <row r="331" spans="1:9" ht="15" x14ac:dyDescent="0.25">
      <c r="A331"/>
      <c r="B331" t="s">
        <v>1093</v>
      </c>
      <c r="C331" t="s">
        <v>1</v>
      </c>
      <c r="D331" t="s">
        <v>2</v>
      </c>
      <c r="E331" t="s">
        <v>3</v>
      </c>
      <c r="F331" t="s">
        <v>1092</v>
      </c>
      <c r="G331" t="s">
        <v>5</v>
      </c>
      <c r="H331" t="s">
        <v>1358</v>
      </c>
      <c r="I331" t="s">
        <v>1096</v>
      </c>
    </row>
    <row r="332" spans="1:9" ht="180" x14ac:dyDescent="0.25">
      <c r="A332" s="166" t="s">
        <v>1178</v>
      </c>
      <c r="B332" s="165">
        <v>16</v>
      </c>
      <c r="C332" s="165">
        <v>6</v>
      </c>
      <c r="D332" s="165">
        <v>48</v>
      </c>
      <c r="E332" s="165">
        <v>66</v>
      </c>
      <c r="F332" s="165">
        <v>22</v>
      </c>
      <c r="G332" s="165">
        <v>9</v>
      </c>
      <c r="H332" s="165"/>
      <c r="I332" s="165">
        <v>167</v>
      </c>
    </row>
    <row r="333" spans="1:9" ht="15" x14ac:dyDescent="0.25">
      <c r="A333"/>
      <c r="B333" s="215">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ACADÉMICOS.","Totalmente en desacuerdo / NO")/GETPIVOTDATA("62.1. La organización, administración y gestión de mi programa académico permite cumplir los objetivos de: DESARROLLO REGULAR DE LOS ESPACIOS Y DE LOS SEMESTRES ACADÉMICOS.",$A$330)</f>
        <v>9.580838323353294E-2</v>
      </c>
      <c r="C333" s="217">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ACADÉMICOS.","En desacuerdo")/GETPIVOTDATA("62.1. La organización, administración y gestión de mi programa académico permite cumplir los objetivos de: DESARROLLO REGULAR DE LOS ESPACIOS Y DE LOS SEMESTRES ACADÉMICOS.",$A$330)</f>
        <v>3.5928143712574849E-2</v>
      </c>
      <c r="D333" s="217">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ACADÉMICOS.","Medianamente de acuerdo")/GETPIVOTDATA("62.1. La organización, administración y gestión de mi programa académico permite cumplir los objetivos de: DESARROLLO REGULAR DE LOS ESPACIOS Y DE LOS SEMESTRES ACADÉMICOS.",$A$330)</f>
        <v>0.28742514970059879</v>
      </c>
      <c r="E333" s="217">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ACADÉMICOS.","De acuerdo")/GETPIVOTDATA("62.1. La organización, administración y gestión de mi programa académico permite cumplir los objetivos de: DESARROLLO REGULAR DE LOS ESPACIOS Y DE LOS SEMESTRES ACADÉMICOS.",$A$330)</f>
        <v>0.39520958083832336</v>
      </c>
      <c r="F333" s="217">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ACADÉMICOS.","Totalmente de acuerdo / SI")/GETPIVOTDATA("62.1. La organización, administración y gestión de mi programa académico permite cumplir los objetivos de: DESARROLLO REGULAR DE LOS ESPACIOS Y DE LOS SEMESTRES ACADÉMICOS.",$A$330)</f>
        <v>0.1317365269461078</v>
      </c>
      <c r="G333" s="217">
        <f>+GETPIVOTDATA("62.1. La organización, administración y gestión de mi programa académico permite cumplir los objetivos de: DESARROLLO REGULAR DE LOS ESPACIOS Y DE LOS SEMESTRES ACADÉMICOS.",$A$330,"62.1. La organización, administración y gestión de mi programa académico permite cumplir los objetivos de: DESARROLLO REGULAR DE LOS ESPACIOS Y DE LOS SEMESTRES ACADÉMICOS.","No sabe / No puede opinar al respecto")/GETPIVOTDATA("62.1. La organización, administración y gestión de mi programa académico permite cumplir los objetivos de: DESARROLLO REGULAR DE LOS ESPACIOS Y DE LOS SEMESTRES ACADÉMICOS.",$A$330)</f>
        <v>5.3892215568862277E-2</v>
      </c>
      <c r="I333" s="217">
        <f>SUM(B333:H333)</f>
        <v>1</v>
      </c>
    </row>
    <row r="334" spans="1:9" ht="15" x14ac:dyDescent="0.25">
      <c r="A334"/>
      <c r="B334" s="164" t="s">
        <v>2816</v>
      </c>
      <c r="C334"/>
      <c r="D334"/>
      <c r="E334"/>
      <c r="F334"/>
      <c r="G334"/>
      <c r="H334"/>
      <c r="I334"/>
    </row>
    <row r="335" spans="1:9" ht="15" x14ac:dyDescent="0.25">
      <c r="A335"/>
      <c r="B335" t="s">
        <v>1093</v>
      </c>
      <c r="C335" t="s">
        <v>1</v>
      </c>
      <c r="D335" t="s">
        <v>2</v>
      </c>
      <c r="E335" t="s">
        <v>3</v>
      </c>
      <c r="F335" t="s">
        <v>1092</v>
      </c>
      <c r="G335" t="s">
        <v>5</v>
      </c>
      <c r="H335" t="s">
        <v>1358</v>
      </c>
      <c r="I335" t="s">
        <v>1096</v>
      </c>
    </row>
    <row r="336" spans="1:9" ht="150" x14ac:dyDescent="0.25">
      <c r="A336" s="166" t="s">
        <v>1179</v>
      </c>
      <c r="B336" s="165">
        <v>14</v>
      </c>
      <c r="C336" s="165">
        <v>17</v>
      </c>
      <c r="D336" s="165">
        <v>49</v>
      </c>
      <c r="E336" s="165">
        <v>60</v>
      </c>
      <c r="F336" s="165">
        <v>19</v>
      </c>
      <c r="G336" s="165">
        <v>8</v>
      </c>
      <c r="H336" s="165"/>
      <c r="I336" s="165">
        <v>167</v>
      </c>
    </row>
    <row r="337" spans="1:9" ht="15" x14ac:dyDescent="0.25">
      <c r="A337"/>
      <c r="B337" s="215">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INVESTIGACIÓN.","Totalmente en desacuerdo / NO")/GETPIVOTDATA("62.2. La organización, administración y gestión de mi programa académico permite cumplir los objetivos de: PROMOCIÓN DE LA CULTURA DE LA INVESTIGACIÓN.",$A$334)</f>
        <v>8.3832335329341312E-2</v>
      </c>
      <c r="C337" s="217">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INVESTIGACIÓN.","En desacuerdo")/GETPIVOTDATA("62.2. La organización, administración y gestión de mi programa académico permite cumplir los objetivos de: PROMOCIÓN DE LA CULTURA DE LA INVESTIGACIÓN.",$A$334)</f>
        <v>0.10179640718562874</v>
      </c>
      <c r="D337" s="217">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INVESTIGACIÓN.","Medianamente de acuerdo")/GETPIVOTDATA("62.2. La organización, administración y gestión de mi programa académico permite cumplir los objetivos de: PROMOCIÓN DE LA CULTURA DE LA INVESTIGACIÓN.",$A$334)</f>
        <v>0.29341317365269459</v>
      </c>
      <c r="E337" s="217">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INVESTIGACIÓN.","De acuerdo")/GETPIVOTDATA("62.2. La organización, administración y gestión de mi programa académico permite cumplir los objetivos de: PROMOCIÓN DE LA CULTURA DE LA INVESTIGACIÓN.",$A$334)</f>
        <v>0.3592814371257485</v>
      </c>
      <c r="F337" s="217">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INVESTIGACIÓN.","Totalmente de acuerdo / SI")/GETPIVOTDATA("62.2. La organización, administración y gestión de mi programa académico permite cumplir los objetivos de: PROMOCIÓN DE LA CULTURA DE LA INVESTIGACIÓN.",$A$334)</f>
        <v>0.11377245508982035</v>
      </c>
      <c r="G337" s="217">
        <f>+GETPIVOTDATA("62.2. La organización, administración y gestión de mi programa académico permite cumplir los objetivos de: PROMOCIÓN DE LA CULTURA DE LA INVESTIGACIÓN.",$A$334,"62.2. La organización, administración y gestión de mi programa académico permite cumplir los objetivos de: PROMOCIÓN DE LA CULTURA DE LA INVESTIGACIÓN.","No sabe / No puede opinar al respecto")/GETPIVOTDATA("62.2. La organización, administración y gestión de mi programa académico permite cumplir los objetivos de: PROMOCIÓN DE LA CULTURA DE LA INVESTIGACIÓN.",$A$334)</f>
        <v>4.790419161676647E-2</v>
      </c>
      <c r="I337" s="217">
        <f>SUM(B337:H337)</f>
        <v>1</v>
      </c>
    </row>
    <row r="338" spans="1:9" ht="15" x14ac:dyDescent="0.25">
      <c r="A338"/>
      <c r="B338" s="164" t="s">
        <v>2816</v>
      </c>
      <c r="C338"/>
      <c r="D338"/>
      <c r="E338"/>
      <c r="F338"/>
      <c r="G338"/>
      <c r="H338"/>
      <c r="I338"/>
    </row>
    <row r="339" spans="1:9" ht="15" x14ac:dyDescent="0.25">
      <c r="A339"/>
      <c r="B339" t="s">
        <v>1093</v>
      </c>
      <c r="C339" t="s">
        <v>1</v>
      </c>
      <c r="D339" t="s">
        <v>2</v>
      </c>
      <c r="E339" t="s">
        <v>3</v>
      </c>
      <c r="F339" t="s">
        <v>1092</v>
      </c>
      <c r="G339" t="s">
        <v>5</v>
      </c>
      <c r="H339" t="s">
        <v>1358</v>
      </c>
      <c r="I339" t="s">
        <v>1096</v>
      </c>
    </row>
    <row r="340" spans="1:9" ht="150" x14ac:dyDescent="0.25">
      <c r="A340" s="166" t="s">
        <v>1180</v>
      </c>
      <c r="B340" s="165">
        <v>15</v>
      </c>
      <c r="C340" s="165">
        <v>23</v>
      </c>
      <c r="D340" s="165">
        <v>38</v>
      </c>
      <c r="E340" s="165">
        <v>57</v>
      </c>
      <c r="F340" s="165">
        <v>20</v>
      </c>
      <c r="G340" s="165">
        <v>14</v>
      </c>
      <c r="H340" s="165"/>
      <c r="I340" s="165">
        <v>167</v>
      </c>
    </row>
    <row r="341" spans="1:9" ht="15" x14ac:dyDescent="0.25">
      <c r="A341"/>
      <c r="B341" s="215">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ENTORNO.","Totalmente en desacuerdo / NO")/GETPIVOTDATA("62.3. La organización, administración y gestión de mi programa académico permite cumplir los objetivos de: INTEGRACIÓN CON LA COMUNIDAD Y CON EL ENTORNO.",$A$338)</f>
        <v>8.9820359281437126E-2</v>
      </c>
      <c r="C341" s="217">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ENTORNO.","En desacuerdo")/GETPIVOTDATA("62.3. La organización, administración y gestión de mi programa académico permite cumplir los objetivos de: INTEGRACIÓN CON LA COMUNIDAD Y CON EL ENTORNO.",$A$338)</f>
        <v>0.1377245508982036</v>
      </c>
      <c r="D341" s="217">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ENTORNO.","Medianamente de acuerdo")/GETPIVOTDATA("62.3. La organización, administración y gestión de mi programa académico permite cumplir los objetivos de: INTEGRACIÓN CON LA COMUNIDAD Y CON EL ENTORNO.",$A$338)</f>
        <v>0.22754491017964071</v>
      </c>
      <c r="E341" s="217">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ENTORNO.","De acuerdo")/GETPIVOTDATA("62.3. La organización, administración y gestión de mi programa académico permite cumplir los objetivos de: INTEGRACIÓN CON LA COMUNIDAD Y CON EL ENTORNO.",$A$338)</f>
        <v>0.3413173652694611</v>
      </c>
      <c r="F341" s="217">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ENTORNO.","Totalmente de acuerdo / SI")/GETPIVOTDATA("62.3. La organización, administración y gestión de mi programa académico permite cumplir los objetivos de: INTEGRACIÓN CON LA COMUNIDAD Y CON EL ENTORNO.",$A$338)</f>
        <v>0.11976047904191617</v>
      </c>
      <c r="G341" s="217">
        <f>+GETPIVOTDATA("62.3. La organización, administración y gestión de mi programa académico permite cumplir los objetivos de: INTEGRACIÓN CON LA COMUNIDAD Y CON EL ENTORNO.",$A$338,"62.3. La organización, administración y gestión de mi programa académico permite cumplir los objetivos de: INTEGRACIÓN CON LA COMUNIDAD Y CON EL ENTORNO.","No sabe / No puede opinar al respecto")/GETPIVOTDATA("62.3. La organización, administración y gestión de mi programa académico permite cumplir los objetivos de: INTEGRACIÓN CON LA COMUNIDAD Y CON EL ENTORNO.",$A$338)</f>
        <v>8.3832335329341312E-2</v>
      </c>
      <c r="I341" s="217">
        <f>SUM(B341:H341)</f>
        <v>1</v>
      </c>
    </row>
    <row r="342" spans="1:9" ht="15" x14ac:dyDescent="0.25">
      <c r="A342"/>
      <c r="B342" s="164" t="s">
        <v>2816</v>
      </c>
      <c r="C342"/>
      <c r="D342"/>
      <c r="E342"/>
      <c r="F342"/>
      <c r="G342"/>
      <c r="H342"/>
      <c r="I342"/>
    </row>
    <row r="343" spans="1:9" ht="15" x14ac:dyDescent="0.25">
      <c r="A343"/>
      <c r="B343" t="s">
        <v>1093</v>
      </c>
      <c r="C343" t="s">
        <v>1</v>
      </c>
      <c r="D343" t="s">
        <v>2</v>
      </c>
      <c r="E343" t="s">
        <v>3</v>
      </c>
      <c r="F343" t="s">
        <v>1092</v>
      </c>
      <c r="G343" t="s">
        <v>5</v>
      </c>
      <c r="H343" t="s">
        <v>1358</v>
      </c>
      <c r="I343" t="s">
        <v>1096</v>
      </c>
    </row>
    <row r="344" spans="1:9" ht="120" x14ac:dyDescent="0.25">
      <c r="A344" s="166" t="s">
        <v>1181</v>
      </c>
      <c r="B344" s="165">
        <v>32</v>
      </c>
      <c r="C344" s="165">
        <v>23</v>
      </c>
      <c r="D344" s="165">
        <v>40</v>
      </c>
      <c r="E344" s="165">
        <v>39</v>
      </c>
      <c r="F344" s="165">
        <v>20</v>
      </c>
      <c r="G344" s="165">
        <v>13</v>
      </c>
      <c r="H344" s="165"/>
      <c r="I344" s="165">
        <v>167</v>
      </c>
    </row>
    <row r="345" spans="1:9" ht="15" x14ac:dyDescent="0.25">
      <c r="A345"/>
      <c r="B345" s="215">
        <f>+GETPIVOTDATA("63. Puedo identificar las personas que desarrollan la representación estudiantil en mi programa académico. ",$A$342,"63. Puedo identificar las personas que desarrollan la representación estudiantil en mi programa académico. ","Totalmente en desacuerdo / NO")/GETPIVOTDATA("63. Puedo identificar las personas que desarrollan la representación estudiantil en mi programa académico. ",$A$342)</f>
        <v>0.19161676646706588</v>
      </c>
      <c r="C345" s="217">
        <f>+GETPIVOTDATA("63. Puedo identificar las personas que desarrollan la representación estudiantil en mi programa académico. ",$A$342,"63. Puedo identificar las personas que desarrollan la representación estudiantil en mi programa académico. ","En desacuerdo")/GETPIVOTDATA("63. Puedo identificar las personas que desarrollan la representación estudiantil en mi programa académico. ",$A$342)</f>
        <v>0.1377245508982036</v>
      </c>
      <c r="D345" s="217">
        <f>+GETPIVOTDATA("63. Puedo identificar las personas que desarrollan la representación estudiantil en mi programa académico. ",$A$342,"63. Puedo identificar las personas que desarrollan la representación estudiantil en mi programa académico. ","Medianamente de acuerdo")/GETPIVOTDATA("63. Puedo identificar las personas que desarrollan la representación estudiantil en mi programa académico. ",$A$342)</f>
        <v>0.23952095808383234</v>
      </c>
      <c r="E345" s="217">
        <f>+GETPIVOTDATA("63. Puedo identificar las personas que desarrollan la representación estudiantil en mi programa académico. ",$A$342,"63. Puedo identificar las personas que desarrollan la representación estudiantil en mi programa académico. ","De acuerdo")/GETPIVOTDATA("63. Puedo identificar las personas que desarrollan la representación estudiantil en mi programa académico. ",$A$342)</f>
        <v>0.23353293413173654</v>
      </c>
      <c r="F345" s="217">
        <f>+GETPIVOTDATA("63. Puedo identificar las personas que desarrollan la representación estudiantil en mi programa académico. ",$A$342,"63. Puedo identificar las personas que desarrollan la representación estudiantil en mi programa académico. ","Totalmente de acuerdo / SI")/GETPIVOTDATA("63. Puedo identificar las personas que desarrollan la representación estudiantil en mi programa académico. ",$A$342)</f>
        <v>0.11976047904191617</v>
      </c>
      <c r="G345" s="217">
        <f>+GETPIVOTDATA("63. Puedo identificar las personas que desarrollan la representación estudiantil en mi programa académico. ",$A$342,"63. Puedo identificar las personas que desarrollan la representación estudiantil en mi programa académico. ","No sabe / No puede opinar al respecto")/GETPIVOTDATA("63. Puedo identificar las personas que desarrollan la representación estudiantil en mi programa académico. ",$A$342)</f>
        <v>7.7844311377245512E-2</v>
      </c>
      <c r="I345" s="217">
        <f>SUM(B345:H345)</f>
        <v>1.0000000000000002</v>
      </c>
    </row>
    <row r="346" spans="1:9" ht="15" x14ac:dyDescent="0.25">
      <c r="A346"/>
      <c r="B346" s="164" t="s">
        <v>2816</v>
      </c>
      <c r="C346"/>
      <c r="D346"/>
      <c r="E346"/>
      <c r="F346"/>
      <c r="G346"/>
      <c r="H346"/>
      <c r="I346"/>
    </row>
    <row r="347" spans="1:9" ht="15" x14ac:dyDescent="0.25">
      <c r="A347"/>
      <c r="B347" t="s">
        <v>1093</v>
      </c>
      <c r="C347" t="s">
        <v>1</v>
      </c>
      <c r="D347" t="s">
        <v>2</v>
      </c>
      <c r="E347" t="s">
        <v>3</v>
      </c>
      <c r="F347" t="s">
        <v>1092</v>
      </c>
      <c r="G347" t="s">
        <v>5</v>
      </c>
      <c r="H347" t="s">
        <v>1358</v>
      </c>
      <c r="I347" t="s">
        <v>1096</v>
      </c>
    </row>
    <row r="348" spans="1:9" ht="120" x14ac:dyDescent="0.25">
      <c r="A348" s="166" t="s">
        <v>1182</v>
      </c>
      <c r="B348" s="165">
        <v>26</v>
      </c>
      <c r="C348" s="165">
        <v>23</v>
      </c>
      <c r="D348" s="165">
        <v>41</v>
      </c>
      <c r="E348" s="165">
        <v>31</v>
      </c>
      <c r="F348" s="165">
        <v>21</v>
      </c>
      <c r="G348" s="165">
        <v>25</v>
      </c>
      <c r="H348" s="165"/>
      <c r="I348" s="165">
        <v>167</v>
      </c>
    </row>
    <row r="349" spans="1:9" ht="15" x14ac:dyDescent="0.25">
      <c r="A349"/>
      <c r="B349" s="215">
        <f>+GETPIVOTDATA("64. Considero que la representación estudiantil cumple su papel de comunicación entre los directivos y los estudiantes.",$A$346,"64. Considero que la representación estudiantil cumple su papel de comunicación entre los directivos y los estudiantes.","Totalmente en desacuerdo / NO")/GETPIVOTDATA("64. Considero que la representación estudiantil cumple su papel de comunicación entre los directivos y los estudiantes.",$A$346)</f>
        <v>0.15568862275449102</v>
      </c>
      <c r="C349" s="217">
        <f>+GETPIVOTDATA("64. Considero que la representación estudiantil cumple su papel de comunicación entre los directivos y los estudiantes.",$A$346,"64. Considero que la representación estudiantil cumple su papel de comunicación entre los directivos y los estudiantes.","En desacuerdo")/GETPIVOTDATA("64. Considero que la representación estudiantil cumple su papel de comunicación entre los directivos y los estudiantes.",$A$346)</f>
        <v>0.1377245508982036</v>
      </c>
      <c r="D349" s="217">
        <f>+GETPIVOTDATA("64. Considero que la representación estudiantil cumple su papel de comunicación entre los directivos y los estudiantes.",$A$346,"64. Considero que la representación estudiantil cumple su papel de comunicación entre los directivos y los estudiantes.","Medianamente de acuerdo")/GETPIVOTDATA("64. Considero que la representación estudiantil cumple su papel de comunicación entre los directivos y los estudiantes.",$A$346)</f>
        <v>0.24550898203592814</v>
      </c>
      <c r="E349" s="217">
        <f>+GETPIVOTDATA("64. Considero que la representación estudiantil cumple su papel de comunicación entre los directivos y los estudiantes.",$A$346,"64. Considero que la representación estudiantil cumple su papel de comunicación entre los directivos y los estudiantes.","De acuerdo")/GETPIVOTDATA("64. Considero que la representación estudiantil cumple su papel de comunicación entre los directivos y los estudiantes.",$A$346)</f>
        <v>0.18562874251497005</v>
      </c>
      <c r="F349" s="217">
        <f>+GETPIVOTDATA("64. Considero que la representación estudiantil cumple su papel de comunicación entre los directivos y los estudiantes.",$A$346,"64. Considero que la representación estudiantil cumple su papel de comunicación entre los directivos y los estudiantes.","Totalmente de acuerdo / SI")/GETPIVOTDATA("64. Considero que la representación estudiantil cumple su papel de comunicación entre los directivos y los estudiantes.",$A$346)</f>
        <v>0.12574850299401197</v>
      </c>
      <c r="G349" s="217">
        <f>+GETPIVOTDATA("64. Considero que la representación estudiantil cumple su papel de comunicación entre los directivos y los estudiantes.",$A$346,"64. Considero que la representación estudiantil cumple su papel de comunicación entre los directivos y los estudiantes.","No sabe / No puede opinar al respecto")/GETPIVOTDATA("64. Considero que la representación estudiantil cumple su papel de comunicación entre los directivos y los estudiantes.",$A$346)</f>
        <v>0.1497005988023952</v>
      </c>
      <c r="I349" s="217">
        <f>SUM(B349:H349)</f>
        <v>1</v>
      </c>
    </row>
    <row r="350" spans="1:9" ht="15" x14ac:dyDescent="0.25">
      <c r="A350"/>
      <c r="B350" s="164" t="s">
        <v>2816</v>
      </c>
      <c r="C350"/>
      <c r="D350"/>
      <c r="E350"/>
      <c r="F350"/>
      <c r="G350"/>
      <c r="H350"/>
      <c r="I350"/>
    </row>
    <row r="351" spans="1:9" ht="15" x14ac:dyDescent="0.25">
      <c r="A351"/>
      <c r="B351" t="s">
        <v>1093</v>
      </c>
      <c r="C351" t="s">
        <v>1</v>
      </c>
      <c r="D351" t="s">
        <v>2</v>
      </c>
      <c r="E351" t="s">
        <v>3</v>
      </c>
      <c r="F351" t="s">
        <v>1092</v>
      </c>
      <c r="G351" t="s">
        <v>5</v>
      </c>
      <c r="H351" t="s">
        <v>1358</v>
      </c>
      <c r="I351" t="s">
        <v>1096</v>
      </c>
    </row>
    <row r="352" spans="1:9" ht="120" x14ac:dyDescent="0.25">
      <c r="A352" s="166" t="s">
        <v>1183</v>
      </c>
      <c r="B352" s="165">
        <v>25</v>
      </c>
      <c r="C352" s="165">
        <v>16</v>
      </c>
      <c r="D352" s="165">
        <v>43</v>
      </c>
      <c r="E352" s="165">
        <v>34</v>
      </c>
      <c r="F352" s="165">
        <v>10</v>
      </c>
      <c r="G352" s="165">
        <v>39</v>
      </c>
      <c r="H352" s="165"/>
      <c r="I352" s="165">
        <v>167</v>
      </c>
    </row>
    <row r="353" spans="1:9" ht="15" x14ac:dyDescent="0.25">
      <c r="A353"/>
      <c r="B353" s="215">
        <f>+GETPIVOTDATA("65. Los representantes estudiantiles han liderado propuestas para el mejoramiento de mi programa académico. ",$A$350,"65. Los representantes estudiantiles han liderado propuestas para el mejoramiento de mi programa académico. ","Totalmente en desacuerdo / NO")/GETPIVOTDATA("65. Los representantes estudiantiles han liderado propuestas para el mejoramiento de mi programa académico. ",$A$350)</f>
        <v>0.1497005988023952</v>
      </c>
      <c r="C353" s="217">
        <f>+GETPIVOTDATA("65. Los representantes estudiantiles han liderado propuestas para el mejoramiento de mi programa académico. ",$A$350,"65. Los representantes estudiantiles han liderado propuestas para el mejoramiento de mi programa académico. ","En desacuerdo")/GETPIVOTDATA("65. Los representantes estudiantiles han liderado propuestas para el mejoramiento de mi programa académico. ",$A$350)</f>
        <v>9.580838323353294E-2</v>
      </c>
      <c r="D353" s="217">
        <f>+GETPIVOTDATA("65. Los representantes estudiantiles han liderado propuestas para el mejoramiento de mi programa académico. ",$A$350,"65. Los representantes estudiantiles han liderado propuestas para el mejoramiento de mi programa académico. ","Medianamente de acuerdo")/GETPIVOTDATA("65. Los representantes estudiantiles han liderado propuestas para el mejoramiento de mi programa académico. ",$A$350)</f>
        <v>0.25748502994011974</v>
      </c>
      <c r="E353" s="217">
        <f>+GETPIVOTDATA("65. Los representantes estudiantiles han liderado propuestas para el mejoramiento de mi programa académico. ",$A$350,"65. Los representantes estudiantiles han liderado propuestas para el mejoramiento de mi programa académico. ","De acuerdo")/GETPIVOTDATA("65. Los representantes estudiantiles han liderado propuestas para el mejoramiento de mi programa académico. ",$A$350)</f>
        <v>0.20359281437125748</v>
      </c>
      <c r="F353" s="217">
        <f>+GETPIVOTDATA("65. Los representantes estudiantiles han liderado propuestas para el mejoramiento de mi programa académico. ",$A$350,"65. Los representantes estudiantiles han liderado propuestas para el mejoramiento de mi programa académico. ","Totalmente de acuerdo / SI")/GETPIVOTDATA("65. Los representantes estudiantiles han liderado propuestas para el mejoramiento de mi programa académico. ",$A$350)</f>
        <v>5.9880239520958084E-2</v>
      </c>
      <c r="G353" s="217">
        <f>+GETPIVOTDATA("65. Los representantes estudiantiles han liderado propuestas para el mejoramiento de mi programa académico. ",$A$350,"65. Los representantes estudiantiles han liderado propuestas para el mejoramiento de mi programa académico. ","No sabe / No puede opinar al respecto")/GETPIVOTDATA("65. Los representantes estudiantiles han liderado propuestas para el mejoramiento de mi programa académico. ",$A$350)</f>
        <v>0.23353293413173654</v>
      </c>
      <c r="I353" s="217">
        <f>SUM(B353:H353)</f>
        <v>1</v>
      </c>
    </row>
    <row r="354" spans="1:9" ht="15" x14ac:dyDescent="0.25">
      <c r="A354"/>
      <c r="B354" s="164" t="s">
        <v>2816</v>
      </c>
      <c r="C354"/>
      <c r="D354"/>
      <c r="E354"/>
      <c r="F354"/>
      <c r="G354"/>
      <c r="H354"/>
      <c r="I354"/>
    </row>
    <row r="355" spans="1:9" ht="15" x14ac:dyDescent="0.25">
      <c r="A355"/>
      <c r="B355" t="s">
        <v>1093</v>
      </c>
      <c r="C355" t="s">
        <v>1</v>
      </c>
      <c r="D355" t="s">
        <v>2</v>
      </c>
      <c r="E355" t="s">
        <v>3</v>
      </c>
      <c r="F355" t="s">
        <v>1092</v>
      </c>
      <c r="G355" t="s">
        <v>5</v>
      </c>
      <c r="H355" t="s">
        <v>1358</v>
      </c>
      <c r="I355" t="s">
        <v>1096</v>
      </c>
    </row>
    <row r="356" spans="1:9" ht="105" x14ac:dyDescent="0.25">
      <c r="A356" s="166" t="s">
        <v>1184</v>
      </c>
      <c r="B356" s="165">
        <v>9</v>
      </c>
      <c r="C356" s="165">
        <v>12</v>
      </c>
      <c r="D356" s="165">
        <v>52</v>
      </c>
      <c r="E356" s="165">
        <v>55</v>
      </c>
      <c r="F356" s="165">
        <v>19</v>
      </c>
      <c r="G356" s="165">
        <v>20</v>
      </c>
      <c r="H356" s="165"/>
      <c r="I356" s="165">
        <v>167</v>
      </c>
    </row>
    <row r="357" spans="1:9" ht="15" x14ac:dyDescent="0.25">
      <c r="A357"/>
      <c r="B357" s="215">
        <f>+GETPIVOTDATA("66.1. Considero que los sistemas de información empleados por mi programa académico son: VERACES.",$A$354,"66.1. Considero que los sistemas de información empleados por mi programa académico son: VERACES.","Totalmente en desacuerdo / NO")/GETPIVOTDATA("66.1. Considero que los sistemas de información empleados por mi programa académico son: VERACES.",$A$354)</f>
        <v>5.3892215568862277E-2</v>
      </c>
      <c r="C357" s="217">
        <f>+GETPIVOTDATA("66.1. Considero que los sistemas de información empleados por mi programa académico son: VERACES.",$A$354,"66.1. Considero que los sistemas de información empleados por mi programa académico son: VERACES.","En desacuerdo")/GETPIVOTDATA("66.1. Considero que los sistemas de información empleados por mi programa académico son: VERACES.",$A$354)</f>
        <v>7.1856287425149698E-2</v>
      </c>
      <c r="D357" s="217">
        <f>+GETPIVOTDATA("66.1. Considero que los sistemas de información empleados por mi programa académico son: VERACES.",$A$354,"66.1. Considero que los sistemas de información empleados por mi programa académico son: VERACES.","Medianamente de acuerdo")/GETPIVOTDATA("66.1. Considero que los sistemas de información empleados por mi programa académico son: VERACES.",$A$354)</f>
        <v>0.31137724550898205</v>
      </c>
      <c r="E357" s="217">
        <f>+GETPIVOTDATA("66.1. Considero que los sistemas de información empleados por mi programa académico son: VERACES.",$A$354,"66.1. Considero que los sistemas de información empleados por mi programa académico son: VERACES.","De acuerdo")/GETPIVOTDATA("66.1. Considero que los sistemas de información empleados por mi programa académico son: VERACES.",$A$354)</f>
        <v>0.32934131736526945</v>
      </c>
      <c r="F357" s="217">
        <f>+GETPIVOTDATA("66.1. Considero que los sistemas de información empleados por mi programa académico son: VERACES.",$A$354,"66.1. Considero que los sistemas de información empleados por mi programa académico son: VERACES.","Totalmente de acuerdo / SI")/GETPIVOTDATA("66.1. Considero que los sistemas de información empleados por mi programa académico son: VERACES.",$A$354)</f>
        <v>0.11377245508982035</v>
      </c>
      <c r="G357" s="217">
        <f>+GETPIVOTDATA("66.1. Considero que los sistemas de información empleados por mi programa académico son: VERACES.",$A$354,"66.1. Considero que los sistemas de información empleados por mi programa académico son: VERACES.","No sabe / No puede opinar al respecto")/GETPIVOTDATA("66.1. Considero que los sistemas de información empleados por mi programa académico son: VERACES.",$A$354)</f>
        <v>0.11976047904191617</v>
      </c>
      <c r="I357" s="217">
        <f>SUM(B357:H357)</f>
        <v>1</v>
      </c>
    </row>
    <row r="358" spans="1:9" ht="15" x14ac:dyDescent="0.25">
      <c r="A358"/>
      <c r="B358" s="164" t="s">
        <v>2816</v>
      </c>
      <c r="C358"/>
      <c r="D358"/>
      <c r="E358"/>
      <c r="F358"/>
      <c r="G358"/>
      <c r="H358"/>
      <c r="I358"/>
    </row>
    <row r="359" spans="1:9" ht="15" x14ac:dyDescent="0.25">
      <c r="A359"/>
      <c r="B359" t="s">
        <v>1093</v>
      </c>
      <c r="C359" t="s">
        <v>1</v>
      </c>
      <c r="D359" t="s">
        <v>2</v>
      </c>
      <c r="E359" t="s">
        <v>3</v>
      </c>
      <c r="F359" t="s">
        <v>1092</v>
      </c>
      <c r="G359" t="s">
        <v>5</v>
      </c>
      <c r="H359" t="s">
        <v>1358</v>
      </c>
      <c r="I359" t="s">
        <v>1096</v>
      </c>
    </row>
    <row r="360" spans="1:9" ht="105" x14ac:dyDescent="0.25">
      <c r="A360" s="166" t="s">
        <v>1185</v>
      </c>
      <c r="B360" s="165">
        <v>11</v>
      </c>
      <c r="C360" s="165">
        <v>11</v>
      </c>
      <c r="D360" s="165">
        <v>54</v>
      </c>
      <c r="E360" s="165">
        <v>61</v>
      </c>
      <c r="F360" s="165">
        <v>21</v>
      </c>
      <c r="G360" s="165">
        <v>9</v>
      </c>
      <c r="H360" s="165"/>
      <c r="I360" s="165">
        <v>167</v>
      </c>
    </row>
    <row r="361" spans="1:9" ht="15" x14ac:dyDescent="0.25">
      <c r="A361"/>
      <c r="B361" s="215">
        <f>+GETPIVOTDATA("66.2. Considero que los sistemas de información empleados por mi programa académico son: OPORTUNOS.",$A$358,"66.2. Considero que los sistemas de información empleados por mi programa académico son: OPORTUNOS.","Totalmente en desacuerdo / NO")/GETPIVOTDATA("66.2. Considero que los sistemas de información empleados por mi programa académico son: OPORTUNOS.",$A$358)</f>
        <v>6.5868263473053898E-2</v>
      </c>
      <c r="C361" s="217">
        <f>+GETPIVOTDATA("66.2. Considero que los sistemas de información empleados por mi programa académico son: OPORTUNOS.",$A$358,"66.2. Considero que los sistemas de información empleados por mi programa académico son: OPORTUNOS.","En desacuerdo")/GETPIVOTDATA("66.2. Considero que los sistemas de información empleados por mi programa académico son: OPORTUNOS.",$A$358)</f>
        <v>6.5868263473053898E-2</v>
      </c>
      <c r="D361" s="217">
        <f>+GETPIVOTDATA("66.2. Considero que los sistemas de información empleados por mi programa académico son: OPORTUNOS.",$A$358,"66.2. Considero que los sistemas de información empleados por mi programa académico son: OPORTUNOS.","Medianamente de acuerdo")/GETPIVOTDATA("66.2. Considero que los sistemas de información empleados por mi programa académico son: OPORTUNOS.",$A$358)</f>
        <v>0.32335329341317365</v>
      </c>
      <c r="E361" s="217">
        <f>+GETPIVOTDATA("66.2. Considero que los sistemas de información empleados por mi programa académico son: OPORTUNOS.",$A$358,"66.2. Considero que los sistemas de información empleados por mi programa académico son: OPORTUNOS.","De acuerdo")/GETPIVOTDATA("66.2. Considero que los sistemas de información empleados por mi programa académico son: OPORTUNOS.",$A$358)</f>
        <v>0.3652694610778443</v>
      </c>
      <c r="F361" s="217">
        <f>+GETPIVOTDATA("66.2. Considero que los sistemas de información empleados por mi programa académico son: OPORTUNOS.",$A$358,"66.2. Considero que los sistemas de información empleados por mi programa académico son: OPORTUNOS.","Totalmente de acuerdo / SI")/GETPIVOTDATA("66.2. Considero que los sistemas de información empleados por mi programa académico son: OPORTUNOS.",$A$358)</f>
        <v>0.12574850299401197</v>
      </c>
      <c r="G361" s="217">
        <f>+GETPIVOTDATA("66.2. Considero que los sistemas de información empleados por mi programa académico son: OPORTUNOS.",$A$358,"66.2. Considero que los sistemas de información empleados por mi programa académico son: OPORTUNOS.","No sabe / No puede opinar al respecto")/GETPIVOTDATA("66.2. Considero que los sistemas de información empleados por mi programa académico son: OPORTUNOS.",$A$358)</f>
        <v>5.3892215568862277E-2</v>
      </c>
      <c r="I361" s="217">
        <f>SUM(B361:H361)</f>
        <v>1</v>
      </c>
    </row>
    <row r="362" spans="1:9" ht="15" x14ac:dyDescent="0.25">
      <c r="A362"/>
      <c r="B362" s="164" t="s">
        <v>2816</v>
      </c>
      <c r="C362"/>
      <c r="D362"/>
      <c r="E362"/>
      <c r="F362"/>
      <c r="G362"/>
      <c r="H362"/>
      <c r="I362"/>
    </row>
    <row r="363" spans="1:9" ht="15" x14ac:dyDescent="0.25">
      <c r="A363"/>
      <c r="B363" t="s">
        <v>1093</v>
      </c>
      <c r="C363" t="s">
        <v>1</v>
      </c>
      <c r="D363" t="s">
        <v>2</v>
      </c>
      <c r="E363" t="s">
        <v>3</v>
      </c>
      <c r="F363" t="s">
        <v>1092</v>
      </c>
      <c r="G363" t="s">
        <v>5</v>
      </c>
      <c r="H363" t="s">
        <v>1358</v>
      </c>
      <c r="I363" t="s">
        <v>1096</v>
      </c>
    </row>
    <row r="364" spans="1:9" ht="105" x14ac:dyDescent="0.25">
      <c r="A364" s="166" t="s">
        <v>1186</v>
      </c>
      <c r="B364" s="165">
        <v>9</v>
      </c>
      <c r="C364" s="165">
        <v>10</v>
      </c>
      <c r="D364" s="165">
        <v>54</v>
      </c>
      <c r="E364" s="165">
        <v>62</v>
      </c>
      <c r="F364" s="165">
        <v>23</v>
      </c>
      <c r="G364" s="165">
        <v>9</v>
      </c>
      <c r="H364" s="165"/>
      <c r="I364" s="165">
        <v>167</v>
      </c>
    </row>
    <row r="365" spans="1:9" ht="15" x14ac:dyDescent="0.25">
      <c r="A365"/>
      <c r="B365" s="215">
        <f>+GETPIVOTDATA("67.1. Considero que los medios empleados para la difusión de información de mi programa académico son: VERACES.",$A$362,"67.1. Considero que los medios empleados para la difusión de información de mi programa académico son: VERACES.","Totalmente en desacuerdo / NO")/GETPIVOTDATA("67.1. Considero que los medios empleados para la difusión de información de mi programa académico son: VERACES.",$A$362)</f>
        <v>5.3892215568862277E-2</v>
      </c>
      <c r="C365" s="217">
        <f>+GETPIVOTDATA("67.1. Considero que los medios empleados para la difusión de información de mi programa académico son: VERACES.",$A$362,"67.1. Considero que los medios empleados para la difusión de información de mi programa académico son: VERACES.","En desacuerdo")/GETPIVOTDATA("67.1. Considero que los medios empleados para la difusión de información de mi programa académico son: VERACES.",$A$362)</f>
        <v>5.9880239520958084E-2</v>
      </c>
      <c r="D365" s="217">
        <f>+GETPIVOTDATA("67.1. Considero que los medios empleados para la difusión de información de mi programa académico son: VERACES.",$A$362,"67.1. Considero que los medios empleados para la difusión de información de mi programa académico son: VERACES.","Medianamente de acuerdo")/GETPIVOTDATA("67.1. Considero que los medios empleados para la difusión de información de mi programa académico son: VERACES.",$A$362)</f>
        <v>0.32335329341317365</v>
      </c>
      <c r="E365" s="217">
        <f>+GETPIVOTDATA("67.1. Considero que los medios empleados para la difusión de información de mi programa académico son: VERACES.",$A$362,"67.1. Considero que los medios empleados para la difusión de información de mi programa académico son: VERACES.","De acuerdo")/GETPIVOTDATA("67.1. Considero que los medios empleados para la difusión de información de mi programa académico son: VERACES.",$A$362)</f>
        <v>0.3712574850299401</v>
      </c>
      <c r="F365" s="217">
        <f>+GETPIVOTDATA("67.1. Considero que los medios empleados para la difusión de información de mi programa académico son: VERACES.",$A$362,"67.1. Considero que los medios empleados para la difusión de información de mi programa académico son: VERACES.","Totalmente de acuerdo / SI")/GETPIVOTDATA("67.1. Considero que los medios empleados para la difusión de información de mi programa académico son: VERACES.",$A$362)</f>
        <v>0.1377245508982036</v>
      </c>
      <c r="G365" s="217">
        <f>+GETPIVOTDATA("67.1. Considero que los medios empleados para la difusión de información de mi programa académico son: VERACES.",$A$362,"67.1. Considero que los medios empleados para la difusión de información de mi programa académico son: VERACES.","No sabe / No puede opinar al respecto")/GETPIVOTDATA("67.1. Considero que los medios empleados para la difusión de información de mi programa académico son: VERACES.",$A$362)</f>
        <v>5.3892215568862277E-2</v>
      </c>
      <c r="I365" s="217">
        <f>SUM(B365:H365)</f>
        <v>1</v>
      </c>
    </row>
    <row r="366" spans="1:9" ht="15" x14ac:dyDescent="0.25">
      <c r="A366"/>
      <c r="B366" s="164" t="s">
        <v>2816</v>
      </c>
      <c r="C366"/>
      <c r="D366"/>
      <c r="E366"/>
      <c r="F366"/>
      <c r="G366"/>
      <c r="H366"/>
      <c r="I366"/>
    </row>
    <row r="367" spans="1:9" ht="15" x14ac:dyDescent="0.25">
      <c r="A367"/>
      <c r="B367" t="s">
        <v>1093</v>
      </c>
      <c r="C367" t="s">
        <v>1</v>
      </c>
      <c r="D367" t="s">
        <v>2</v>
      </c>
      <c r="E367" t="s">
        <v>3</v>
      </c>
      <c r="F367" t="s">
        <v>1092</v>
      </c>
      <c r="G367" t="s">
        <v>5</v>
      </c>
      <c r="H367" t="s">
        <v>1358</v>
      </c>
      <c r="I367" t="s">
        <v>1096</v>
      </c>
    </row>
    <row r="368" spans="1:9" ht="105" x14ac:dyDescent="0.25">
      <c r="A368" s="166" t="s">
        <v>1187</v>
      </c>
      <c r="B368" s="165">
        <v>11</v>
      </c>
      <c r="C368" s="165">
        <v>14</v>
      </c>
      <c r="D368" s="165">
        <v>57</v>
      </c>
      <c r="E368" s="165">
        <v>59</v>
      </c>
      <c r="F368" s="165">
        <v>18</v>
      </c>
      <c r="G368" s="165">
        <v>8</v>
      </c>
      <c r="H368" s="165"/>
      <c r="I368" s="165">
        <v>167</v>
      </c>
    </row>
    <row r="369" spans="1:9" ht="15" x14ac:dyDescent="0.25">
      <c r="A369"/>
      <c r="B369" s="215">
        <f>+GETPIVOTDATA("67.2. Considero que los medios empleados para la difusión de información de mi programa académico son: OPORTUNOS.",$A$366,"67.2. Considero que los medios empleados para la difusión de información de mi programa académico son: OPORTUNOS.","Totalmente en desacuerdo / NO")/GETPIVOTDATA("67.2. Considero que los medios empleados para la difusión de información de mi programa académico son: OPORTUNOS.",$A$366)</f>
        <v>6.5868263473053898E-2</v>
      </c>
      <c r="C369" s="217">
        <f>+GETPIVOTDATA("67.2. Considero que los medios empleados para la difusión de información de mi programa académico son: OPORTUNOS.",$A$366,"67.2. Considero que los medios empleados para la difusión de información de mi programa académico son: OPORTUNOS.","En desacuerdo")/GETPIVOTDATA("67.2. Considero que los medios empleados para la difusión de información de mi programa académico son: OPORTUNOS.",$A$366)</f>
        <v>8.3832335329341312E-2</v>
      </c>
      <c r="D369" s="217">
        <f>+GETPIVOTDATA("67.2. Considero que los medios empleados para la difusión de información de mi programa académico son: OPORTUNOS.",$A$366,"67.2. Considero que los medios empleados para la difusión de información de mi programa académico son: OPORTUNOS.","Medianamente de acuerdo")/GETPIVOTDATA("67.2. Considero que los medios empleados para la difusión de información de mi programa académico son: OPORTUNOS.",$A$366)</f>
        <v>0.3413173652694611</v>
      </c>
      <c r="E369" s="217">
        <f>+GETPIVOTDATA("67.2. Considero que los medios empleados para la difusión de información de mi programa académico son: OPORTUNOS.",$A$366,"67.2. Considero que los medios empleados para la difusión de información de mi programa académico son: OPORTUNOS.","De acuerdo")/GETPIVOTDATA("67.2. Considero que los medios empleados para la difusión de información de mi programa académico son: OPORTUNOS.",$A$366)</f>
        <v>0.3532934131736527</v>
      </c>
      <c r="F369" s="217">
        <f>+GETPIVOTDATA("67.2. Considero que los medios empleados para la difusión de información de mi programa académico son: OPORTUNOS.",$A$366,"67.2. Considero que los medios empleados para la difusión de información de mi programa académico son: OPORTUNOS.","Totalmente de acuerdo / SI")/GETPIVOTDATA("67.2. Considero que los medios empleados para la difusión de información de mi programa académico son: OPORTUNOS.",$A$366)</f>
        <v>0.10778443113772455</v>
      </c>
      <c r="G369" s="217">
        <f>+GETPIVOTDATA("67.2. Considero que los medios empleados para la difusión de información de mi programa académico son: OPORTUNOS.",$A$366,"67.2. Considero que los medios empleados para la difusión de información de mi programa académico son: OPORTUNOS.","No sabe / No puede opinar al respecto")/GETPIVOTDATA("67.2. Considero que los medios empleados para la difusión de información de mi programa académico son: OPORTUNOS.",$A$366)</f>
        <v>4.790419161676647E-2</v>
      </c>
      <c r="I369" s="217">
        <f>SUM(B369:H369)</f>
        <v>1</v>
      </c>
    </row>
    <row r="370" spans="1:9" ht="15" x14ac:dyDescent="0.25">
      <c r="A370"/>
      <c r="B370" s="164" t="s">
        <v>2816</v>
      </c>
      <c r="C370"/>
      <c r="D370"/>
      <c r="E370"/>
      <c r="F370"/>
      <c r="G370"/>
      <c r="H370"/>
      <c r="I370"/>
    </row>
    <row r="371" spans="1:9" ht="15" x14ac:dyDescent="0.25">
      <c r="A371"/>
      <c r="B371" t="s">
        <v>1093</v>
      </c>
      <c r="C371" t="s">
        <v>1</v>
      </c>
      <c r="D371" t="s">
        <v>2</v>
      </c>
      <c r="E371" t="s">
        <v>3</v>
      </c>
      <c r="F371" t="s">
        <v>1092</v>
      </c>
      <c r="G371" t="s">
        <v>5</v>
      </c>
      <c r="H371" t="s">
        <v>1358</v>
      </c>
      <c r="I371" t="s">
        <v>1096</v>
      </c>
    </row>
    <row r="372" spans="1:9" ht="90" x14ac:dyDescent="0.25">
      <c r="A372" s="166" t="s">
        <v>1188</v>
      </c>
      <c r="B372" s="165">
        <v>10</v>
      </c>
      <c r="C372" s="165">
        <v>12</v>
      </c>
      <c r="D372" s="165">
        <v>50</v>
      </c>
      <c r="E372" s="165">
        <v>65</v>
      </c>
      <c r="F372" s="165">
        <v>20</v>
      </c>
      <c r="G372" s="165">
        <v>10</v>
      </c>
      <c r="H372" s="165"/>
      <c r="I372" s="165">
        <v>167</v>
      </c>
    </row>
    <row r="373" spans="1:9" ht="15" x14ac:dyDescent="0.25">
      <c r="A373"/>
      <c r="B373" s="215">
        <f>+GETPIVOTDATA("68. Considero que las orientaciones de los directivos de mi programa académico son adecuadas. ",$A$370,"68. Considero que las orientaciones de los directivos de mi programa académico son adecuadas. ","Totalmente en desacuerdo / NO")/GETPIVOTDATA("68. Considero que las orientaciones de los directivos de mi programa académico son adecuadas. ",$A$370)</f>
        <v>5.9880239520958084E-2</v>
      </c>
      <c r="C373" s="217">
        <f>+GETPIVOTDATA("68. Considero que las orientaciones de los directivos de mi programa académico son adecuadas. ",$A$370,"68. Considero que las orientaciones de los directivos de mi programa académico son adecuadas. ","En desacuerdo")/GETPIVOTDATA("68. Considero que las orientaciones de los directivos de mi programa académico son adecuadas. ",$A$370)</f>
        <v>7.1856287425149698E-2</v>
      </c>
      <c r="D373" s="217">
        <f>+GETPIVOTDATA("68. Considero que las orientaciones de los directivos de mi programa académico son adecuadas. ",$A$370,"68. Considero que las orientaciones de los directivos de mi programa académico son adecuadas. ","Medianamente de acuerdo")/GETPIVOTDATA("68. Considero que las orientaciones de los directivos de mi programa académico son adecuadas. ",$A$370)</f>
        <v>0.29940119760479039</v>
      </c>
      <c r="E373" s="217">
        <f>+GETPIVOTDATA("68. Considero que las orientaciones de los directivos de mi programa académico son adecuadas. ",$A$370,"68. Considero que las orientaciones de los directivos de mi programa académico son adecuadas. ","De acuerdo")/GETPIVOTDATA("68. Considero que las orientaciones de los directivos de mi programa académico son adecuadas. ",$A$370)</f>
        <v>0.38922155688622756</v>
      </c>
      <c r="F373" s="217">
        <f>+GETPIVOTDATA("68. Considero que las orientaciones de los directivos de mi programa académico son adecuadas. ",$A$370,"68. Considero que las orientaciones de los directivos de mi programa académico son adecuadas. ","Totalmente de acuerdo / SI")/GETPIVOTDATA("68. Considero que las orientaciones de los directivos de mi programa académico son adecuadas. ",$A$370)</f>
        <v>0.11976047904191617</v>
      </c>
      <c r="G373" s="217">
        <f>+GETPIVOTDATA("68. Considero que las orientaciones de los directivos de mi programa académico son adecuadas. ",$A$370,"68. Considero que las orientaciones de los directivos de mi programa académico son adecuadas. ","No sabe / No puede opinar al respecto")/GETPIVOTDATA("68. Considero que las orientaciones de los directivos de mi programa académico son adecuadas. ",$A$370)</f>
        <v>5.9880239520958084E-2</v>
      </c>
      <c r="I373" s="217">
        <f>SUM(B373:H373)</f>
        <v>1</v>
      </c>
    </row>
    <row r="374" spans="1:9" ht="15" x14ac:dyDescent="0.25">
      <c r="A374"/>
      <c r="B374" s="164" t="s">
        <v>2816</v>
      </c>
      <c r="C374"/>
      <c r="D374"/>
      <c r="E374"/>
      <c r="F374"/>
      <c r="G374"/>
      <c r="H374"/>
      <c r="I374"/>
    </row>
    <row r="375" spans="1:9" ht="15" x14ac:dyDescent="0.25">
      <c r="A375"/>
      <c r="B375" t="s">
        <v>1093</v>
      </c>
      <c r="C375" t="s">
        <v>1</v>
      </c>
      <c r="D375" t="s">
        <v>2</v>
      </c>
      <c r="E375" t="s">
        <v>3</v>
      </c>
      <c r="F375" t="s">
        <v>1092</v>
      </c>
      <c r="G375" t="s">
        <v>5</v>
      </c>
      <c r="H375" t="s">
        <v>1358</v>
      </c>
      <c r="I375" t="s">
        <v>1096</v>
      </c>
    </row>
    <row r="376" spans="1:9" ht="105" x14ac:dyDescent="0.25">
      <c r="A376" s="166" t="s">
        <v>1189</v>
      </c>
      <c r="B376" s="165">
        <v>11</v>
      </c>
      <c r="C376" s="165">
        <v>16</v>
      </c>
      <c r="D376" s="165">
        <v>52</v>
      </c>
      <c r="E376" s="165">
        <v>53</v>
      </c>
      <c r="F376" s="165">
        <v>19</v>
      </c>
      <c r="G376" s="165">
        <v>16</v>
      </c>
      <c r="H376" s="165"/>
      <c r="I376" s="165">
        <v>167</v>
      </c>
    </row>
    <row r="377" spans="1:9" ht="15" x14ac:dyDescent="0.25">
      <c r="A377"/>
      <c r="B377" s="215">
        <f>+GETPIVOTDATA("69. Considero que el liderazgo ejercido por los directivos de mi programa académico es idóneo.",$A$374,"69. Considero que el liderazgo ejercido por los directivos de mi programa académico es idóneo.","Totalmente en desacuerdo / NO")/GETPIVOTDATA("69. Considero que el liderazgo ejercido por los directivos de mi programa académico es idóneo.",$A$374)</f>
        <v>6.5868263473053898E-2</v>
      </c>
      <c r="C377" s="217">
        <f>+GETPIVOTDATA("69. Considero que el liderazgo ejercido por los directivos de mi programa académico es idóneo.",$A$374,"69. Considero que el liderazgo ejercido por los directivos de mi programa académico es idóneo.","En desacuerdo")/GETPIVOTDATA("69. Considero que el liderazgo ejercido por los directivos de mi programa académico es idóneo.",$A$374)</f>
        <v>9.580838323353294E-2</v>
      </c>
      <c r="D377" s="217">
        <f>+GETPIVOTDATA("69. Considero que el liderazgo ejercido por los directivos de mi programa académico es idóneo.",$A$374,"69. Considero que el liderazgo ejercido por los directivos de mi programa académico es idóneo.","Medianamente de acuerdo")/GETPIVOTDATA("69. Considero que el liderazgo ejercido por los directivos de mi programa académico es idóneo.",$A$374)</f>
        <v>0.31137724550898205</v>
      </c>
      <c r="E377" s="217">
        <f>+GETPIVOTDATA("69. Considero que el liderazgo ejercido por los directivos de mi programa académico es idóneo.",$A$374,"69. Considero que el liderazgo ejercido por los directivos de mi programa académico es idóneo.","De acuerdo")/GETPIVOTDATA("69. Considero que el liderazgo ejercido por los directivos de mi programa académico es idóneo.",$A$374)</f>
        <v>0.31736526946107785</v>
      </c>
      <c r="F377" s="217">
        <f>+GETPIVOTDATA("69. Considero que el liderazgo ejercido por los directivos de mi programa académico es idóneo.",$A$374,"69. Considero que el liderazgo ejercido por los directivos de mi programa académico es idóneo.","Totalmente de acuerdo / SI")/GETPIVOTDATA("69. Considero que el liderazgo ejercido por los directivos de mi programa académico es idóneo.",$A$374)</f>
        <v>0.11377245508982035</v>
      </c>
      <c r="G377" s="217">
        <f>+GETPIVOTDATA("69. Considero que el liderazgo ejercido por los directivos de mi programa académico es idóneo.",$A$374,"69. Considero que el liderazgo ejercido por los directivos de mi programa académico es idóneo.","No sabe / No puede opinar al respecto")/GETPIVOTDATA("69. Considero que el liderazgo ejercido por los directivos de mi programa académico es idóneo.",$A$374)</f>
        <v>9.580838323353294E-2</v>
      </c>
      <c r="I377" s="217">
        <f>SUM(B377:H377)</f>
        <v>1</v>
      </c>
    </row>
    <row r="378" spans="1:9" ht="15" x14ac:dyDescent="0.25">
      <c r="A378"/>
      <c r="B378" s="164" t="s">
        <v>2816</v>
      </c>
      <c r="C378"/>
      <c r="D378"/>
      <c r="E378"/>
      <c r="F378"/>
      <c r="G378"/>
      <c r="H378"/>
      <c r="I378"/>
    </row>
    <row r="379" spans="1:9" ht="15" x14ac:dyDescent="0.25">
      <c r="A379"/>
      <c r="B379" t="s">
        <v>1093</v>
      </c>
      <c r="C379" t="s">
        <v>1</v>
      </c>
      <c r="D379" t="s">
        <v>2</v>
      </c>
      <c r="E379" t="s">
        <v>3</v>
      </c>
      <c r="F379" t="s">
        <v>1092</v>
      </c>
      <c r="G379" t="s">
        <v>5</v>
      </c>
      <c r="H379" t="s">
        <v>1358</v>
      </c>
      <c r="I379" t="s">
        <v>1096</v>
      </c>
    </row>
    <row r="380" spans="1:9" ht="75" x14ac:dyDescent="0.25">
      <c r="A380" s="166" t="s">
        <v>1190</v>
      </c>
      <c r="B380" s="165">
        <v>17</v>
      </c>
      <c r="C380" s="165">
        <v>12</v>
      </c>
      <c r="D380" s="165">
        <v>53</v>
      </c>
      <c r="E380" s="165">
        <v>53</v>
      </c>
      <c r="F380" s="165">
        <v>28</v>
      </c>
      <c r="G380" s="165">
        <v>4</v>
      </c>
      <c r="H380" s="165"/>
      <c r="I380" s="165">
        <v>167</v>
      </c>
    </row>
    <row r="381" spans="1:9" ht="15" x14ac:dyDescent="0.25">
      <c r="A381"/>
      <c r="B381" s="215">
        <f>+GETPIVOTDATA("70.1. Considero que la planta física de mi programa académico es: ADECUADA.",$A$378,"70.1. Considero que la planta física de mi programa académico es: ADECUADA.","Totalmente en desacuerdo / NO")/GETPIVOTDATA("70.1. Considero que la planta física de mi programa académico es: ADECUADA.",$A$378)</f>
        <v>0.10179640718562874</v>
      </c>
      <c r="C381" s="217">
        <f>+GETPIVOTDATA("70.1. Considero que la planta física de mi programa académico es: ADECUADA.",$A$378,"70.1. Considero que la planta física de mi programa académico es: ADECUADA.","En desacuerdo")/GETPIVOTDATA("70.1. Considero que la planta física de mi programa académico es: ADECUADA.",$A$378)</f>
        <v>7.1856287425149698E-2</v>
      </c>
      <c r="D381" s="217">
        <f>+GETPIVOTDATA("70.1. Considero que la planta física de mi programa académico es: ADECUADA.",$A$378,"70.1. Considero que la planta física de mi programa académico es: ADECUADA.","Medianamente de acuerdo")/GETPIVOTDATA("70.1. Considero que la planta física de mi programa académico es: ADECUADA.",$A$378)</f>
        <v>0.31736526946107785</v>
      </c>
      <c r="E381" s="217">
        <f>+GETPIVOTDATA("70.1. Considero que la planta física de mi programa académico es: ADECUADA.",$A$378,"70.1. Considero que la planta física de mi programa académico es: ADECUADA.","De acuerdo")/GETPIVOTDATA("70.1. Considero que la planta física de mi programa académico es: ADECUADA.",$A$378)</f>
        <v>0.31736526946107785</v>
      </c>
      <c r="F381" s="217">
        <f>+GETPIVOTDATA("70.1. Considero que la planta física de mi programa académico es: ADECUADA.",$A$378,"70.1. Considero que la planta física de mi programa académico es: ADECUADA.","Totalmente de acuerdo / SI")/GETPIVOTDATA("70.1. Considero que la planta física de mi programa académico es: ADECUADA.",$A$378)</f>
        <v>0.16766467065868262</v>
      </c>
      <c r="G381" s="217">
        <f>+GETPIVOTDATA("70.1. Considero que la planta física de mi programa académico es: ADECUADA.",$A$378,"70.1. Considero que la planta física de mi programa académico es: ADECUADA.","No sabe / No puede opinar al respecto")/GETPIVOTDATA("70.1. Considero que la planta física de mi programa académico es: ADECUADA.",$A$378)</f>
        <v>2.3952095808383235E-2</v>
      </c>
      <c r="I381" s="217">
        <f>SUM(B381:H381)</f>
        <v>1</v>
      </c>
    </row>
    <row r="382" spans="1:9" ht="15" x14ac:dyDescent="0.25">
      <c r="A382"/>
      <c r="B382" s="164" t="s">
        <v>2816</v>
      </c>
      <c r="C382"/>
      <c r="D382"/>
      <c r="E382"/>
      <c r="F382"/>
      <c r="G382"/>
      <c r="H382"/>
      <c r="I382"/>
    </row>
    <row r="383" spans="1:9" ht="15" x14ac:dyDescent="0.25">
      <c r="A383"/>
      <c r="B383" t="s">
        <v>1093</v>
      </c>
      <c r="C383" t="s">
        <v>1</v>
      </c>
      <c r="D383" t="s">
        <v>2</v>
      </c>
      <c r="E383" t="s">
        <v>3</v>
      </c>
      <c r="F383" t="s">
        <v>1092</v>
      </c>
      <c r="G383" t="s">
        <v>5</v>
      </c>
      <c r="H383" t="s">
        <v>1358</v>
      </c>
      <c r="I383" t="s">
        <v>1096</v>
      </c>
    </row>
    <row r="384" spans="1:9" ht="75" x14ac:dyDescent="0.25">
      <c r="A384" s="166" t="s">
        <v>1191</v>
      </c>
      <c r="B384" s="165">
        <v>21</v>
      </c>
      <c r="C384" s="165">
        <v>20</v>
      </c>
      <c r="D384" s="165">
        <v>54</v>
      </c>
      <c r="E384" s="165">
        <v>45</v>
      </c>
      <c r="F384" s="165">
        <v>21</v>
      </c>
      <c r="G384" s="165">
        <v>6</v>
      </c>
      <c r="H384" s="165"/>
      <c r="I384" s="165">
        <v>167</v>
      </c>
    </row>
    <row r="385" spans="1:9" ht="15" x14ac:dyDescent="0.25">
      <c r="A385"/>
      <c r="B385" s="215">
        <f>+GETPIVOTDATA("70.2. Considero que la planta física de mi programa académico es: SUFICIENTE.",$A$382,"70.2. Considero que la planta física de mi programa académico es: SUFICIENTE.","Totalmente en desacuerdo / NO")/GETPIVOTDATA("70.2. Considero que la planta física de mi programa académico es: SUFICIENTE.",$A$382)</f>
        <v>0.12574850299401197</v>
      </c>
      <c r="C385" s="217">
        <f>+GETPIVOTDATA("70.2. Considero que la planta física de mi programa académico es: SUFICIENTE.",$A$382,"70.2. Considero que la planta física de mi programa académico es: SUFICIENTE.","En desacuerdo")/GETPIVOTDATA("70.2. Considero que la planta física de mi programa académico es: SUFICIENTE.",$A$382)</f>
        <v>0.11976047904191617</v>
      </c>
      <c r="D385" s="217">
        <f>+GETPIVOTDATA("70.2. Considero que la planta física de mi programa académico es: SUFICIENTE.",$A$382,"70.2. Considero que la planta física de mi programa académico es: SUFICIENTE.","Medianamente de acuerdo")/GETPIVOTDATA("70.2. Considero que la planta física de mi programa académico es: SUFICIENTE.",$A$382)</f>
        <v>0.32335329341317365</v>
      </c>
      <c r="E385" s="217">
        <f>+GETPIVOTDATA("70.2. Considero que la planta física de mi programa académico es: SUFICIENTE.",$A$382,"70.2. Considero que la planta física de mi programa académico es: SUFICIENTE.","De acuerdo")/GETPIVOTDATA("70.2. Considero que la planta física de mi programa académico es: SUFICIENTE.",$A$382)</f>
        <v>0.26946107784431139</v>
      </c>
      <c r="F385" s="217">
        <f>+GETPIVOTDATA("70.2. Considero que la planta física de mi programa académico es: SUFICIENTE.",$A$382,"70.2. Considero que la planta física de mi programa académico es: SUFICIENTE.","Totalmente de acuerdo / SI")/GETPIVOTDATA("70.2. Considero que la planta física de mi programa académico es: SUFICIENTE.",$A$382)</f>
        <v>0.12574850299401197</v>
      </c>
      <c r="G385" s="217">
        <f>+GETPIVOTDATA("70.2. Considero que la planta física de mi programa académico es: SUFICIENTE.",$A$382,"70.2. Considero que la planta física de mi programa académico es: SUFICIENTE.","No sabe / No puede opinar al respecto")/GETPIVOTDATA("70.2. Considero que la planta física de mi programa académico es: SUFICIENTE.",$A$382)</f>
        <v>3.5928143712574849E-2</v>
      </c>
      <c r="I385" s="217">
        <f>SUM(B385:H385)</f>
        <v>0.99999999999999989</v>
      </c>
    </row>
    <row r="386" spans="1:9" ht="15" x14ac:dyDescent="0.25">
      <c r="A386"/>
      <c r="B386" s="164" t="s">
        <v>2816</v>
      </c>
      <c r="C386"/>
      <c r="D386"/>
      <c r="E386"/>
      <c r="F386"/>
      <c r="G386"/>
      <c r="H386"/>
      <c r="I386"/>
    </row>
    <row r="387" spans="1:9" ht="15" x14ac:dyDescent="0.25">
      <c r="A387"/>
      <c r="B387" t="s">
        <v>1093</v>
      </c>
      <c r="C387" t="s">
        <v>1</v>
      </c>
      <c r="D387" t="s">
        <v>2</v>
      </c>
      <c r="E387" t="s">
        <v>3</v>
      </c>
      <c r="F387" t="s">
        <v>1092</v>
      </c>
      <c r="G387" t="s">
        <v>5</v>
      </c>
      <c r="H387" t="s">
        <v>1358</v>
      </c>
      <c r="I387" t="s">
        <v>1096</v>
      </c>
    </row>
    <row r="388" spans="1:9" ht="75" x14ac:dyDescent="0.25">
      <c r="A388" s="166" t="s">
        <v>1192</v>
      </c>
      <c r="B388" s="165">
        <v>14</v>
      </c>
      <c r="C388" s="165">
        <v>8</v>
      </c>
      <c r="D388" s="165">
        <v>59</v>
      </c>
      <c r="E388" s="165">
        <v>54</v>
      </c>
      <c r="F388" s="165">
        <v>26</v>
      </c>
      <c r="G388" s="165">
        <v>6</v>
      </c>
      <c r="H388" s="165"/>
      <c r="I388" s="165">
        <v>167</v>
      </c>
    </row>
    <row r="389" spans="1:9" ht="15" x14ac:dyDescent="0.25">
      <c r="A389"/>
      <c r="B389" s="215">
        <f>+GETPIVOTDATA("70.3. Considero que la planta física de mi programa académico es: CONSERVADA.",$A$386,"70.3. Considero que la planta física de mi programa académico es: CONSERVADA.","Totalmente en desacuerdo / NO")/GETPIVOTDATA("70.3. Considero que la planta física de mi programa académico es: CONSERVADA.",$A$386)</f>
        <v>8.3832335329341312E-2</v>
      </c>
      <c r="C389" s="217">
        <f>+GETPIVOTDATA("70.3. Considero que la planta física de mi programa académico es: CONSERVADA.",$A$386,"70.3. Considero que la planta física de mi programa académico es: CONSERVADA.","En desacuerdo")/GETPIVOTDATA("70.3. Considero que la planta física de mi programa académico es: CONSERVADA.",$A$386)</f>
        <v>4.790419161676647E-2</v>
      </c>
      <c r="D389" s="217">
        <f>+GETPIVOTDATA("70.3. Considero que la planta física de mi programa académico es: CONSERVADA.",$A$386,"70.3. Considero que la planta física de mi programa académico es: CONSERVADA.","Medianamente de acuerdo")/GETPIVOTDATA("70.3. Considero que la planta física de mi programa académico es: CONSERVADA.",$A$386)</f>
        <v>0.3532934131736527</v>
      </c>
      <c r="E389" s="217">
        <f>+GETPIVOTDATA("70.3. Considero que la planta física de mi programa académico es: CONSERVADA.",$A$386,"70.3. Considero que la planta física de mi programa académico es: CONSERVADA.","De acuerdo")/GETPIVOTDATA("70.3. Considero que la planta física de mi programa académico es: CONSERVADA.",$A$386)</f>
        <v>0.32335329341317365</v>
      </c>
      <c r="F389" s="217">
        <f>+GETPIVOTDATA("70.3. Considero que la planta física de mi programa académico es: CONSERVADA.",$A$386,"70.3. Considero que la planta física de mi programa académico es: CONSERVADA.","Totalmente de acuerdo / SI")/GETPIVOTDATA("70.3. Considero que la planta física de mi programa académico es: CONSERVADA.",$A$386)</f>
        <v>0.15568862275449102</v>
      </c>
      <c r="G389" s="217">
        <f>+GETPIVOTDATA("70.3. Considero que la planta física de mi programa académico es: CONSERVADA.",$A$386,"70.3. Considero que la planta física de mi programa académico es: CONSERVADA.","No sabe / No puede opinar al respecto")/GETPIVOTDATA("70.3. Considero que la planta física de mi programa académico es: CONSERVADA.",$A$386)</f>
        <v>3.5928143712574849E-2</v>
      </c>
      <c r="I389" s="217">
        <f>SUM(B389:H389)</f>
        <v>1</v>
      </c>
    </row>
    <row r="390" spans="1:9" ht="15" x14ac:dyDescent="0.25">
      <c r="A390"/>
      <c r="B390"/>
    </row>
    <row r="391" spans="1:9" ht="15" x14ac:dyDescent="0.25">
      <c r="A391"/>
      <c r="B391"/>
    </row>
    <row r="392" spans="1:9" ht="15" x14ac:dyDescent="0.25">
      <c r="A392"/>
      <c r="B392"/>
    </row>
    <row r="393" spans="1:9" ht="15" x14ac:dyDescent="0.25">
      <c r="A393"/>
      <c r="B393"/>
    </row>
    <row r="394" spans="1:9" ht="15" x14ac:dyDescent="0.25">
      <c r="A394"/>
      <c r="B39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CN1" workbookViewId="0">
      <pane xSplit="5" ySplit="1" topLeftCell="CS2" activePane="bottomRight" state="frozen"/>
      <selection activeCell="CN1" sqref="CN1"/>
      <selection pane="topRight" activeCell="CS1" sqref="CS1"/>
      <selection pane="bottomLeft" activeCell="A2" sqref="A2:CU28"/>
      <selection pane="bottomRight"/>
    </sheetView>
  </sheetViews>
  <sheetFormatPr baseColWidth="10" defaultColWidth="14.42578125" defaultRowHeight="15.75" customHeight="1" x14ac:dyDescent="0.2"/>
  <cols>
    <col min="1" max="1" width="21.42578125" style="172" customWidth="1"/>
    <col min="2" max="2" width="40.7109375" style="172" customWidth="1"/>
    <col min="3" max="99" width="21.42578125" style="172" customWidth="1"/>
    <col min="100" max="16384" width="14.42578125" style="172"/>
  </cols>
  <sheetData>
    <row r="1" spans="1:99" ht="15.75" customHeight="1" x14ac:dyDescent="0.2">
      <c r="A1" s="172" t="s">
        <v>988</v>
      </c>
      <c r="B1" s="172" t="s">
        <v>1221</v>
      </c>
      <c r="C1" s="172" t="s">
        <v>1222</v>
      </c>
      <c r="D1" s="172" t="s">
        <v>1223</v>
      </c>
      <c r="E1" s="172" t="s">
        <v>1224</v>
      </c>
      <c r="F1" s="172" t="s">
        <v>1225</v>
      </c>
      <c r="G1" s="172" t="s">
        <v>1226</v>
      </c>
      <c r="H1" s="172" t="s">
        <v>1227</v>
      </c>
      <c r="I1" s="172" t="s">
        <v>1228</v>
      </c>
      <c r="J1" s="172" t="s">
        <v>1229</v>
      </c>
      <c r="K1" s="172" t="s">
        <v>1230</v>
      </c>
      <c r="L1" s="173" t="s">
        <v>1231</v>
      </c>
      <c r="M1" s="173" t="s">
        <v>1232</v>
      </c>
      <c r="N1" s="173" t="s">
        <v>1233</v>
      </c>
      <c r="O1" s="172" t="s">
        <v>1234</v>
      </c>
      <c r="P1" s="172" t="s">
        <v>1235</v>
      </c>
      <c r="Q1" s="172" t="s">
        <v>1236</v>
      </c>
      <c r="R1" s="173" t="s">
        <v>1237</v>
      </c>
      <c r="S1" s="172" t="s">
        <v>1238</v>
      </c>
      <c r="T1" s="172" t="s">
        <v>1239</v>
      </c>
      <c r="U1" s="172" t="s">
        <v>1240</v>
      </c>
      <c r="V1" s="173" t="s">
        <v>1241</v>
      </c>
      <c r="W1" s="173" t="s">
        <v>1242</v>
      </c>
      <c r="X1" s="173" t="s">
        <v>1243</v>
      </c>
      <c r="Y1" s="172" t="s">
        <v>1244</v>
      </c>
      <c r="Z1" s="172" t="s">
        <v>1245</v>
      </c>
      <c r="AA1" s="173" t="s">
        <v>1246</v>
      </c>
      <c r="AB1" s="172" t="s">
        <v>1247</v>
      </c>
      <c r="AC1" s="172" t="s">
        <v>1248</v>
      </c>
      <c r="AD1" s="172" t="s">
        <v>1249</v>
      </c>
      <c r="AE1" s="172" t="s">
        <v>1250</v>
      </c>
      <c r="AF1" s="172" t="s">
        <v>1251</v>
      </c>
      <c r="AG1" s="173" t="s">
        <v>1252</v>
      </c>
      <c r="AH1" s="173" t="s">
        <v>1253</v>
      </c>
      <c r="AI1" s="173" t="s">
        <v>1254</v>
      </c>
      <c r="AJ1" s="173" t="s">
        <v>1255</v>
      </c>
      <c r="AK1" s="173" t="s">
        <v>1256</v>
      </c>
      <c r="AL1" s="173" t="s">
        <v>1257</v>
      </c>
      <c r="AM1" s="173" t="s">
        <v>1258</v>
      </c>
      <c r="AN1" s="173" t="s">
        <v>1259</v>
      </c>
      <c r="AO1" s="173" t="s">
        <v>1260</v>
      </c>
      <c r="AP1" s="173" t="s">
        <v>1261</v>
      </c>
      <c r="AQ1" s="173" t="s">
        <v>1262</v>
      </c>
      <c r="AR1" s="173" t="s">
        <v>1263</v>
      </c>
      <c r="AS1" s="173" t="s">
        <v>1264</v>
      </c>
      <c r="AT1" s="173" t="s">
        <v>1265</v>
      </c>
      <c r="AU1" s="173" t="s">
        <v>1266</v>
      </c>
      <c r="AV1" s="173" t="s">
        <v>1267</v>
      </c>
      <c r="AW1" s="173" t="s">
        <v>1268</v>
      </c>
      <c r="AX1" s="173" t="s">
        <v>1269</v>
      </c>
      <c r="AY1" s="173" t="s">
        <v>1270</v>
      </c>
      <c r="AZ1" s="173" t="s">
        <v>1271</v>
      </c>
      <c r="BA1" s="173" t="s">
        <v>1272</v>
      </c>
      <c r="BB1" s="173" t="s">
        <v>1273</v>
      </c>
      <c r="BC1" s="173" t="s">
        <v>1274</v>
      </c>
      <c r="BD1" s="173" t="s">
        <v>1275</v>
      </c>
      <c r="BE1" s="173" t="s">
        <v>1276</v>
      </c>
      <c r="BF1" s="173" t="s">
        <v>1277</v>
      </c>
      <c r="BG1" s="173" t="s">
        <v>1278</v>
      </c>
      <c r="BH1" s="173" t="s">
        <v>1279</v>
      </c>
      <c r="BI1" s="173" t="s">
        <v>1280</v>
      </c>
      <c r="BJ1" s="173" t="s">
        <v>1281</v>
      </c>
      <c r="BK1" s="173" t="s">
        <v>1282</v>
      </c>
      <c r="BL1" s="173" t="s">
        <v>1283</v>
      </c>
      <c r="BM1" s="173" t="s">
        <v>1284</v>
      </c>
      <c r="BN1" s="173" t="s">
        <v>1285</v>
      </c>
      <c r="BO1" s="173" t="s">
        <v>1286</v>
      </c>
      <c r="BP1" s="173" t="s">
        <v>1287</v>
      </c>
      <c r="BQ1" s="173" t="s">
        <v>1288</v>
      </c>
      <c r="BR1" s="173" t="s">
        <v>1289</v>
      </c>
      <c r="BS1" s="173" t="s">
        <v>1290</v>
      </c>
      <c r="BT1" s="173" t="s">
        <v>1291</v>
      </c>
      <c r="BU1" s="173" t="s">
        <v>1292</v>
      </c>
      <c r="BV1" s="173" t="s">
        <v>1293</v>
      </c>
      <c r="BW1" s="173" t="s">
        <v>1294</v>
      </c>
      <c r="BX1" s="173" t="s">
        <v>1295</v>
      </c>
      <c r="BY1" s="173" t="s">
        <v>1296</v>
      </c>
      <c r="BZ1" s="173" t="s">
        <v>1297</v>
      </c>
      <c r="CA1" s="173" t="s">
        <v>1298</v>
      </c>
      <c r="CB1" s="173" t="s">
        <v>1299</v>
      </c>
      <c r="CC1" s="173" t="s">
        <v>1300</v>
      </c>
      <c r="CD1" s="173" t="s">
        <v>1301</v>
      </c>
      <c r="CE1" s="173" t="s">
        <v>1302</v>
      </c>
      <c r="CF1" s="173" t="s">
        <v>1303</v>
      </c>
      <c r="CG1" s="173" t="s">
        <v>1304</v>
      </c>
      <c r="CH1" s="173" t="s">
        <v>1305</v>
      </c>
      <c r="CI1" s="173" t="s">
        <v>1306</v>
      </c>
      <c r="CJ1" s="173" t="s">
        <v>1307</v>
      </c>
      <c r="CK1" s="173" t="s">
        <v>1308</v>
      </c>
      <c r="CL1" s="173" t="s">
        <v>1309</v>
      </c>
      <c r="CM1" s="173" t="s">
        <v>1310</v>
      </c>
      <c r="CN1" s="173" t="s">
        <v>1311</v>
      </c>
      <c r="CO1" s="173" t="s">
        <v>1312</v>
      </c>
      <c r="CP1" s="173" t="s">
        <v>1313</v>
      </c>
      <c r="CQ1" s="173" t="s">
        <v>1314</v>
      </c>
      <c r="CR1" s="173" t="s">
        <v>1315</v>
      </c>
      <c r="CS1" s="173" t="s">
        <v>1316</v>
      </c>
      <c r="CT1" s="173" t="s">
        <v>1317</v>
      </c>
      <c r="CU1" s="172" t="s">
        <v>1089</v>
      </c>
    </row>
    <row r="2" spans="1:99" ht="15" x14ac:dyDescent="0.25">
      <c r="A2" s="184">
        <v>42716.50589414352</v>
      </c>
      <c r="B2" s="185" t="s">
        <v>2424</v>
      </c>
      <c r="C2" s="185">
        <v>79134027</v>
      </c>
      <c r="D2" s="185" t="s">
        <v>1320</v>
      </c>
      <c r="E2" s="185" t="s">
        <v>1319</v>
      </c>
      <c r="F2" s="185" t="s">
        <v>2425</v>
      </c>
      <c r="G2" s="185" t="s">
        <v>1327</v>
      </c>
      <c r="H2" s="187">
        <v>36552</v>
      </c>
      <c r="I2" s="185" t="s">
        <v>2426</v>
      </c>
      <c r="J2" s="185" t="s">
        <v>2237</v>
      </c>
      <c r="K2" s="185" t="s">
        <v>1092</v>
      </c>
      <c r="L2" s="185" t="s">
        <v>1092</v>
      </c>
      <c r="M2" s="185" t="s">
        <v>1092</v>
      </c>
      <c r="N2" s="185" t="s">
        <v>1092</v>
      </c>
      <c r="O2" s="185" t="s">
        <v>3</v>
      </c>
      <c r="P2" s="185" t="s">
        <v>1092</v>
      </c>
      <c r="Q2" s="185" t="s">
        <v>3</v>
      </c>
      <c r="R2" s="185" t="s">
        <v>3</v>
      </c>
      <c r="S2" s="185" t="s">
        <v>1092</v>
      </c>
      <c r="T2" s="185" t="s">
        <v>2</v>
      </c>
      <c r="U2" s="185" t="s">
        <v>1092</v>
      </c>
      <c r="V2" s="185" t="s">
        <v>1092</v>
      </c>
      <c r="W2" s="185" t="s">
        <v>1092</v>
      </c>
      <c r="X2" s="185" t="s">
        <v>1092</v>
      </c>
      <c r="Y2" s="185" t="s">
        <v>1092</v>
      </c>
      <c r="Z2" s="185" t="s">
        <v>3</v>
      </c>
      <c r="AA2" s="185" t="s">
        <v>1092</v>
      </c>
      <c r="AB2" s="185" t="s">
        <v>1</v>
      </c>
      <c r="AC2" s="185" t="s">
        <v>1092</v>
      </c>
      <c r="AD2" s="185" t="s">
        <v>1092</v>
      </c>
      <c r="AE2" s="185" t="s">
        <v>2</v>
      </c>
      <c r="AF2" s="185" t="s">
        <v>2</v>
      </c>
      <c r="AG2" s="185" t="s">
        <v>3</v>
      </c>
      <c r="AH2" s="185" t="s">
        <v>3</v>
      </c>
      <c r="AI2" s="185" t="s">
        <v>1</v>
      </c>
      <c r="AJ2" s="185" t="s">
        <v>3</v>
      </c>
      <c r="AK2" s="185" t="s">
        <v>2</v>
      </c>
      <c r="AL2" s="185" t="s">
        <v>1093</v>
      </c>
      <c r="AM2" s="185" t="s">
        <v>2</v>
      </c>
      <c r="AN2" s="185" t="s">
        <v>1092</v>
      </c>
      <c r="AO2" s="185" t="s">
        <v>1092</v>
      </c>
      <c r="AP2" s="185" t="s">
        <v>1092</v>
      </c>
      <c r="AQ2" s="185" t="s">
        <v>1092</v>
      </c>
      <c r="AR2" s="185" t="s">
        <v>1092</v>
      </c>
      <c r="AS2" s="185" t="s">
        <v>3</v>
      </c>
      <c r="AT2" s="185" t="s">
        <v>3</v>
      </c>
      <c r="AU2" s="185" t="s">
        <v>2</v>
      </c>
      <c r="AV2" s="185" t="s">
        <v>1092</v>
      </c>
      <c r="AW2" s="185" t="s">
        <v>2</v>
      </c>
      <c r="AX2" s="185" t="s">
        <v>1092</v>
      </c>
      <c r="AY2" s="185" t="s">
        <v>1092</v>
      </c>
      <c r="AZ2" s="185" t="s">
        <v>1092</v>
      </c>
      <c r="BA2" s="185" t="s">
        <v>1092</v>
      </c>
      <c r="BB2" s="185" t="s">
        <v>1092</v>
      </c>
      <c r="BC2" s="185" t="s">
        <v>3</v>
      </c>
      <c r="BD2" s="185" t="s">
        <v>3</v>
      </c>
      <c r="BE2" s="185" t="s">
        <v>3</v>
      </c>
      <c r="BF2" s="185" t="s">
        <v>1</v>
      </c>
      <c r="BG2" s="185" t="s">
        <v>2</v>
      </c>
      <c r="BH2" s="185" t="s">
        <v>1092</v>
      </c>
      <c r="BI2" s="185" t="s">
        <v>1092</v>
      </c>
      <c r="BJ2" s="185" t="s">
        <v>1092</v>
      </c>
      <c r="BK2" s="185" t="s">
        <v>3</v>
      </c>
      <c r="BL2" s="185" t="s">
        <v>3</v>
      </c>
      <c r="BM2" s="185" t="s">
        <v>3</v>
      </c>
      <c r="BN2" s="185" t="s">
        <v>2</v>
      </c>
      <c r="BO2" s="185" t="s">
        <v>3</v>
      </c>
      <c r="BP2" s="185" t="s">
        <v>3</v>
      </c>
      <c r="BQ2" s="185" t="s">
        <v>3</v>
      </c>
      <c r="BR2" s="185" t="s">
        <v>3</v>
      </c>
      <c r="BS2" s="185" t="s">
        <v>2</v>
      </c>
      <c r="BT2" s="185" t="s">
        <v>1092</v>
      </c>
      <c r="BU2" s="185" t="s">
        <v>3</v>
      </c>
      <c r="BV2" s="185" t="s">
        <v>3</v>
      </c>
      <c r="BW2" s="185" t="s">
        <v>2</v>
      </c>
      <c r="BX2" s="185" t="s">
        <v>2</v>
      </c>
      <c r="BY2" s="185" t="s">
        <v>2</v>
      </c>
      <c r="BZ2" s="185" t="s">
        <v>2</v>
      </c>
      <c r="CA2" s="185" t="s">
        <v>3</v>
      </c>
      <c r="CB2" s="185" t="s">
        <v>5</v>
      </c>
      <c r="CC2" s="185" t="s">
        <v>1092</v>
      </c>
      <c r="CD2" s="185" t="s">
        <v>2</v>
      </c>
      <c r="CE2" s="185" t="s">
        <v>1</v>
      </c>
      <c r="CF2" s="185" t="s">
        <v>1</v>
      </c>
      <c r="CG2" s="185" t="s">
        <v>2</v>
      </c>
      <c r="CH2" s="185" t="s">
        <v>1092</v>
      </c>
      <c r="CI2" s="185" t="s">
        <v>1092</v>
      </c>
      <c r="CJ2" s="185" t="s">
        <v>1092</v>
      </c>
      <c r="CK2" s="185" t="s">
        <v>1092</v>
      </c>
      <c r="CL2" s="185" t="s">
        <v>2</v>
      </c>
      <c r="CM2" s="185" t="s">
        <v>2</v>
      </c>
      <c r="CN2" s="185" t="s">
        <v>3</v>
      </c>
      <c r="CO2" s="185" t="s">
        <v>1092</v>
      </c>
      <c r="CP2" s="185" t="s">
        <v>1092</v>
      </c>
      <c r="CQ2" s="185" t="s">
        <v>1092</v>
      </c>
      <c r="CR2" s="185" t="s">
        <v>3</v>
      </c>
      <c r="CS2" s="185" t="s">
        <v>3</v>
      </c>
      <c r="CT2" s="185" t="s">
        <v>3</v>
      </c>
      <c r="CU2" s="188"/>
    </row>
    <row r="3" spans="1:99" ht="15" x14ac:dyDescent="0.25">
      <c r="A3" s="184">
        <v>42716.617709837963</v>
      </c>
      <c r="B3" s="185" t="s">
        <v>2427</v>
      </c>
      <c r="C3" s="185">
        <v>19461636</v>
      </c>
      <c r="D3" s="185" t="s">
        <v>1325</v>
      </c>
      <c r="E3" s="185" t="s">
        <v>1324</v>
      </c>
      <c r="F3" s="185" t="s">
        <v>2428</v>
      </c>
      <c r="G3" s="185" t="s">
        <v>2429</v>
      </c>
      <c r="H3" s="187">
        <v>37469</v>
      </c>
      <c r="I3" s="185" t="s">
        <v>2430</v>
      </c>
      <c r="J3" s="185" t="s">
        <v>2237</v>
      </c>
      <c r="K3" s="185" t="s">
        <v>1092</v>
      </c>
      <c r="L3" s="185" t="s">
        <v>1092</v>
      </c>
      <c r="M3" s="185" t="s">
        <v>1092</v>
      </c>
      <c r="N3" s="185" t="s">
        <v>3</v>
      </c>
      <c r="O3" s="185" t="s">
        <v>1092</v>
      </c>
      <c r="P3" s="185" t="s">
        <v>1092</v>
      </c>
      <c r="Q3" s="185" t="s">
        <v>3</v>
      </c>
      <c r="R3" s="185" t="s">
        <v>1092</v>
      </c>
      <c r="S3" s="185" t="s">
        <v>3</v>
      </c>
      <c r="T3" s="185" t="s">
        <v>3</v>
      </c>
      <c r="U3" s="185" t="s">
        <v>1092</v>
      </c>
      <c r="V3" s="185" t="s">
        <v>3</v>
      </c>
      <c r="W3" s="185" t="s">
        <v>3</v>
      </c>
      <c r="X3" s="185" t="s">
        <v>1092</v>
      </c>
      <c r="Y3" s="185" t="s">
        <v>3</v>
      </c>
      <c r="Z3" s="185" t="s">
        <v>2</v>
      </c>
      <c r="AA3" s="185" t="s">
        <v>3</v>
      </c>
      <c r="AB3" s="185" t="s">
        <v>2</v>
      </c>
      <c r="AC3" s="185" t="s">
        <v>1092</v>
      </c>
      <c r="AD3" s="185" t="s">
        <v>2</v>
      </c>
      <c r="AE3" s="185" t="s">
        <v>2</v>
      </c>
      <c r="AF3" s="185" t="s">
        <v>1</v>
      </c>
      <c r="AG3" s="185" t="s">
        <v>3</v>
      </c>
      <c r="AH3" s="185" t="s">
        <v>2</v>
      </c>
      <c r="AI3" s="185" t="s">
        <v>2</v>
      </c>
      <c r="AJ3" s="185" t="s">
        <v>1</v>
      </c>
      <c r="AK3" s="185" t="s">
        <v>2</v>
      </c>
      <c r="AL3" s="185" t="s">
        <v>1</v>
      </c>
      <c r="AM3" s="185" t="s">
        <v>1</v>
      </c>
      <c r="AN3" s="185" t="s">
        <v>1092</v>
      </c>
      <c r="AO3" s="185" t="s">
        <v>3</v>
      </c>
      <c r="AP3" s="185" t="s">
        <v>3</v>
      </c>
      <c r="AQ3" s="185" t="s">
        <v>3</v>
      </c>
      <c r="AR3" s="185" t="s">
        <v>3</v>
      </c>
      <c r="AS3" s="185" t="s">
        <v>3</v>
      </c>
      <c r="AT3" s="185" t="s">
        <v>1</v>
      </c>
      <c r="AU3" s="185" t="s">
        <v>3</v>
      </c>
      <c r="AV3" s="185" t="s">
        <v>3</v>
      </c>
      <c r="AW3" s="185" t="s">
        <v>2</v>
      </c>
      <c r="AX3" s="185" t="s">
        <v>1092</v>
      </c>
      <c r="AY3" s="185" t="s">
        <v>1092</v>
      </c>
      <c r="AZ3" s="185" t="s">
        <v>1092</v>
      </c>
      <c r="BA3" s="185" t="s">
        <v>1092</v>
      </c>
      <c r="BB3" s="185" t="s">
        <v>1092</v>
      </c>
      <c r="BC3" s="185" t="s">
        <v>1092</v>
      </c>
      <c r="BD3" s="185" t="s">
        <v>3</v>
      </c>
      <c r="BE3" s="185" t="s">
        <v>3</v>
      </c>
      <c r="BF3" s="185" t="s">
        <v>1092</v>
      </c>
      <c r="BG3" s="185" t="s">
        <v>1092</v>
      </c>
      <c r="BH3" s="185" t="s">
        <v>1092</v>
      </c>
      <c r="BI3" s="185" t="s">
        <v>5</v>
      </c>
      <c r="BJ3" s="185" t="s">
        <v>3</v>
      </c>
      <c r="BK3" s="185" t="s">
        <v>2</v>
      </c>
      <c r="BL3" s="185" t="s">
        <v>2</v>
      </c>
      <c r="BM3" s="185" t="s">
        <v>3</v>
      </c>
      <c r="BN3" s="185" t="s">
        <v>3</v>
      </c>
      <c r="BO3" s="185" t="s">
        <v>3</v>
      </c>
      <c r="BP3" s="185" t="s">
        <v>3</v>
      </c>
      <c r="BQ3" s="185" t="s">
        <v>3</v>
      </c>
      <c r="BR3" s="185" t="s">
        <v>3</v>
      </c>
      <c r="BS3" s="185" t="s">
        <v>3</v>
      </c>
      <c r="BT3" s="185" t="s">
        <v>1092</v>
      </c>
      <c r="BU3" s="185" t="s">
        <v>3</v>
      </c>
      <c r="BV3" s="185" t="s">
        <v>3</v>
      </c>
      <c r="BW3" s="185" t="s">
        <v>3</v>
      </c>
      <c r="BX3" s="185" t="s">
        <v>3</v>
      </c>
      <c r="BY3" s="185" t="s">
        <v>3</v>
      </c>
      <c r="BZ3" s="185" t="s">
        <v>3</v>
      </c>
      <c r="CA3" s="185" t="s">
        <v>3</v>
      </c>
      <c r="CB3" s="185" t="s">
        <v>3</v>
      </c>
      <c r="CC3" s="185" t="s">
        <v>3</v>
      </c>
      <c r="CD3" s="185" t="s">
        <v>2</v>
      </c>
      <c r="CE3" s="185" t="s">
        <v>3</v>
      </c>
      <c r="CF3" s="185" t="s">
        <v>3</v>
      </c>
      <c r="CG3" s="185" t="s">
        <v>3</v>
      </c>
      <c r="CH3" s="185" t="s">
        <v>3</v>
      </c>
      <c r="CI3" s="185" t="s">
        <v>3</v>
      </c>
      <c r="CJ3" s="185" t="s">
        <v>3</v>
      </c>
      <c r="CK3" s="185" t="s">
        <v>3</v>
      </c>
      <c r="CL3" s="185" t="s">
        <v>2</v>
      </c>
      <c r="CM3" s="185" t="s">
        <v>3</v>
      </c>
      <c r="CN3" s="185" t="s">
        <v>3</v>
      </c>
      <c r="CO3" s="185" t="s">
        <v>3</v>
      </c>
      <c r="CP3" s="185" t="s">
        <v>3</v>
      </c>
      <c r="CQ3" s="185" t="s">
        <v>3</v>
      </c>
      <c r="CR3" s="185" t="s">
        <v>3</v>
      </c>
      <c r="CS3" s="185" t="s">
        <v>3</v>
      </c>
      <c r="CT3" s="185" t="s">
        <v>3</v>
      </c>
      <c r="CU3" s="188"/>
    </row>
    <row r="4" spans="1:99" ht="12.75" x14ac:dyDescent="0.2">
      <c r="A4" s="184">
        <v>42716.651440856484</v>
      </c>
      <c r="B4" s="185" t="s">
        <v>2431</v>
      </c>
      <c r="C4" s="185">
        <v>79533881</v>
      </c>
      <c r="D4" s="185" t="s">
        <v>1320</v>
      </c>
      <c r="E4" s="185" t="s">
        <v>1321</v>
      </c>
      <c r="F4" s="185" t="s">
        <v>1326</v>
      </c>
      <c r="G4" s="185" t="s">
        <v>1327</v>
      </c>
      <c r="H4" s="187">
        <v>35690</v>
      </c>
      <c r="I4" s="185" t="s">
        <v>2432</v>
      </c>
      <c r="J4" s="185" t="s">
        <v>2237</v>
      </c>
      <c r="K4" s="185" t="s">
        <v>3</v>
      </c>
      <c r="L4" s="185" t="s">
        <v>1092</v>
      </c>
      <c r="M4" s="185" t="s">
        <v>3</v>
      </c>
      <c r="N4" s="185" t="s">
        <v>1</v>
      </c>
      <c r="O4" s="185" t="s">
        <v>3</v>
      </c>
      <c r="P4" s="185" t="s">
        <v>2</v>
      </c>
      <c r="Q4" s="185" t="s">
        <v>3</v>
      </c>
      <c r="R4" s="185" t="s">
        <v>1092</v>
      </c>
      <c r="S4" s="185" t="s">
        <v>1092</v>
      </c>
      <c r="T4" s="185" t="s">
        <v>2</v>
      </c>
      <c r="U4" s="185" t="s">
        <v>3</v>
      </c>
      <c r="V4" s="185" t="s">
        <v>1092</v>
      </c>
      <c r="W4" s="185" t="s">
        <v>3</v>
      </c>
      <c r="X4" s="185" t="s">
        <v>3</v>
      </c>
      <c r="Y4" s="185" t="s">
        <v>3</v>
      </c>
      <c r="Z4" s="185" t="s">
        <v>3</v>
      </c>
      <c r="AA4" s="185" t="s">
        <v>3</v>
      </c>
      <c r="AB4" s="185" t="s">
        <v>1</v>
      </c>
      <c r="AC4" s="185" t="s">
        <v>1092</v>
      </c>
      <c r="AD4" s="185" t="s">
        <v>1092</v>
      </c>
      <c r="AE4" s="185" t="s">
        <v>1</v>
      </c>
      <c r="AF4" s="185" t="s">
        <v>3</v>
      </c>
      <c r="AG4" s="185" t="s">
        <v>3</v>
      </c>
      <c r="AH4" s="185" t="s">
        <v>3</v>
      </c>
      <c r="AI4" s="185" t="s">
        <v>1092</v>
      </c>
      <c r="AJ4" s="185" t="s">
        <v>1092</v>
      </c>
      <c r="AK4" s="185" t="s">
        <v>1092</v>
      </c>
      <c r="AL4" s="185" t="s">
        <v>1092</v>
      </c>
      <c r="AM4" s="185" t="s">
        <v>3</v>
      </c>
      <c r="AN4" s="185" t="s">
        <v>3</v>
      </c>
      <c r="AO4" s="185" t="s">
        <v>3</v>
      </c>
      <c r="AP4" s="185" t="s">
        <v>3</v>
      </c>
      <c r="AQ4" s="185" t="s">
        <v>3</v>
      </c>
      <c r="AR4" s="185" t="s">
        <v>3</v>
      </c>
      <c r="AS4" s="185" t="s">
        <v>3</v>
      </c>
      <c r="AT4" s="185" t="s">
        <v>3</v>
      </c>
      <c r="AU4" s="185" t="s">
        <v>3</v>
      </c>
      <c r="AV4" s="185" t="s">
        <v>3</v>
      </c>
      <c r="AW4" s="185" t="s">
        <v>3</v>
      </c>
      <c r="AX4" s="185" t="s">
        <v>3</v>
      </c>
      <c r="AY4" s="185" t="s">
        <v>3</v>
      </c>
      <c r="AZ4" s="185" t="s">
        <v>3</v>
      </c>
      <c r="BA4" s="185" t="s">
        <v>3</v>
      </c>
      <c r="BB4" s="185" t="s">
        <v>3</v>
      </c>
      <c r="BC4" s="185" t="s">
        <v>3</v>
      </c>
      <c r="BD4" s="185" t="s">
        <v>3</v>
      </c>
      <c r="BE4" s="185" t="s">
        <v>3</v>
      </c>
      <c r="BF4" s="185" t="s">
        <v>3</v>
      </c>
      <c r="BG4" s="185" t="s">
        <v>3</v>
      </c>
      <c r="BH4" s="185" t="s">
        <v>3</v>
      </c>
      <c r="BI4" s="185" t="s">
        <v>1</v>
      </c>
      <c r="BJ4" s="185" t="s">
        <v>2</v>
      </c>
      <c r="BK4" s="185" t="s">
        <v>2</v>
      </c>
      <c r="BL4" s="185" t="s">
        <v>2</v>
      </c>
      <c r="BM4" s="185" t="s">
        <v>2</v>
      </c>
      <c r="BN4" s="185" t="s">
        <v>2</v>
      </c>
      <c r="BO4" s="185" t="s">
        <v>1</v>
      </c>
      <c r="BP4" s="185" t="s">
        <v>2</v>
      </c>
      <c r="BQ4" s="185" t="s">
        <v>3</v>
      </c>
      <c r="BR4" s="185" t="s">
        <v>3</v>
      </c>
      <c r="BS4" s="185" t="s">
        <v>3</v>
      </c>
      <c r="BT4" s="185" t="s">
        <v>3</v>
      </c>
      <c r="BU4" s="185" t="s">
        <v>3</v>
      </c>
      <c r="BV4" s="185" t="s">
        <v>3</v>
      </c>
      <c r="BW4" s="185" t="s">
        <v>3</v>
      </c>
      <c r="BX4" s="185" t="s">
        <v>2</v>
      </c>
      <c r="BY4" s="185" t="s">
        <v>2</v>
      </c>
      <c r="BZ4" s="185" t="s">
        <v>3</v>
      </c>
      <c r="CA4" s="185" t="s">
        <v>3</v>
      </c>
      <c r="CB4" s="185" t="s">
        <v>3</v>
      </c>
      <c r="CC4" s="185" t="s">
        <v>1092</v>
      </c>
      <c r="CD4" s="185" t="s">
        <v>3</v>
      </c>
      <c r="CE4" s="185" t="s">
        <v>3</v>
      </c>
      <c r="CF4" s="185" t="s">
        <v>3</v>
      </c>
      <c r="CG4" s="185" t="s">
        <v>3</v>
      </c>
      <c r="CH4" s="185" t="s">
        <v>2</v>
      </c>
      <c r="CI4" s="185" t="s">
        <v>3</v>
      </c>
      <c r="CJ4" s="185" t="s">
        <v>3</v>
      </c>
      <c r="CK4" s="185" t="s">
        <v>2</v>
      </c>
      <c r="CL4" s="185" t="s">
        <v>3</v>
      </c>
      <c r="CM4" s="185" t="s">
        <v>3</v>
      </c>
      <c r="CN4" s="185" t="s">
        <v>3</v>
      </c>
      <c r="CO4" s="185" t="s">
        <v>3</v>
      </c>
      <c r="CP4" s="185" t="s">
        <v>3</v>
      </c>
      <c r="CQ4" s="185" t="s">
        <v>1092</v>
      </c>
      <c r="CR4" s="185" t="s">
        <v>3</v>
      </c>
      <c r="CS4" s="185" t="s">
        <v>3</v>
      </c>
      <c r="CT4" s="185" t="s">
        <v>2</v>
      </c>
      <c r="CU4" s="185" t="s">
        <v>2433</v>
      </c>
    </row>
    <row r="5" spans="1:99" ht="15" x14ac:dyDescent="0.25">
      <c r="A5" s="184">
        <v>42716.691138240742</v>
      </c>
      <c r="B5" s="185" t="s">
        <v>2434</v>
      </c>
      <c r="C5" s="185">
        <v>79605098</v>
      </c>
      <c r="D5" s="185" t="s">
        <v>1318</v>
      </c>
      <c r="E5" s="185" t="s">
        <v>1324</v>
      </c>
      <c r="F5" s="185" t="s">
        <v>1322</v>
      </c>
      <c r="G5" s="185" t="s">
        <v>2435</v>
      </c>
      <c r="H5" s="187">
        <v>37655</v>
      </c>
      <c r="I5" s="185" t="s">
        <v>2436</v>
      </c>
      <c r="J5" s="185" t="s">
        <v>2237</v>
      </c>
      <c r="K5" s="185" t="s">
        <v>1092</v>
      </c>
      <c r="L5" s="185" t="s">
        <v>1092</v>
      </c>
      <c r="M5" s="185" t="s">
        <v>1092</v>
      </c>
      <c r="N5" s="185" t="s">
        <v>1092</v>
      </c>
      <c r="O5" s="185" t="s">
        <v>3</v>
      </c>
      <c r="P5" s="185" t="s">
        <v>3</v>
      </c>
      <c r="Q5" s="185" t="s">
        <v>1</v>
      </c>
      <c r="R5" s="185" t="s">
        <v>1092</v>
      </c>
      <c r="S5" s="185" t="s">
        <v>1092</v>
      </c>
      <c r="T5" s="185" t="s">
        <v>3</v>
      </c>
      <c r="U5" s="185" t="s">
        <v>1092</v>
      </c>
      <c r="V5" s="185" t="s">
        <v>2</v>
      </c>
      <c r="W5" s="185" t="s">
        <v>2</v>
      </c>
      <c r="X5" s="185" t="s">
        <v>3</v>
      </c>
      <c r="Y5" s="185" t="s">
        <v>1092</v>
      </c>
      <c r="Z5" s="185" t="s">
        <v>2</v>
      </c>
      <c r="AA5" s="185" t="s">
        <v>2</v>
      </c>
      <c r="AB5" s="185" t="s">
        <v>1093</v>
      </c>
      <c r="AC5" s="185" t="s">
        <v>3</v>
      </c>
      <c r="AD5" s="185" t="s">
        <v>5</v>
      </c>
      <c r="AE5" s="185" t="s">
        <v>5</v>
      </c>
      <c r="AF5" s="185" t="s">
        <v>3</v>
      </c>
      <c r="AG5" s="185" t="s">
        <v>2</v>
      </c>
      <c r="AH5" s="185" t="s">
        <v>2</v>
      </c>
      <c r="AI5" s="185" t="s">
        <v>5</v>
      </c>
      <c r="AJ5" s="185" t="s">
        <v>2</v>
      </c>
      <c r="AK5" s="185" t="s">
        <v>2</v>
      </c>
      <c r="AL5" s="185" t="s">
        <v>1092</v>
      </c>
      <c r="AM5" s="185" t="s">
        <v>1092</v>
      </c>
      <c r="AN5" s="185" t="s">
        <v>3</v>
      </c>
      <c r="AO5" s="185" t="s">
        <v>1092</v>
      </c>
      <c r="AP5" s="185" t="s">
        <v>1092</v>
      </c>
      <c r="AQ5" s="185" t="s">
        <v>3</v>
      </c>
      <c r="AR5" s="185" t="s">
        <v>3</v>
      </c>
      <c r="AS5" s="185" t="s">
        <v>1092</v>
      </c>
      <c r="AT5" s="185" t="s">
        <v>1092</v>
      </c>
      <c r="AU5" s="185" t="s">
        <v>1092</v>
      </c>
      <c r="AV5" s="185" t="s">
        <v>1092</v>
      </c>
      <c r="AW5" s="185" t="s">
        <v>3</v>
      </c>
      <c r="AX5" s="185" t="s">
        <v>1092</v>
      </c>
      <c r="AY5" s="185" t="s">
        <v>1092</v>
      </c>
      <c r="AZ5" s="185" t="s">
        <v>3</v>
      </c>
      <c r="BA5" s="185" t="s">
        <v>3</v>
      </c>
      <c r="BB5" s="185" t="s">
        <v>1092</v>
      </c>
      <c r="BC5" s="185" t="s">
        <v>1092</v>
      </c>
      <c r="BD5" s="185" t="s">
        <v>3</v>
      </c>
      <c r="BE5" s="185" t="s">
        <v>3</v>
      </c>
      <c r="BF5" s="185" t="s">
        <v>3</v>
      </c>
      <c r="BG5" s="185" t="s">
        <v>1092</v>
      </c>
      <c r="BH5" s="185" t="s">
        <v>1092</v>
      </c>
      <c r="BI5" s="185" t="s">
        <v>1093</v>
      </c>
      <c r="BJ5" s="185" t="s">
        <v>1092</v>
      </c>
      <c r="BK5" s="185" t="s">
        <v>3</v>
      </c>
      <c r="BL5" s="185" t="s">
        <v>3</v>
      </c>
      <c r="BM5" s="185" t="s">
        <v>3</v>
      </c>
      <c r="BN5" s="185" t="s">
        <v>3</v>
      </c>
      <c r="BO5" s="185" t="s">
        <v>3</v>
      </c>
      <c r="BP5" s="185" t="s">
        <v>3</v>
      </c>
      <c r="BQ5" s="185" t="s">
        <v>3</v>
      </c>
      <c r="BR5" s="185" t="s">
        <v>3</v>
      </c>
      <c r="BS5" s="185" t="s">
        <v>3</v>
      </c>
      <c r="BT5" s="185" t="s">
        <v>1092</v>
      </c>
      <c r="BU5" s="185" t="s">
        <v>3</v>
      </c>
      <c r="BV5" s="185" t="s">
        <v>3</v>
      </c>
      <c r="BW5" s="185" t="s">
        <v>2</v>
      </c>
      <c r="BX5" s="185" t="s">
        <v>3</v>
      </c>
      <c r="BY5" s="185" t="s">
        <v>3</v>
      </c>
      <c r="BZ5" s="185" t="s">
        <v>3</v>
      </c>
      <c r="CA5" s="185" t="s">
        <v>1092</v>
      </c>
      <c r="CB5" s="185" t="s">
        <v>1092</v>
      </c>
      <c r="CC5" s="185" t="s">
        <v>3</v>
      </c>
      <c r="CD5" s="185" t="s">
        <v>3</v>
      </c>
      <c r="CE5" s="185" t="s">
        <v>2</v>
      </c>
      <c r="CF5" s="185" t="s">
        <v>3</v>
      </c>
      <c r="CG5" s="185" t="s">
        <v>3</v>
      </c>
      <c r="CH5" s="185" t="s">
        <v>1092</v>
      </c>
      <c r="CI5" s="185" t="s">
        <v>1092</v>
      </c>
      <c r="CJ5" s="185" t="s">
        <v>3</v>
      </c>
      <c r="CK5" s="185" t="s">
        <v>3</v>
      </c>
      <c r="CL5" s="185" t="s">
        <v>3</v>
      </c>
      <c r="CM5" s="185" t="s">
        <v>2</v>
      </c>
      <c r="CN5" s="185" t="s">
        <v>3</v>
      </c>
      <c r="CO5" s="185" t="s">
        <v>1092</v>
      </c>
      <c r="CP5" s="185" t="s">
        <v>1092</v>
      </c>
      <c r="CQ5" s="185" t="s">
        <v>1092</v>
      </c>
      <c r="CR5" s="185" t="s">
        <v>2</v>
      </c>
      <c r="CS5" s="185" t="s">
        <v>2</v>
      </c>
      <c r="CT5" s="185" t="s">
        <v>2</v>
      </c>
      <c r="CU5" s="188"/>
    </row>
    <row r="6" spans="1:99" ht="15" x14ac:dyDescent="0.25">
      <c r="A6" s="184">
        <v>42716.783439525461</v>
      </c>
      <c r="B6" s="185" t="s">
        <v>2437</v>
      </c>
      <c r="C6" s="185">
        <v>52841780</v>
      </c>
      <c r="D6" s="185" t="s">
        <v>1328</v>
      </c>
      <c r="E6" s="185" t="s">
        <v>1319</v>
      </c>
      <c r="F6" s="185" t="s">
        <v>2438</v>
      </c>
      <c r="G6" s="185" t="s">
        <v>1330</v>
      </c>
      <c r="H6" s="187">
        <v>42282</v>
      </c>
      <c r="I6" s="185" t="s">
        <v>2439</v>
      </c>
      <c r="J6" s="185" t="s">
        <v>2237</v>
      </c>
      <c r="K6" s="185" t="s">
        <v>1092</v>
      </c>
      <c r="L6" s="185" t="s">
        <v>1092</v>
      </c>
      <c r="M6" s="185" t="s">
        <v>1092</v>
      </c>
      <c r="N6" s="185" t="s">
        <v>1092</v>
      </c>
      <c r="O6" s="185" t="s">
        <v>1092</v>
      </c>
      <c r="P6" s="185" t="s">
        <v>1093</v>
      </c>
      <c r="Q6" s="185" t="s">
        <v>1092</v>
      </c>
      <c r="R6" s="185" t="s">
        <v>1092</v>
      </c>
      <c r="S6" s="185" t="s">
        <v>2</v>
      </c>
      <c r="T6" s="185" t="s">
        <v>1092</v>
      </c>
      <c r="U6" s="185" t="s">
        <v>1092</v>
      </c>
      <c r="V6" s="185" t="s">
        <v>1092</v>
      </c>
      <c r="W6" s="185" t="s">
        <v>1092</v>
      </c>
      <c r="X6" s="185" t="s">
        <v>1092</v>
      </c>
      <c r="Y6" s="185" t="s">
        <v>1092</v>
      </c>
      <c r="Z6" s="185" t="s">
        <v>1092</v>
      </c>
      <c r="AA6" s="185" t="s">
        <v>1092</v>
      </c>
      <c r="AB6" s="185" t="s">
        <v>1093</v>
      </c>
      <c r="AC6" s="185" t="s">
        <v>1092</v>
      </c>
      <c r="AD6" s="185" t="s">
        <v>3</v>
      </c>
      <c r="AE6" s="185" t="s">
        <v>1093</v>
      </c>
      <c r="AF6" s="185" t="s">
        <v>1093</v>
      </c>
      <c r="AG6" s="185" t="s">
        <v>1093</v>
      </c>
      <c r="AH6" s="185" t="s">
        <v>5</v>
      </c>
      <c r="AI6" s="185" t="s">
        <v>5</v>
      </c>
      <c r="AJ6" s="185" t="s">
        <v>5</v>
      </c>
      <c r="AK6" s="185" t="s">
        <v>5</v>
      </c>
      <c r="AL6" s="185" t="s">
        <v>2</v>
      </c>
      <c r="AM6" s="185" t="s">
        <v>5</v>
      </c>
      <c r="AN6" s="185" t="s">
        <v>1092</v>
      </c>
      <c r="AO6" s="185" t="s">
        <v>1092</v>
      </c>
      <c r="AP6" s="185" t="s">
        <v>1092</v>
      </c>
      <c r="AQ6" s="185" t="s">
        <v>1092</v>
      </c>
      <c r="AR6" s="185" t="s">
        <v>1092</v>
      </c>
      <c r="AS6" s="185" t="s">
        <v>1092</v>
      </c>
      <c r="AT6" s="185" t="s">
        <v>5</v>
      </c>
      <c r="AU6" s="185" t="s">
        <v>1092</v>
      </c>
      <c r="AV6" s="185" t="s">
        <v>1092</v>
      </c>
      <c r="AW6" s="185" t="s">
        <v>1092</v>
      </c>
      <c r="AX6" s="185" t="s">
        <v>1092</v>
      </c>
      <c r="AY6" s="185" t="s">
        <v>1092</v>
      </c>
      <c r="AZ6" s="185" t="s">
        <v>1092</v>
      </c>
      <c r="BA6" s="185" t="s">
        <v>1092</v>
      </c>
      <c r="BB6" s="185" t="s">
        <v>1092</v>
      </c>
      <c r="BC6" s="185" t="s">
        <v>1092</v>
      </c>
      <c r="BD6" s="185" t="s">
        <v>1092</v>
      </c>
      <c r="BE6" s="185" t="s">
        <v>1092</v>
      </c>
      <c r="BF6" s="185" t="s">
        <v>1092</v>
      </c>
      <c r="BG6" s="185" t="s">
        <v>1092</v>
      </c>
      <c r="BH6" s="185" t="s">
        <v>1092</v>
      </c>
      <c r="BI6" s="185" t="s">
        <v>1093</v>
      </c>
      <c r="BJ6" s="185" t="s">
        <v>5</v>
      </c>
      <c r="BK6" s="185" t="s">
        <v>5</v>
      </c>
      <c r="BL6" s="185" t="s">
        <v>5</v>
      </c>
      <c r="BM6" s="185" t="s">
        <v>5</v>
      </c>
      <c r="BN6" s="185" t="s">
        <v>1092</v>
      </c>
      <c r="BO6" s="185" t="s">
        <v>1092</v>
      </c>
      <c r="BP6" s="185" t="s">
        <v>1092</v>
      </c>
      <c r="BQ6" s="185" t="s">
        <v>5</v>
      </c>
      <c r="BR6" s="185" t="s">
        <v>5</v>
      </c>
      <c r="BS6" s="185" t="s">
        <v>5</v>
      </c>
      <c r="BT6" s="185" t="s">
        <v>5</v>
      </c>
      <c r="BU6" s="185" t="s">
        <v>5</v>
      </c>
      <c r="BV6" s="185" t="s">
        <v>5</v>
      </c>
      <c r="BW6" s="185" t="s">
        <v>5</v>
      </c>
      <c r="BX6" s="185" t="s">
        <v>1092</v>
      </c>
      <c r="BY6" s="185" t="s">
        <v>1092</v>
      </c>
      <c r="BZ6" s="185" t="s">
        <v>1092</v>
      </c>
      <c r="CA6" s="185" t="s">
        <v>1092</v>
      </c>
      <c r="CB6" s="185" t="s">
        <v>5</v>
      </c>
      <c r="CC6" s="185" t="s">
        <v>5</v>
      </c>
      <c r="CD6" s="185" t="s">
        <v>1092</v>
      </c>
      <c r="CE6" s="185" t="s">
        <v>3</v>
      </c>
      <c r="CF6" s="185" t="s">
        <v>3</v>
      </c>
      <c r="CG6" s="185" t="s">
        <v>1</v>
      </c>
      <c r="CH6" s="185" t="s">
        <v>1092</v>
      </c>
      <c r="CI6" s="185" t="s">
        <v>1092</v>
      </c>
      <c r="CJ6" s="185" t="s">
        <v>1092</v>
      </c>
      <c r="CK6" s="185" t="s">
        <v>1092</v>
      </c>
      <c r="CL6" s="185" t="s">
        <v>1092</v>
      </c>
      <c r="CM6" s="185" t="s">
        <v>1092</v>
      </c>
      <c r="CN6" s="185" t="s">
        <v>3</v>
      </c>
      <c r="CO6" s="185" t="s">
        <v>1092</v>
      </c>
      <c r="CP6" s="185" t="s">
        <v>1092</v>
      </c>
      <c r="CQ6" s="185" t="s">
        <v>1092</v>
      </c>
      <c r="CR6" s="185" t="s">
        <v>1092</v>
      </c>
      <c r="CS6" s="185" t="s">
        <v>1092</v>
      </c>
      <c r="CT6" s="185" t="s">
        <v>1092</v>
      </c>
      <c r="CU6" s="188"/>
    </row>
    <row r="7" spans="1:99" ht="12.75" x14ac:dyDescent="0.2">
      <c r="A7" s="184">
        <v>42716.908107187497</v>
      </c>
      <c r="B7" s="185" t="s">
        <v>2440</v>
      </c>
      <c r="C7" s="185">
        <v>80072442</v>
      </c>
      <c r="D7" s="185" t="s">
        <v>1323</v>
      </c>
      <c r="E7" s="185" t="s">
        <v>1319</v>
      </c>
      <c r="F7" s="185" t="s">
        <v>2441</v>
      </c>
      <c r="G7" s="185" t="s">
        <v>2442</v>
      </c>
      <c r="H7" s="187">
        <v>40756</v>
      </c>
      <c r="I7" s="185" t="s">
        <v>2443</v>
      </c>
      <c r="J7" s="185" t="s">
        <v>2271</v>
      </c>
      <c r="K7" s="185" t="s">
        <v>3</v>
      </c>
      <c r="L7" s="185" t="s">
        <v>3</v>
      </c>
      <c r="M7" s="185" t="s">
        <v>1092</v>
      </c>
      <c r="N7" s="185" t="s">
        <v>1092</v>
      </c>
      <c r="O7" s="185" t="s">
        <v>2</v>
      </c>
      <c r="P7" s="185" t="s">
        <v>1093</v>
      </c>
      <c r="Q7" s="185" t="s">
        <v>1092</v>
      </c>
      <c r="R7" s="185" t="s">
        <v>1092</v>
      </c>
      <c r="S7" s="185" t="s">
        <v>1092</v>
      </c>
      <c r="T7" s="185" t="s">
        <v>1092</v>
      </c>
      <c r="U7" s="185" t="s">
        <v>1092</v>
      </c>
      <c r="V7" s="185" t="s">
        <v>3</v>
      </c>
      <c r="W7" s="185" t="s">
        <v>3</v>
      </c>
      <c r="X7" s="185" t="s">
        <v>1092</v>
      </c>
      <c r="Y7" s="185" t="s">
        <v>1092</v>
      </c>
      <c r="Z7" s="185" t="s">
        <v>1092</v>
      </c>
      <c r="AA7" s="185" t="s">
        <v>1092</v>
      </c>
      <c r="AB7" s="185" t="s">
        <v>1092</v>
      </c>
      <c r="AC7" s="185" t="s">
        <v>1092</v>
      </c>
      <c r="AD7" s="185" t="s">
        <v>1093</v>
      </c>
      <c r="AE7" s="185" t="s">
        <v>1093</v>
      </c>
      <c r="AF7" s="185" t="s">
        <v>1</v>
      </c>
      <c r="AG7" s="185" t="s">
        <v>1093</v>
      </c>
      <c r="AH7" s="185" t="s">
        <v>3</v>
      </c>
      <c r="AI7" s="185" t="s">
        <v>5</v>
      </c>
      <c r="AJ7" s="185" t="s">
        <v>2</v>
      </c>
      <c r="AK7" s="185" t="s">
        <v>1092</v>
      </c>
      <c r="AL7" s="185" t="s">
        <v>2</v>
      </c>
      <c r="AM7" s="185" t="s">
        <v>2</v>
      </c>
      <c r="AN7" s="185" t="s">
        <v>1092</v>
      </c>
      <c r="AO7" s="185" t="s">
        <v>1092</v>
      </c>
      <c r="AP7" s="185" t="s">
        <v>1092</v>
      </c>
      <c r="AQ7" s="185" t="s">
        <v>1092</v>
      </c>
      <c r="AR7" s="185" t="s">
        <v>1092</v>
      </c>
      <c r="AS7" s="185" t="s">
        <v>1092</v>
      </c>
      <c r="AT7" s="185" t="s">
        <v>2</v>
      </c>
      <c r="AU7" s="185" t="s">
        <v>3</v>
      </c>
      <c r="AV7" s="185" t="s">
        <v>3</v>
      </c>
      <c r="AW7" s="185" t="s">
        <v>1092</v>
      </c>
      <c r="AX7" s="185" t="s">
        <v>2</v>
      </c>
      <c r="AY7" s="185" t="s">
        <v>1</v>
      </c>
      <c r="AZ7" s="185" t="s">
        <v>1092</v>
      </c>
      <c r="BA7" s="185" t="s">
        <v>3</v>
      </c>
      <c r="BB7" s="185" t="s">
        <v>1092</v>
      </c>
      <c r="BC7" s="185" t="s">
        <v>3</v>
      </c>
      <c r="BD7" s="185" t="s">
        <v>1092</v>
      </c>
      <c r="BE7" s="185" t="s">
        <v>1092</v>
      </c>
      <c r="BF7" s="185" t="s">
        <v>3</v>
      </c>
      <c r="BG7" s="185" t="s">
        <v>3</v>
      </c>
      <c r="BH7" s="185" t="s">
        <v>2</v>
      </c>
      <c r="BI7" s="185" t="s">
        <v>1093</v>
      </c>
      <c r="BJ7" s="185" t="s">
        <v>2</v>
      </c>
      <c r="BK7" s="185" t="s">
        <v>1092</v>
      </c>
      <c r="BL7" s="185" t="s">
        <v>1092</v>
      </c>
      <c r="BM7" s="185" t="s">
        <v>1092</v>
      </c>
      <c r="BN7" s="185" t="s">
        <v>5</v>
      </c>
      <c r="BO7" s="185" t="s">
        <v>5</v>
      </c>
      <c r="BP7" s="185" t="s">
        <v>5</v>
      </c>
      <c r="BQ7" s="185" t="s">
        <v>3</v>
      </c>
      <c r="BR7" s="185" t="s">
        <v>1092</v>
      </c>
      <c r="BS7" s="185" t="s">
        <v>1092</v>
      </c>
      <c r="BT7" s="185" t="s">
        <v>1092</v>
      </c>
      <c r="BU7" s="185" t="s">
        <v>1092</v>
      </c>
      <c r="BV7" s="185" t="s">
        <v>1092</v>
      </c>
      <c r="BW7" s="185" t="s">
        <v>1092</v>
      </c>
      <c r="BX7" s="185" t="s">
        <v>1092</v>
      </c>
      <c r="BY7" s="185" t="s">
        <v>1092</v>
      </c>
      <c r="BZ7" s="185" t="s">
        <v>1092</v>
      </c>
      <c r="CA7" s="185" t="s">
        <v>1092</v>
      </c>
      <c r="CB7" s="185" t="s">
        <v>1093</v>
      </c>
      <c r="CC7" s="185" t="s">
        <v>1</v>
      </c>
      <c r="CD7" s="185" t="s">
        <v>2</v>
      </c>
      <c r="CE7" s="185" t="s">
        <v>5</v>
      </c>
      <c r="CF7" s="185" t="s">
        <v>5</v>
      </c>
      <c r="CG7" s="185" t="s">
        <v>5</v>
      </c>
      <c r="CH7" s="185" t="s">
        <v>1092</v>
      </c>
      <c r="CI7" s="185" t="s">
        <v>1092</v>
      </c>
      <c r="CJ7" s="185" t="s">
        <v>3</v>
      </c>
      <c r="CK7" s="185" t="s">
        <v>1092</v>
      </c>
      <c r="CL7" s="185" t="s">
        <v>3</v>
      </c>
      <c r="CM7" s="185" t="s">
        <v>3</v>
      </c>
      <c r="CN7" s="185" t="s">
        <v>1092</v>
      </c>
      <c r="CO7" s="185" t="s">
        <v>3</v>
      </c>
      <c r="CP7" s="185" t="s">
        <v>3</v>
      </c>
      <c r="CQ7" s="185" t="s">
        <v>3</v>
      </c>
      <c r="CR7" s="185" t="s">
        <v>1092</v>
      </c>
      <c r="CS7" s="185" t="s">
        <v>1092</v>
      </c>
      <c r="CT7" s="185" t="s">
        <v>1092</v>
      </c>
      <c r="CU7" s="185" t="s">
        <v>2444</v>
      </c>
    </row>
    <row r="8" spans="1:99" ht="15" x14ac:dyDescent="0.25">
      <c r="A8" s="184">
        <v>42717.396350856478</v>
      </c>
      <c r="B8" s="185" t="s">
        <v>2445</v>
      </c>
      <c r="C8" s="185">
        <v>52082587</v>
      </c>
      <c r="D8" s="185" t="s">
        <v>1328</v>
      </c>
      <c r="E8" s="185" t="s">
        <v>1319</v>
      </c>
      <c r="F8" s="185" t="s">
        <v>2446</v>
      </c>
      <c r="G8" s="185" t="s">
        <v>2447</v>
      </c>
      <c r="H8" s="187">
        <v>40700</v>
      </c>
      <c r="I8" s="185" t="s">
        <v>2448</v>
      </c>
      <c r="J8" s="185" t="s">
        <v>2271</v>
      </c>
      <c r="K8" s="185" t="s">
        <v>3</v>
      </c>
      <c r="L8" s="185" t="s">
        <v>3</v>
      </c>
      <c r="M8" s="185" t="s">
        <v>3</v>
      </c>
      <c r="N8" s="185" t="s">
        <v>3</v>
      </c>
      <c r="O8" s="185" t="s">
        <v>3</v>
      </c>
      <c r="P8" s="185" t="s">
        <v>2</v>
      </c>
      <c r="Q8" s="185" t="s">
        <v>3</v>
      </c>
      <c r="R8" s="185" t="s">
        <v>1092</v>
      </c>
      <c r="S8" s="185" t="s">
        <v>3</v>
      </c>
      <c r="T8" s="185" t="s">
        <v>2</v>
      </c>
      <c r="U8" s="185" t="s">
        <v>3</v>
      </c>
      <c r="V8" s="185" t="s">
        <v>1</v>
      </c>
      <c r="W8" s="185" t="s">
        <v>1</v>
      </c>
      <c r="X8" s="185" t="s">
        <v>1092</v>
      </c>
      <c r="Y8" s="185" t="s">
        <v>1092</v>
      </c>
      <c r="Z8" s="185" t="s">
        <v>1</v>
      </c>
      <c r="AA8" s="185" t="s">
        <v>3</v>
      </c>
      <c r="AB8" s="185" t="s">
        <v>2</v>
      </c>
      <c r="AC8" s="185" t="s">
        <v>2</v>
      </c>
      <c r="AD8" s="185" t="s">
        <v>2</v>
      </c>
      <c r="AE8" s="185" t="s">
        <v>1093</v>
      </c>
      <c r="AF8" s="185" t="s">
        <v>1093</v>
      </c>
      <c r="AG8" s="185" t="s">
        <v>1093</v>
      </c>
      <c r="AH8" s="185" t="s">
        <v>5</v>
      </c>
      <c r="AI8" s="185" t="s">
        <v>5</v>
      </c>
      <c r="AJ8" s="185" t="s">
        <v>2</v>
      </c>
      <c r="AK8" s="185" t="s">
        <v>2</v>
      </c>
      <c r="AL8" s="185" t="s">
        <v>1092</v>
      </c>
      <c r="AM8" s="185" t="s">
        <v>5</v>
      </c>
      <c r="AN8" s="185" t="s">
        <v>3</v>
      </c>
      <c r="AO8" s="185" t="s">
        <v>3</v>
      </c>
      <c r="AP8" s="185" t="s">
        <v>1</v>
      </c>
      <c r="AQ8" s="185" t="s">
        <v>2</v>
      </c>
      <c r="AR8" s="185" t="s">
        <v>2</v>
      </c>
      <c r="AS8" s="185" t="s">
        <v>2</v>
      </c>
      <c r="AT8" s="185" t="s">
        <v>3</v>
      </c>
      <c r="AU8" s="185" t="s">
        <v>5</v>
      </c>
      <c r="AV8" s="185" t="s">
        <v>3</v>
      </c>
      <c r="AW8" s="185" t="s">
        <v>5</v>
      </c>
      <c r="AX8" s="185" t="s">
        <v>1092</v>
      </c>
      <c r="AY8" s="185" t="s">
        <v>1092</v>
      </c>
      <c r="AZ8" s="185" t="s">
        <v>3</v>
      </c>
      <c r="BA8" s="185" t="s">
        <v>3</v>
      </c>
      <c r="BB8" s="185" t="s">
        <v>3</v>
      </c>
      <c r="BC8" s="185" t="s">
        <v>2</v>
      </c>
      <c r="BD8" s="185" t="s">
        <v>3</v>
      </c>
      <c r="BE8" s="185" t="s">
        <v>3</v>
      </c>
      <c r="BF8" s="185" t="s">
        <v>5</v>
      </c>
      <c r="BG8" s="185" t="s">
        <v>5</v>
      </c>
      <c r="BH8" s="185" t="s">
        <v>5</v>
      </c>
      <c r="BI8" s="185" t="s">
        <v>1093</v>
      </c>
      <c r="BJ8" s="185" t="s">
        <v>2</v>
      </c>
      <c r="BK8" s="185" t="s">
        <v>2</v>
      </c>
      <c r="BL8" s="185" t="s">
        <v>2</v>
      </c>
      <c r="BM8" s="185" t="s">
        <v>2</v>
      </c>
      <c r="BN8" s="185" t="s">
        <v>3</v>
      </c>
      <c r="BO8" s="185" t="s">
        <v>3</v>
      </c>
      <c r="BP8" s="185" t="s">
        <v>3</v>
      </c>
      <c r="BQ8" s="185" t="s">
        <v>2</v>
      </c>
      <c r="BR8" s="185" t="s">
        <v>2</v>
      </c>
      <c r="BS8" s="185" t="s">
        <v>2</v>
      </c>
      <c r="BT8" s="185" t="s">
        <v>3</v>
      </c>
      <c r="BU8" s="185" t="s">
        <v>2</v>
      </c>
      <c r="BV8" s="185" t="s">
        <v>2</v>
      </c>
      <c r="BW8" s="185" t="s">
        <v>2</v>
      </c>
      <c r="BX8" s="185" t="s">
        <v>1</v>
      </c>
      <c r="BY8" s="185" t="s">
        <v>1</v>
      </c>
      <c r="BZ8" s="185" t="s">
        <v>1</v>
      </c>
      <c r="CA8" s="185" t="s">
        <v>2</v>
      </c>
      <c r="CB8" s="185" t="s">
        <v>5</v>
      </c>
      <c r="CC8" s="185" t="s">
        <v>5</v>
      </c>
      <c r="CD8" s="185" t="s">
        <v>5</v>
      </c>
      <c r="CE8" s="185" t="s">
        <v>1</v>
      </c>
      <c r="CF8" s="185" t="s">
        <v>1</v>
      </c>
      <c r="CG8" s="185" t="s">
        <v>1</v>
      </c>
      <c r="CH8" s="185" t="s">
        <v>1092</v>
      </c>
      <c r="CI8" s="185" t="s">
        <v>3</v>
      </c>
      <c r="CJ8" s="185" t="s">
        <v>5</v>
      </c>
      <c r="CK8" s="185" t="s">
        <v>5</v>
      </c>
      <c r="CL8" s="185" t="s">
        <v>5</v>
      </c>
      <c r="CM8" s="185" t="s">
        <v>5</v>
      </c>
      <c r="CN8" s="185" t="s">
        <v>3</v>
      </c>
      <c r="CO8" s="185" t="s">
        <v>3</v>
      </c>
      <c r="CP8" s="185" t="s">
        <v>3</v>
      </c>
      <c r="CQ8" s="185" t="s">
        <v>3</v>
      </c>
      <c r="CR8" s="185" t="s">
        <v>2</v>
      </c>
      <c r="CS8" s="185" t="s">
        <v>2</v>
      </c>
      <c r="CT8" s="185" t="s">
        <v>2</v>
      </c>
      <c r="CU8" s="188"/>
    </row>
    <row r="9" spans="1:99" ht="12.75" x14ac:dyDescent="0.2">
      <c r="A9" s="184">
        <v>42723.484327280094</v>
      </c>
      <c r="B9" s="185" t="s">
        <v>2449</v>
      </c>
      <c r="C9" s="185">
        <v>30282756</v>
      </c>
      <c r="D9" s="185" t="s">
        <v>1320</v>
      </c>
      <c r="E9" s="185" t="s">
        <v>1319</v>
      </c>
      <c r="F9" s="185" t="s">
        <v>2450</v>
      </c>
      <c r="G9" s="185" t="s">
        <v>2451</v>
      </c>
      <c r="H9" s="187">
        <v>38973</v>
      </c>
      <c r="I9" s="185" t="s">
        <v>2452</v>
      </c>
      <c r="J9" s="185" t="s">
        <v>2237</v>
      </c>
      <c r="K9" s="185" t="s">
        <v>1092</v>
      </c>
      <c r="L9" s="185" t="s">
        <v>1092</v>
      </c>
      <c r="M9" s="185" t="s">
        <v>1092</v>
      </c>
      <c r="N9" s="185" t="s">
        <v>3</v>
      </c>
      <c r="O9" s="185" t="s">
        <v>1092</v>
      </c>
      <c r="P9" s="185" t="s">
        <v>1092</v>
      </c>
      <c r="Q9" s="185" t="s">
        <v>3</v>
      </c>
      <c r="R9" s="185" t="s">
        <v>1092</v>
      </c>
      <c r="S9" s="185" t="s">
        <v>3</v>
      </c>
      <c r="T9" s="185" t="s">
        <v>3</v>
      </c>
      <c r="U9" s="185" t="s">
        <v>3</v>
      </c>
      <c r="V9" s="185" t="s">
        <v>1093</v>
      </c>
      <c r="W9" s="185" t="s">
        <v>1093</v>
      </c>
      <c r="X9" s="185" t="s">
        <v>1093</v>
      </c>
      <c r="Y9" s="185" t="s">
        <v>2</v>
      </c>
      <c r="Z9" s="185" t="s">
        <v>1093</v>
      </c>
      <c r="AA9" s="185" t="s">
        <v>1093</v>
      </c>
      <c r="AB9" s="185" t="s">
        <v>1093</v>
      </c>
      <c r="AC9" s="185" t="s">
        <v>1092</v>
      </c>
      <c r="AD9" s="185" t="s">
        <v>1093</v>
      </c>
      <c r="AE9" s="185" t="s">
        <v>1093</v>
      </c>
      <c r="AF9" s="185" t="s">
        <v>1093</v>
      </c>
      <c r="AG9" s="185" t="s">
        <v>1093</v>
      </c>
      <c r="AH9" s="185" t="s">
        <v>1093</v>
      </c>
      <c r="AI9" s="185" t="s">
        <v>1093</v>
      </c>
      <c r="AJ9" s="185" t="s">
        <v>1093</v>
      </c>
      <c r="AK9" s="185" t="s">
        <v>2</v>
      </c>
      <c r="AL9" s="185" t="s">
        <v>1093</v>
      </c>
      <c r="AM9" s="185" t="s">
        <v>1093</v>
      </c>
      <c r="AN9" s="185" t="s">
        <v>1</v>
      </c>
      <c r="AO9" s="185" t="s">
        <v>1</v>
      </c>
      <c r="AP9" s="185" t="s">
        <v>1</v>
      </c>
      <c r="AQ9" s="185" t="s">
        <v>1093</v>
      </c>
      <c r="AR9" s="185" t="s">
        <v>1093</v>
      </c>
      <c r="AS9" s="185" t="s">
        <v>1093</v>
      </c>
      <c r="AT9" s="185" t="s">
        <v>1093</v>
      </c>
      <c r="AU9" s="185" t="s">
        <v>1093</v>
      </c>
      <c r="AV9" s="185" t="s">
        <v>1093</v>
      </c>
      <c r="AW9" s="185" t="s">
        <v>1093</v>
      </c>
      <c r="AX9" s="185" t="s">
        <v>1092</v>
      </c>
      <c r="AY9" s="185" t="s">
        <v>1092</v>
      </c>
      <c r="AZ9" s="185" t="s">
        <v>1092</v>
      </c>
      <c r="BA9" s="185" t="s">
        <v>1092</v>
      </c>
      <c r="BB9" s="185" t="s">
        <v>1093</v>
      </c>
      <c r="BC9" s="185" t="s">
        <v>1093</v>
      </c>
      <c r="BD9" s="185" t="s">
        <v>1</v>
      </c>
      <c r="BE9" s="185" t="s">
        <v>1093</v>
      </c>
      <c r="BF9" s="185" t="s">
        <v>1093</v>
      </c>
      <c r="BG9" s="185" t="s">
        <v>1093</v>
      </c>
      <c r="BH9" s="185" t="s">
        <v>1093</v>
      </c>
      <c r="BI9" s="185" t="s">
        <v>1093</v>
      </c>
      <c r="BJ9" s="185" t="s">
        <v>1093</v>
      </c>
      <c r="BK9" s="185" t="s">
        <v>1093</v>
      </c>
      <c r="BL9" s="185" t="s">
        <v>1092</v>
      </c>
      <c r="BM9" s="185" t="s">
        <v>2</v>
      </c>
      <c r="BN9" s="185" t="s">
        <v>1093</v>
      </c>
      <c r="BO9" s="185" t="s">
        <v>1092</v>
      </c>
      <c r="BP9" s="185" t="s">
        <v>1092</v>
      </c>
      <c r="BQ9" s="185" t="s">
        <v>1093</v>
      </c>
      <c r="BR9" s="185" t="s">
        <v>2</v>
      </c>
      <c r="BS9" s="185" t="s">
        <v>2</v>
      </c>
      <c r="BT9" s="185" t="s">
        <v>1093</v>
      </c>
      <c r="BU9" s="185" t="s">
        <v>1093</v>
      </c>
      <c r="BV9" s="185" t="s">
        <v>2</v>
      </c>
      <c r="BW9" s="185" t="s">
        <v>1093</v>
      </c>
      <c r="BX9" s="185" t="s">
        <v>1093</v>
      </c>
      <c r="BY9" s="185" t="s">
        <v>1093</v>
      </c>
      <c r="BZ9" s="185" t="s">
        <v>1093</v>
      </c>
      <c r="CA9" s="185" t="s">
        <v>1093</v>
      </c>
      <c r="CB9" s="185" t="s">
        <v>2</v>
      </c>
      <c r="CC9" s="185" t="s">
        <v>1093</v>
      </c>
      <c r="CD9" s="185" t="s">
        <v>1093</v>
      </c>
      <c r="CE9" s="185" t="s">
        <v>1093</v>
      </c>
      <c r="CF9" s="185" t="s">
        <v>2</v>
      </c>
      <c r="CG9" s="185" t="s">
        <v>2</v>
      </c>
      <c r="CH9" s="185" t="s">
        <v>1092</v>
      </c>
      <c r="CI9" s="185" t="s">
        <v>1092</v>
      </c>
      <c r="CJ9" s="185" t="s">
        <v>1092</v>
      </c>
      <c r="CK9" s="185" t="s">
        <v>1092</v>
      </c>
      <c r="CL9" s="185" t="s">
        <v>1093</v>
      </c>
      <c r="CM9" s="185" t="s">
        <v>1093</v>
      </c>
      <c r="CN9" s="185" t="s">
        <v>1093</v>
      </c>
      <c r="CO9" s="185" t="s">
        <v>2</v>
      </c>
      <c r="CP9" s="185" t="s">
        <v>2</v>
      </c>
      <c r="CQ9" s="185" t="s">
        <v>2</v>
      </c>
      <c r="CR9" s="185" t="s">
        <v>1093</v>
      </c>
      <c r="CS9" s="185" t="s">
        <v>1093</v>
      </c>
      <c r="CT9" s="185" t="s">
        <v>1093</v>
      </c>
      <c r="CU9" s="189" t="s">
        <v>2453</v>
      </c>
    </row>
    <row r="10" spans="1:99" ht="15" x14ac:dyDescent="0.25">
      <c r="A10" s="184">
        <v>42726.792463020829</v>
      </c>
      <c r="B10" s="185" t="s">
        <v>2454</v>
      </c>
      <c r="C10" s="185">
        <v>52529975</v>
      </c>
      <c r="D10" s="185" t="s">
        <v>1320</v>
      </c>
      <c r="E10" s="185" t="s">
        <v>1319</v>
      </c>
      <c r="F10" s="185" t="s">
        <v>2455</v>
      </c>
      <c r="G10" s="185" t="s">
        <v>2456</v>
      </c>
      <c r="H10" s="187">
        <v>41310</v>
      </c>
      <c r="I10" s="185" t="s">
        <v>2202</v>
      </c>
      <c r="J10" s="185" t="s">
        <v>2237</v>
      </c>
      <c r="K10" s="185" t="s">
        <v>1092</v>
      </c>
      <c r="L10" s="185" t="s">
        <v>3</v>
      </c>
      <c r="M10" s="185" t="s">
        <v>3</v>
      </c>
      <c r="N10" s="185" t="s">
        <v>3</v>
      </c>
      <c r="O10" s="185" t="s">
        <v>3</v>
      </c>
      <c r="P10" s="185" t="s">
        <v>3</v>
      </c>
      <c r="Q10" s="185" t="s">
        <v>1</v>
      </c>
      <c r="R10" s="185" t="s">
        <v>3</v>
      </c>
      <c r="S10" s="185" t="s">
        <v>3</v>
      </c>
      <c r="T10" s="185" t="s">
        <v>2</v>
      </c>
      <c r="U10" s="185" t="s">
        <v>3</v>
      </c>
      <c r="V10" s="185" t="s">
        <v>3</v>
      </c>
      <c r="W10" s="185" t="s">
        <v>3</v>
      </c>
      <c r="X10" s="185" t="s">
        <v>2</v>
      </c>
      <c r="Y10" s="185" t="s">
        <v>1092</v>
      </c>
      <c r="Z10" s="185" t="s">
        <v>1</v>
      </c>
      <c r="AA10" s="185" t="s">
        <v>3</v>
      </c>
      <c r="AB10" s="185" t="s">
        <v>1093</v>
      </c>
      <c r="AC10" s="185" t="s">
        <v>3</v>
      </c>
      <c r="AD10" s="185" t="s">
        <v>3</v>
      </c>
      <c r="AE10" s="185" t="s">
        <v>2</v>
      </c>
      <c r="AF10" s="185" t="s">
        <v>2</v>
      </c>
      <c r="AG10" s="185" t="s">
        <v>3</v>
      </c>
      <c r="AH10" s="185" t="s">
        <v>3</v>
      </c>
      <c r="AI10" s="185" t="s">
        <v>3</v>
      </c>
      <c r="AJ10" s="185" t="s">
        <v>3</v>
      </c>
      <c r="AK10" s="185" t="s">
        <v>3</v>
      </c>
      <c r="AL10" s="185" t="s">
        <v>3</v>
      </c>
      <c r="AM10" s="185" t="s">
        <v>2</v>
      </c>
      <c r="AN10" s="185" t="s">
        <v>3</v>
      </c>
      <c r="AO10" s="185" t="s">
        <v>3</v>
      </c>
      <c r="AP10" s="185" t="s">
        <v>3</v>
      </c>
      <c r="AQ10" s="185" t="s">
        <v>2</v>
      </c>
      <c r="AR10" s="185" t="s">
        <v>3</v>
      </c>
      <c r="AS10" s="185" t="s">
        <v>3</v>
      </c>
      <c r="AT10" s="185" t="s">
        <v>3</v>
      </c>
      <c r="AU10" s="185" t="s">
        <v>3</v>
      </c>
      <c r="AV10" s="185" t="s">
        <v>2</v>
      </c>
      <c r="AW10" s="185" t="s">
        <v>2</v>
      </c>
      <c r="AX10" s="185" t="s">
        <v>3</v>
      </c>
      <c r="AY10" s="185" t="s">
        <v>3</v>
      </c>
      <c r="AZ10" s="185" t="s">
        <v>1092</v>
      </c>
      <c r="BA10" s="185" t="s">
        <v>1092</v>
      </c>
      <c r="BB10" s="185" t="s">
        <v>3</v>
      </c>
      <c r="BC10" s="185" t="s">
        <v>3</v>
      </c>
      <c r="BD10" s="185" t="s">
        <v>3</v>
      </c>
      <c r="BE10" s="185" t="s">
        <v>3</v>
      </c>
      <c r="BF10" s="185" t="s">
        <v>2</v>
      </c>
      <c r="BG10" s="185" t="s">
        <v>2</v>
      </c>
      <c r="BH10" s="185" t="s">
        <v>2</v>
      </c>
      <c r="BI10" s="185" t="s">
        <v>2</v>
      </c>
      <c r="BJ10" s="185" t="s">
        <v>2</v>
      </c>
      <c r="BK10" s="185" t="s">
        <v>3</v>
      </c>
      <c r="BL10" s="185" t="s">
        <v>2</v>
      </c>
      <c r="BM10" s="185" t="s">
        <v>3</v>
      </c>
      <c r="BN10" s="185" t="s">
        <v>3</v>
      </c>
      <c r="BO10" s="185" t="s">
        <v>3</v>
      </c>
      <c r="BP10" s="185" t="s">
        <v>3</v>
      </c>
      <c r="BQ10" s="185" t="s">
        <v>3</v>
      </c>
      <c r="BR10" s="185" t="s">
        <v>2</v>
      </c>
      <c r="BS10" s="185" t="s">
        <v>2</v>
      </c>
      <c r="BT10" s="185" t="s">
        <v>3</v>
      </c>
      <c r="BU10" s="185" t="s">
        <v>3</v>
      </c>
      <c r="BV10" s="185" t="s">
        <v>3</v>
      </c>
      <c r="BW10" s="185" t="s">
        <v>1</v>
      </c>
      <c r="BX10" s="185" t="s">
        <v>2</v>
      </c>
      <c r="BY10" s="185" t="s">
        <v>2</v>
      </c>
      <c r="BZ10" s="185" t="s">
        <v>2</v>
      </c>
      <c r="CA10" s="185" t="s">
        <v>1092</v>
      </c>
      <c r="CB10" s="185" t="s">
        <v>1</v>
      </c>
      <c r="CC10" s="185" t="s">
        <v>3</v>
      </c>
      <c r="CD10" s="185" t="s">
        <v>2</v>
      </c>
      <c r="CE10" s="185" t="s">
        <v>1093</v>
      </c>
      <c r="CF10" s="185" t="s">
        <v>1093</v>
      </c>
      <c r="CG10" s="185" t="s">
        <v>1</v>
      </c>
      <c r="CH10" s="185" t="s">
        <v>3</v>
      </c>
      <c r="CI10" s="185" t="s">
        <v>1092</v>
      </c>
      <c r="CJ10" s="185" t="s">
        <v>3</v>
      </c>
      <c r="CK10" s="185" t="s">
        <v>3</v>
      </c>
      <c r="CL10" s="185" t="s">
        <v>3</v>
      </c>
      <c r="CM10" s="185" t="s">
        <v>3</v>
      </c>
      <c r="CN10" s="185" t="s">
        <v>3</v>
      </c>
      <c r="CO10" s="185" t="s">
        <v>3</v>
      </c>
      <c r="CP10" s="185" t="s">
        <v>2</v>
      </c>
      <c r="CQ10" s="185" t="s">
        <v>3</v>
      </c>
      <c r="CR10" s="185" t="s">
        <v>3</v>
      </c>
      <c r="CS10" s="185" t="s">
        <v>3</v>
      </c>
      <c r="CT10" s="185" t="s">
        <v>2</v>
      </c>
      <c r="CU10" s="188"/>
    </row>
    <row r="11" spans="1:99" ht="12.75" x14ac:dyDescent="0.2">
      <c r="A11" s="184">
        <v>42779.485138518517</v>
      </c>
      <c r="B11" s="185" t="s">
        <v>2457</v>
      </c>
      <c r="C11" s="185">
        <v>52023088</v>
      </c>
      <c r="D11" s="185" t="s">
        <v>1320</v>
      </c>
      <c r="E11" s="185" t="s">
        <v>1319</v>
      </c>
      <c r="F11" s="185" t="s">
        <v>2458</v>
      </c>
      <c r="G11" s="185" t="s">
        <v>1333</v>
      </c>
      <c r="H11" s="187">
        <v>34931</v>
      </c>
      <c r="I11" s="185" t="s">
        <v>2459</v>
      </c>
      <c r="J11" s="185" t="s">
        <v>2237</v>
      </c>
      <c r="K11" s="185" t="s">
        <v>1092</v>
      </c>
      <c r="L11" s="185" t="s">
        <v>1092</v>
      </c>
      <c r="M11" s="185" t="s">
        <v>1092</v>
      </c>
      <c r="N11" s="185" t="s">
        <v>1092</v>
      </c>
      <c r="O11" s="185" t="s">
        <v>1092</v>
      </c>
      <c r="P11" s="185" t="s">
        <v>1092</v>
      </c>
      <c r="Q11" s="185" t="s">
        <v>3</v>
      </c>
      <c r="R11" s="185" t="s">
        <v>1092</v>
      </c>
      <c r="S11" s="185" t="s">
        <v>1092</v>
      </c>
      <c r="T11" s="185" t="s">
        <v>3</v>
      </c>
      <c r="U11" s="185" t="s">
        <v>1092</v>
      </c>
      <c r="V11" s="185" t="s">
        <v>1092</v>
      </c>
      <c r="W11" s="185" t="s">
        <v>3</v>
      </c>
      <c r="X11" s="185" t="s">
        <v>1092</v>
      </c>
      <c r="Y11" s="185" t="s">
        <v>1092</v>
      </c>
      <c r="Z11" s="185" t="s">
        <v>3</v>
      </c>
      <c r="AA11" s="185" t="s">
        <v>1092</v>
      </c>
      <c r="AB11" s="185" t="s">
        <v>2</v>
      </c>
      <c r="AC11" s="185" t="s">
        <v>1092</v>
      </c>
      <c r="AD11" s="185" t="s">
        <v>2</v>
      </c>
      <c r="AE11" s="185" t="s">
        <v>2</v>
      </c>
      <c r="AF11" s="185" t="s">
        <v>3</v>
      </c>
      <c r="AG11" s="185" t="s">
        <v>1092</v>
      </c>
      <c r="AH11" s="185" t="s">
        <v>1092</v>
      </c>
      <c r="AI11" s="185" t="s">
        <v>3</v>
      </c>
      <c r="AJ11" s="185" t="s">
        <v>1092</v>
      </c>
      <c r="AK11" s="185" t="s">
        <v>1092</v>
      </c>
      <c r="AL11" s="185" t="s">
        <v>1092</v>
      </c>
      <c r="AM11" s="185" t="s">
        <v>3</v>
      </c>
      <c r="AN11" s="185" t="s">
        <v>1092</v>
      </c>
      <c r="AO11" s="185" t="s">
        <v>3</v>
      </c>
      <c r="AP11" s="185" t="s">
        <v>3</v>
      </c>
      <c r="AQ11" s="185" t="s">
        <v>3</v>
      </c>
      <c r="AR11" s="185" t="s">
        <v>3</v>
      </c>
      <c r="AS11" s="185" t="s">
        <v>1092</v>
      </c>
      <c r="AT11" s="185" t="s">
        <v>3</v>
      </c>
      <c r="AU11" s="185" t="s">
        <v>1092</v>
      </c>
      <c r="AV11" s="185" t="s">
        <v>1092</v>
      </c>
      <c r="AW11" s="185" t="s">
        <v>3</v>
      </c>
      <c r="AX11" s="185" t="s">
        <v>1092</v>
      </c>
      <c r="AY11" s="185" t="s">
        <v>1092</v>
      </c>
      <c r="AZ11" s="185" t="s">
        <v>1092</v>
      </c>
      <c r="BA11" s="185" t="s">
        <v>1092</v>
      </c>
      <c r="BB11" s="185" t="s">
        <v>3</v>
      </c>
      <c r="BC11" s="185" t="s">
        <v>1092</v>
      </c>
      <c r="BD11" s="185" t="s">
        <v>1092</v>
      </c>
      <c r="BE11" s="185" t="s">
        <v>3</v>
      </c>
      <c r="BF11" s="185" t="s">
        <v>1092</v>
      </c>
      <c r="BG11" s="185" t="s">
        <v>3</v>
      </c>
      <c r="BH11" s="185" t="s">
        <v>1092</v>
      </c>
      <c r="BI11" s="185" t="s">
        <v>2</v>
      </c>
      <c r="BJ11" s="185" t="s">
        <v>3</v>
      </c>
      <c r="BK11" s="185" t="s">
        <v>1092</v>
      </c>
      <c r="BL11" s="185" t="s">
        <v>1092</v>
      </c>
      <c r="BM11" s="185" t="s">
        <v>1092</v>
      </c>
      <c r="BN11" s="185" t="s">
        <v>1092</v>
      </c>
      <c r="BO11" s="185" t="s">
        <v>1092</v>
      </c>
      <c r="BP11" s="185" t="s">
        <v>1092</v>
      </c>
      <c r="BQ11" s="185" t="s">
        <v>1092</v>
      </c>
      <c r="BR11" s="185" t="s">
        <v>1092</v>
      </c>
      <c r="BS11" s="185" t="s">
        <v>1092</v>
      </c>
      <c r="BT11" s="185" t="s">
        <v>1092</v>
      </c>
      <c r="BU11" s="185" t="s">
        <v>1092</v>
      </c>
      <c r="BV11" s="185" t="s">
        <v>3</v>
      </c>
      <c r="BW11" s="185" t="s">
        <v>1092</v>
      </c>
      <c r="BX11" s="185" t="s">
        <v>2</v>
      </c>
      <c r="BY11" s="185" t="s">
        <v>2</v>
      </c>
      <c r="BZ11" s="185" t="s">
        <v>3</v>
      </c>
      <c r="CA11" s="185" t="s">
        <v>1092</v>
      </c>
      <c r="CB11" s="185" t="s">
        <v>1092</v>
      </c>
      <c r="CC11" s="185" t="s">
        <v>1092</v>
      </c>
      <c r="CD11" s="185" t="s">
        <v>2</v>
      </c>
      <c r="CE11" s="185" t="s">
        <v>1092</v>
      </c>
      <c r="CF11" s="185" t="s">
        <v>1092</v>
      </c>
      <c r="CG11" s="185" t="s">
        <v>1092</v>
      </c>
      <c r="CH11" s="185" t="s">
        <v>1092</v>
      </c>
      <c r="CI11" s="185" t="s">
        <v>1092</v>
      </c>
      <c r="CJ11" s="185" t="s">
        <v>3</v>
      </c>
      <c r="CK11" s="185" t="s">
        <v>3</v>
      </c>
      <c r="CL11" s="185" t="s">
        <v>3</v>
      </c>
      <c r="CM11" s="185" t="s">
        <v>1092</v>
      </c>
      <c r="CN11" s="185" t="s">
        <v>2</v>
      </c>
      <c r="CO11" s="185" t="s">
        <v>1092</v>
      </c>
      <c r="CP11" s="185" t="s">
        <v>1</v>
      </c>
      <c r="CQ11" s="185" t="s">
        <v>1092</v>
      </c>
      <c r="CR11" s="185" t="s">
        <v>3</v>
      </c>
      <c r="CS11" s="185" t="s">
        <v>3</v>
      </c>
      <c r="CT11" s="185" t="s">
        <v>3</v>
      </c>
      <c r="CU11" s="185" t="s">
        <v>2460</v>
      </c>
    </row>
    <row r="12" spans="1:99" ht="15" x14ac:dyDescent="0.25">
      <c r="A12" s="184">
        <v>42898.472519710645</v>
      </c>
      <c r="B12" s="185" t="s">
        <v>2461</v>
      </c>
      <c r="C12" s="185">
        <v>52068750</v>
      </c>
      <c r="D12" s="185" t="s">
        <v>1323</v>
      </c>
      <c r="E12" s="185" t="s">
        <v>1324</v>
      </c>
      <c r="F12" s="185" t="s">
        <v>2462</v>
      </c>
      <c r="G12" s="185" t="s">
        <v>2463</v>
      </c>
      <c r="H12" s="187">
        <v>40575</v>
      </c>
      <c r="I12" s="185" t="s">
        <v>2464</v>
      </c>
      <c r="J12" s="185" t="s">
        <v>2465</v>
      </c>
      <c r="K12" s="185" t="s">
        <v>3</v>
      </c>
      <c r="L12" s="185" t="s">
        <v>3</v>
      </c>
      <c r="M12" s="185" t="s">
        <v>1092</v>
      </c>
      <c r="N12" s="185" t="s">
        <v>1092</v>
      </c>
      <c r="O12" s="185" t="s">
        <v>3</v>
      </c>
      <c r="P12" s="185" t="s">
        <v>2</v>
      </c>
      <c r="Q12" s="185" t="s">
        <v>3</v>
      </c>
      <c r="R12" s="185" t="s">
        <v>3</v>
      </c>
      <c r="S12" s="185" t="s">
        <v>1092</v>
      </c>
      <c r="T12" s="185" t="s">
        <v>3</v>
      </c>
      <c r="U12" s="185" t="s">
        <v>3</v>
      </c>
      <c r="V12" s="185" t="s">
        <v>1</v>
      </c>
      <c r="W12" s="185" t="s">
        <v>2</v>
      </c>
      <c r="X12" s="185" t="s">
        <v>2</v>
      </c>
      <c r="Y12" s="185" t="s">
        <v>3</v>
      </c>
      <c r="Z12" s="185" t="s">
        <v>1</v>
      </c>
      <c r="AA12" s="185" t="s">
        <v>2</v>
      </c>
      <c r="AB12" s="185" t="s">
        <v>1093</v>
      </c>
      <c r="AC12" s="185" t="s">
        <v>1</v>
      </c>
      <c r="AD12" s="185" t="s">
        <v>1093</v>
      </c>
      <c r="AE12" s="185" t="s">
        <v>1093</v>
      </c>
      <c r="AF12" s="185" t="s">
        <v>1093</v>
      </c>
      <c r="AG12" s="188"/>
      <c r="AH12" s="185" t="s">
        <v>1</v>
      </c>
      <c r="AI12" s="188"/>
      <c r="AJ12" s="185" t="s">
        <v>2</v>
      </c>
      <c r="AK12" s="185" t="s">
        <v>2</v>
      </c>
      <c r="AL12" s="185" t="s">
        <v>2</v>
      </c>
      <c r="AM12" s="185" t="s">
        <v>2</v>
      </c>
      <c r="AN12" s="185" t="s">
        <v>3</v>
      </c>
      <c r="AO12" s="185" t="s">
        <v>3</v>
      </c>
      <c r="AP12" s="185" t="s">
        <v>1092</v>
      </c>
      <c r="AQ12" s="185" t="s">
        <v>2</v>
      </c>
      <c r="AR12" s="185" t="s">
        <v>2</v>
      </c>
      <c r="AS12" s="185" t="s">
        <v>3</v>
      </c>
      <c r="AT12" s="185" t="s">
        <v>2</v>
      </c>
      <c r="AU12" s="185" t="s">
        <v>3</v>
      </c>
      <c r="AV12" s="185" t="s">
        <v>3</v>
      </c>
      <c r="AW12" s="185" t="s">
        <v>2</v>
      </c>
      <c r="AX12" s="185" t="s">
        <v>2</v>
      </c>
      <c r="AY12" s="185" t="s">
        <v>3</v>
      </c>
      <c r="AZ12" s="185" t="s">
        <v>3</v>
      </c>
      <c r="BA12" s="185" t="s">
        <v>1092</v>
      </c>
      <c r="BB12" s="185" t="s">
        <v>1092</v>
      </c>
      <c r="BC12" s="185" t="s">
        <v>3</v>
      </c>
      <c r="BD12" s="185" t="s">
        <v>3</v>
      </c>
      <c r="BE12" s="185" t="s">
        <v>3</v>
      </c>
      <c r="BF12" s="185" t="s">
        <v>2</v>
      </c>
      <c r="BG12" s="185" t="s">
        <v>2</v>
      </c>
      <c r="BH12" s="185" t="s">
        <v>2</v>
      </c>
      <c r="BI12" s="185" t="s">
        <v>1093</v>
      </c>
      <c r="BJ12" s="185" t="s">
        <v>1</v>
      </c>
      <c r="BK12" s="185" t="s">
        <v>1</v>
      </c>
      <c r="BL12" s="185" t="s">
        <v>1</v>
      </c>
      <c r="BM12" s="185" t="s">
        <v>2</v>
      </c>
      <c r="BN12" s="185" t="s">
        <v>1</v>
      </c>
      <c r="BO12" s="185" t="s">
        <v>1</v>
      </c>
      <c r="BP12" s="185" t="s">
        <v>5</v>
      </c>
      <c r="BQ12" s="185" t="s">
        <v>5</v>
      </c>
      <c r="BR12" s="185" t="s">
        <v>5</v>
      </c>
      <c r="BS12" s="185" t="s">
        <v>5</v>
      </c>
      <c r="BT12" s="185" t="s">
        <v>1092</v>
      </c>
      <c r="BU12" s="185" t="s">
        <v>1092</v>
      </c>
      <c r="BV12" s="185" t="s">
        <v>1092</v>
      </c>
      <c r="BW12" s="185" t="s">
        <v>1092</v>
      </c>
      <c r="BX12" s="185" t="s">
        <v>1</v>
      </c>
      <c r="BY12" s="185" t="s">
        <v>1</v>
      </c>
      <c r="BZ12" s="185" t="s">
        <v>1</v>
      </c>
      <c r="CA12" s="185" t="s">
        <v>1092</v>
      </c>
      <c r="CB12" s="185" t="s">
        <v>1</v>
      </c>
      <c r="CC12" s="185" t="s">
        <v>2</v>
      </c>
      <c r="CD12" s="185" t="s">
        <v>2</v>
      </c>
      <c r="CE12" s="185" t="s">
        <v>2</v>
      </c>
      <c r="CF12" s="185" t="s">
        <v>2</v>
      </c>
      <c r="CG12" s="185" t="s">
        <v>2</v>
      </c>
      <c r="CH12" s="185" t="s">
        <v>1092</v>
      </c>
      <c r="CI12" s="185" t="s">
        <v>1092</v>
      </c>
      <c r="CJ12" s="185" t="s">
        <v>3</v>
      </c>
      <c r="CK12" s="185" t="s">
        <v>3</v>
      </c>
      <c r="CL12" s="185" t="s">
        <v>2</v>
      </c>
      <c r="CM12" s="185" t="s">
        <v>1092</v>
      </c>
      <c r="CN12" s="185" t="s">
        <v>3</v>
      </c>
      <c r="CO12" s="185" t="s">
        <v>1092</v>
      </c>
      <c r="CP12" s="185" t="s">
        <v>2</v>
      </c>
      <c r="CQ12" s="185" t="s">
        <v>1092</v>
      </c>
      <c r="CR12" s="185" t="s">
        <v>3</v>
      </c>
      <c r="CS12" s="185" t="s">
        <v>2</v>
      </c>
      <c r="CT12" s="185" t="s">
        <v>3</v>
      </c>
      <c r="CU12" s="188"/>
    </row>
    <row r="13" spans="1:99" ht="12.75" x14ac:dyDescent="0.2">
      <c r="A13" s="184">
        <v>42898.474233321758</v>
      </c>
      <c r="B13" s="185" t="s">
        <v>2466</v>
      </c>
      <c r="C13" s="185">
        <v>79841999</v>
      </c>
      <c r="D13" s="185" t="s">
        <v>1320</v>
      </c>
      <c r="E13" s="185" t="s">
        <v>1319</v>
      </c>
      <c r="F13" s="185" t="s">
        <v>2467</v>
      </c>
      <c r="G13" s="185" t="s">
        <v>1327</v>
      </c>
      <c r="H13" s="187">
        <v>37125</v>
      </c>
      <c r="I13" s="185" t="s">
        <v>2468</v>
      </c>
      <c r="J13" s="185" t="s">
        <v>2465</v>
      </c>
      <c r="K13" s="185" t="s">
        <v>1092</v>
      </c>
      <c r="L13" s="185" t="s">
        <v>3</v>
      </c>
      <c r="M13" s="185" t="s">
        <v>2</v>
      </c>
      <c r="N13" s="185" t="s">
        <v>3</v>
      </c>
      <c r="O13" s="185" t="s">
        <v>1092</v>
      </c>
      <c r="P13" s="185" t="s">
        <v>1092</v>
      </c>
      <c r="Q13" s="185" t="s">
        <v>3</v>
      </c>
      <c r="R13" s="185" t="s">
        <v>3</v>
      </c>
      <c r="S13" s="185" t="s">
        <v>3</v>
      </c>
      <c r="T13" s="185" t="s">
        <v>2</v>
      </c>
      <c r="U13" s="185" t="s">
        <v>1092</v>
      </c>
      <c r="V13" s="185" t="s">
        <v>3</v>
      </c>
      <c r="W13" s="185" t="s">
        <v>3</v>
      </c>
      <c r="X13" s="185" t="s">
        <v>1092</v>
      </c>
      <c r="Y13" s="185" t="s">
        <v>1092</v>
      </c>
      <c r="Z13" s="185" t="s">
        <v>2</v>
      </c>
      <c r="AA13" s="185" t="s">
        <v>1092</v>
      </c>
      <c r="AB13" s="185" t="s">
        <v>2</v>
      </c>
      <c r="AC13" s="185" t="s">
        <v>1092</v>
      </c>
      <c r="AD13" s="185" t="s">
        <v>2</v>
      </c>
      <c r="AE13" s="185" t="s">
        <v>2</v>
      </c>
      <c r="AF13" s="185" t="s">
        <v>3</v>
      </c>
      <c r="AG13" s="185" t="s">
        <v>3</v>
      </c>
      <c r="AH13" s="185" t="s">
        <v>3</v>
      </c>
      <c r="AI13" s="185" t="s">
        <v>3</v>
      </c>
      <c r="AJ13" s="185" t="s">
        <v>3</v>
      </c>
      <c r="AK13" s="185" t="s">
        <v>3</v>
      </c>
      <c r="AL13" s="185" t="s">
        <v>1092</v>
      </c>
      <c r="AM13" s="185" t="s">
        <v>3</v>
      </c>
      <c r="AN13" s="185" t="s">
        <v>1092</v>
      </c>
      <c r="AO13" s="185" t="s">
        <v>3</v>
      </c>
      <c r="AP13" s="185" t="s">
        <v>1092</v>
      </c>
      <c r="AQ13" s="185" t="s">
        <v>2</v>
      </c>
      <c r="AR13" s="185" t="s">
        <v>3</v>
      </c>
      <c r="AS13" s="185" t="s">
        <v>3</v>
      </c>
      <c r="AT13" s="185" t="s">
        <v>3</v>
      </c>
      <c r="AU13" s="185" t="s">
        <v>3</v>
      </c>
      <c r="AV13" s="185" t="s">
        <v>1092</v>
      </c>
      <c r="AW13" s="185" t="s">
        <v>3</v>
      </c>
      <c r="AX13" s="185" t="s">
        <v>1092</v>
      </c>
      <c r="AY13" s="185" t="s">
        <v>3</v>
      </c>
      <c r="AZ13" s="185" t="s">
        <v>1092</v>
      </c>
      <c r="BA13" s="185" t="s">
        <v>1092</v>
      </c>
      <c r="BB13" s="185" t="s">
        <v>1092</v>
      </c>
      <c r="BC13" s="185" t="s">
        <v>1092</v>
      </c>
      <c r="BD13" s="185" t="s">
        <v>3</v>
      </c>
      <c r="BE13" s="185" t="s">
        <v>3</v>
      </c>
      <c r="BF13" s="185" t="s">
        <v>1092</v>
      </c>
      <c r="BG13" s="185" t="s">
        <v>1092</v>
      </c>
      <c r="BH13" s="185" t="s">
        <v>1092</v>
      </c>
      <c r="BI13" s="185" t="s">
        <v>3</v>
      </c>
      <c r="BJ13" s="185" t="s">
        <v>3</v>
      </c>
      <c r="BK13" s="185" t="s">
        <v>3</v>
      </c>
      <c r="BL13" s="185" t="s">
        <v>3</v>
      </c>
      <c r="BM13" s="185" t="s">
        <v>3</v>
      </c>
      <c r="BN13" s="185" t="s">
        <v>2</v>
      </c>
      <c r="BO13" s="185" t="s">
        <v>3</v>
      </c>
      <c r="BP13" s="185" t="s">
        <v>1092</v>
      </c>
      <c r="BQ13" s="185" t="s">
        <v>3</v>
      </c>
      <c r="BR13" s="185" t="s">
        <v>1092</v>
      </c>
      <c r="BS13" s="185" t="s">
        <v>1092</v>
      </c>
      <c r="BT13" s="185" t="s">
        <v>1092</v>
      </c>
      <c r="BU13" s="185" t="s">
        <v>3</v>
      </c>
      <c r="BV13" s="185" t="s">
        <v>3</v>
      </c>
      <c r="BW13" s="185" t="s">
        <v>3</v>
      </c>
      <c r="BX13" s="185" t="s">
        <v>2</v>
      </c>
      <c r="BY13" s="185" t="s">
        <v>3</v>
      </c>
      <c r="BZ13" s="185" t="s">
        <v>3</v>
      </c>
      <c r="CA13" s="185" t="s">
        <v>1092</v>
      </c>
      <c r="CB13" s="185" t="s">
        <v>3</v>
      </c>
      <c r="CC13" s="185" t="s">
        <v>3</v>
      </c>
      <c r="CD13" s="185" t="s">
        <v>2</v>
      </c>
      <c r="CE13" s="185" t="s">
        <v>3</v>
      </c>
      <c r="CF13" s="185" t="s">
        <v>3</v>
      </c>
      <c r="CG13" s="185" t="s">
        <v>3</v>
      </c>
      <c r="CH13" s="185" t="s">
        <v>1092</v>
      </c>
      <c r="CI13" s="185" t="s">
        <v>1092</v>
      </c>
      <c r="CJ13" s="185" t="s">
        <v>3</v>
      </c>
      <c r="CK13" s="185" t="s">
        <v>2</v>
      </c>
      <c r="CL13" s="185" t="s">
        <v>2</v>
      </c>
      <c r="CM13" s="185" t="s">
        <v>3</v>
      </c>
      <c r="CN13" s="185" t="s">
        <v>3</v>
      </c>
      <c r="CO13" s="185" t="s">
        <v>3</v>
      </c>
      <c r="CP13" s="185" t="s">
        <v>1092</v>
      </c>
      <c r="CQ13" s="185" t="s">
        <v>3</v>
      </c>
      <c r="CR13" s="185" t="s">
        <v>3</v>
      </c>
      <c r="CS13" s="185" t="s">
        <v>3</v>
      </c>
      <c r="CT13" s="185" t="s">
        <v>3</v>
      </c>
      <c r="CU13" s="185" t="s">
        <v>2469</v>
      </c>
    </row>
    <row r="14" spans="1:99" ht="15" x14ac:dyDescent="0.25">
      <c r="A14" s="184">
        <v>42898.474887673612</v>
      </c>
      <c r="B14" s="185" t="s">
        <v>2470</v>
      </c>
      <c r="C14" s="185">
        <v>39740428</v>
      </c>
      <c r="D14" s="185" t="s">
        <v>1323</v>
      </c>
      <c r="E14" s="185" t="s">
        <v>1331</v>
      </c>
      <c r="F14" s="185" t="s">
        <v>2471</v>
      </c>
      <c r="G14" s="185" t="s">
        <v>2472</v>
      </c>
      <c r="H14" s="187">
        <v>39295</v>
      </c>
      <c r="I14" s="185" t="s">
        <v>2473</v>
      </c>
      <c r="J14" s="185" t="s">
        <v>2465</v>
      </c>
      <c r="K14" s="185" t="s">
        <v>1092</v>
      </c>
      <c r="L14" s="185" t="s">
        <v>3</v>
      </c>
      <c r="M14" s="185" t="s">
        <v>1092</v>
      </c>
      <c r="N14" s="185" t="s">
        <v>3</v>
      </c>
      <c r="O14" s="185" t="s">
        <v>1092</v>
      </c>
      <c r="P14" s="185" t="s">
        <v>1092</v>
      </c>
      <c r="Q14" s="185" t="s">
        <v>2</v>
      </c>
      <c r="R14" s="185" t="s">
        <v>3</v>
      </c>
      <c r="S14" s="185" t="s">
        <v>1</v>
      </c>
      <c r="T14" s="185" t="s">
        <v>2</v>
      </c>
      <c r="U14" s="185" t="s">
        <v>3</v>
      </c>
      <c r="V14" s="185" t="s">
        <v>1093</v>
      </c>
      <c r="W14" s="185" t="s">
        <v>2</v>
      </c>
      <c r="X14" s="185" t="s">
        <v>1092</v>
      </c>
      <c r="Y14" s="185" t="s">
        <v>3</v>
      </c>
      <c r="Z14" s="185" t="s">
        <v>2</v>
      </c>
      <c r="AA14" s="185" t="s">
        <v>1093</v>
      </c>
      <c r="AB14" s="185" t="s">
        <v>1093</v>
      </c>
      <c r="AC14" s="185" t="s">
        <v>1</v>
      </c>
      <c r="AD14" s="185" t="s">
        <v>1</v>
      </c>
      <c r="AE14" s="185" t="s">
        <v>1093</v>
      </c>
      <c r="AF14" s="185" t="s">
        <v>1093</v>
      </c>
      <c r="AG14" s="188"/>
      <c r="AH14" s="185" t="s">
        <v>1093</v>
      </c>
      <c r="AI14" s="188"/>
      <c r="AJ14" s="185" t="s">
        <v>3</v>
      </c>
      <c r="AK14" s="185" t="s">
        <v>2</v>
      </c>
      <c r="AL14" s="185" t="s">
        <v>1092</v>
      </c>
      <c r="AM14" s="185" t="s">
        <v>2</v>
      </c>
      <c r="AN14" s="185" t="s">
        <v>1092</v>
      </c>
      <c r="AO14" s="185" t="s">
        <v>1092</v>
      </c>
      <c r="AP14" s="185" t="s">
        <v>1092</v>
      </c>
      <c r="AQ14" s="185" t="s">
        <v>2</v>
      </c>
      <c r="AR14" s="185" t="s">
        <v>2</v>
      </c>
      <c r="AS14" s="185" t="s">
        <v>3</v>
      </c>
      <c r="AT14" s="185" t="s">
        <v>1</v>
      </c>
      <c r="AU14" s="185" t="s">
        <v>2</v>
      </c>
      <c r="AV14" s="185" t="s">
        <v>3</v>
      </c>
      <c r="AW14" s="185" t="s">
        <v>1</v>
      </c>
      <c r="AX14" s="185" t="s">
        <v>1092</v>
      </c>
      <c r="AY14" s="185" t="s">
        <v>1092</v>
      </c>
      <c r="AZ14" s="185" t="s">
        <v>1092</v>
      </c>
      <c r="BA14" s="185" t="s">
        <v>1092</v>
      </c>
      <c r="BB14" s="185" t="s">
        <v>1092</v>
      </c>
      <c r="BC14" s="185" t="s">
        <v>1092</v>
      </c>
      <c r="BD14" s="185" t="s">
        <v>2</v>
      </c>
      <c r="BE14" s="185" t="s">
        <v>3</v>
      </c>
      <c r="BF14" s="185" t="s">
        <v>1</v>
      </c>
      <c r="BG14" s="185" t="s">
        <v>2</v>
      </c>
      <c r="BH14" s="185" t="s">
        <v>3</v>
      </c>
      <c r="BI14" s="185" t="s">
        <v>1093</v>
      </c>
      <c r="BJ14" s="185" t="s">
        <v>3</v>
      </c>
      <c r="BK14" s="185" t="s">
        <v>1</v>
      </c>
      <c r="BL14" s="185" t="s">
        <v>1</v>
      </c>
      <c r="BM14" s="185" t="s">
        <v>1</v>
      </c>
      <c r="BN14" s="185" t="s">
        <v>2</v>
      </c>
      <c r="BO14" s="185" t="s">
        <v>2</v>
      </c>
      <c r="BP14" s="185" t="s">
        <v>2</v>
      </c>
      <c r="BQ14" s="185" t="s">
        <v>2</v>
      </c>
      <c r="BR14" s="185" t="s">
        <v>2</v>
      </c>
      <c r="BS14" s="185" t="s">
        <v>2</v>
      </c>
      <c r="BT14" s="185" t="s">
        <v>1092</v>
      </c>
      <c r="BU14" s="185" t="s">
        <v>2</v>
      </c>
      <c r="BV14" s="185" t="s">
        <v>2</v>
      </c>
      <c r="BW14" s="185" t="s">
        <v>2</v>
      </c>
      <c r="BX14" s="185" t="s">
        <v>1</v>
      </c>
      <c r="BY14" s="185" t="s">
        <v>1</v>
      </c>
      <c r="BZ14" s="185" t="s">
        <v>1</v>
      </c>
      <c r="CA14" s="185" t="s">
        <v>1092</v>
      </c>
      <c r="CB14" s="185" t="s">
        <v>1</v>
      </c>
      <c r="CC14" s="185" t="s">
        <v>1092</v>
      </c>
      <c r="CD14" s="185" t="s">
        <v>2</v>
      </c>
      <c r="CE14" s="185" t="s">
        <v>1093</v>
      </c>
      <c r="CF14" s="185" t="s">
        <v>1093</v>
      </c>
      <c r="CG14" s="185" t="s">
        <v>1</v>
      </c>
      <c r="CH14" s="185" t="s">
        <v>1092</v>
      </c>
      <c r="CI14" s="185" t="s">
        <v>3</v>
      </c>
      <c r="CJ14" s="185" t="s">
        <v>3</v>
      </c>
      <c r="CK14" s="185" t="s">
        <v>2</v>
      </c>
      <c r="CL14" s="185" t="s">
        <v>1</v>
      </c>
      <c r="CM14" s="185" t="s">
        <v>3</v>
      </c>
      <c r="CN14" s="185" t="s">
        <v>2</v>
      </c>
      <c r="CO14" s="185" t="s">
        <v>3</v>
      </c>
      <c r="CP14" s="185" t="s">
        <v>1093</v>
      </c>
      <c r="CQ14" s="185" t="s">
        <v>3</v>
      </c>
      <c r="CR14" s="185" t="s">
        <v>2</v>
      </c>
      <c r="CS14" s="185" t="s">
        <v>2</v>
      </c>
      <c r="CT14" s="185" t="s">
        <v>1093</v>
      </c>
      <c r="CU14" s="188"/>
    </row>
    <row r="15" spans="1:99" ht="12.75" x14ac:dyDescent="0.2">
      <c r="A15" s="184">
        <v>42898.474950428237</v>
      </c>
      <c r="B15" s="185" t="s">
        <v>2474</v>
      </c>
      <c r="C15" s="185">
        <v>40394241</v>
      </c>
      <c r="D15" s="185" t="s">
        <v>1320</v>
      </c>
      <c r="E15" s="185" t="s">
        <v>1319</v>
      </c>
      <c r="F15" s="185" t="s">
        <v>2475</v>
      </c>
      <c r="G15" s="185" t="s">
        <v>2476</v>
      </c>
      <c r="H15" s="187">
        <v>38899</v>
      </c>
      <c r="I15" s="185" t="s">
        <v>2477</v>
      </c>
      <c r="J15" s="185" t="s">
        <v>2465</v>
      </c>
      <c r="K15" s="185" t="s">
        <v>1092</v>
      </c>
      <c r="L15" s="185" t="s">
        <v>1092</v>
      </c>
      <c r="M15" s="185" t="s">
        <v>1092</v>
      </c>
      <c r="N15" s="185" t="s">
        <v>1092</v>
      </c>
      <c r="O15" s="185" t="s">
        <v>1092</v>
      </c>
      <c r="P15" s="185" t="s">
        <v>1092</v>
      </c>
      <c r="Q15" s="185" t="s">
        <v>1092</v>
      </c>
      <c r="R15" s="185" t="s">
        <v>1092</v>
      </c>
      <c r="S15" s="185" t="s">
        <v>1092</v>
      </c>
      <c r="T15" s="185" t="s">
        <v>1092</v>
      </c>
      <c r="U15" s="185" t="s">
        <v>1092</v>
      </c>
      <c r="V15" s="185" t="s">
        <v>1092</v>
      </c>
      <c r="W15" s="185" t="s">
        <v>1092</v>
      </c>
      <c r="X15" s="185" t="s">
        <v>1092</v>
      </c>
      <c r="Y15" s="185" t="s">
        <v>1092</v>
      </c>
      <c r="Z15" s="185" t="s">
        <v>3</v>
      </c>
      <c r="AA15" s="185" t="s">
        <v>1092</v>
      </c>
      <c r="AB15" s="185" t="s">
        <v>2</v>
      </c>
      <c r="AC15" s="185" t="s">
        <v>1092</v>
      </c>
      <c r="AD15" s="185" t="s">
        <v>2</v>
      </c>
      <c r="AE15" s="185" t="s">
        <v>2</v>
      </c>
      <c r="AF15" s="185" t="s">
        <v>5</v>
      </c>
      <c r="AG15" s="185" t="s">
        <v>1092</v>
      </c>
      <c r="AH15" s="185" t="s">
        <v>1092</v>
      </c>
      <c r="AI15" s="185" t="s">
        <v>3</v>
      </c>
      <c r="AJ15" s="185" t="s">
        <v>1093</v>
      </c>
      <c r="AK15" s="185" t="s">
        <v>3</v>
      </c>
      <c r="AL15" s="185" t="s">
        <v>1092</v>
      </c>
      <c r="AM15" s="185" t="s">
        <v>2</v>
      </c>
      <c r="AN15" s="185" t="s">
        <v>1092</v>
      </c>
      <c r="AO15" s="185" t="s">
        <v>3</v>
      </c>
      <c r="AP15" s="185" t="s">
        <v>3</v>
      </c>
      <c r="AQ15" s="185" t="s">
        <v>3</v>
      </c>
      <c r="AR15" s="185" t="s">
        <v>3</v>
      </c>
      <c r="AS15" s="185" t="s">
        <v>3</v>
      </c>
      <c r="AT15" s="185" t="s">
        <v>1</v>
      </c>
      <c r="AU15" s="185" t="s">
        <v>3</v>
      </c>
      <c r="AV15" s="185" t="s">
        <v>1092</v>
      </c>
      <c r="AW15" s="185" t="s">
        <v>1</v>
      </c>
      <c r="AX15" s="185" t="s">
        <v>1092</v>
      </c>
      <c r="AY15" s="185" t="s">
        <v>1092</v>
      </c>
      <c r="AZ15" s="185" t="s">
        <v>1092</v>
      </c>
      <c r="BA15" s="185" t="s">
        <v>1092</v>
      </c>
      <c r="BB15" s="185" t="s">
        <v>1092</v>
      </c>
      <c r="BC15" s="185" t="s">
        <v>1092</v>
      </c>
      <c r="BD15" s="185" t="s">
        <v>3</v>
      </c>
      <c r="BE15" s="185" t="s">
        <v>3</v>
      </c>
      <c r="BF15" s="185" t="s">
        <v>3</v>
      </c>
      <c r="BG15" s="185" t="s">
        <v>3</v>
      </c>
      <c r="BH15" s="185" t="s">
        <v>3</v>
      </c>
      <c r="BI15" s="185" t="s">
        <v>1092</v>
      </c>
      <c r="BJ15" s="185" t="s">
        <v>2</v>
      </c>
      <c r="BK15" s="185" t="s">
        <v>3</v>
      </c>
      <c r="BL15" s="185" t="s">
        <v>3</v>
      </c>
      <c r="BM15" s="185" t="s">
        <v>3</v>
      </c>
      <c r="BN15" s="185" t="s">
        <v>3</v>
      </c>
      <c r="BO15" s="185" t="s">
        <v>3</v>
      </c>
      <c r="BP15" s="185" t="s">
        <v>3</v>
      </c>
      <c r="BQ15" s="185" t="s">
        <v>3</v>
      </c>
      <c r="BR15" s="185" t="s">
        <v>3</v>
      </c>
      <c r="BS15" s="185" t="s">
        <v>3</v>
      </c>
      <c r="BT15" s="185" t="s">
        <v>1092</v>
      </c>
      <c r="BU15" s="185" t="s">
        <v>2</v>
      </c>
      <c r="BV15" s="185" t="s">
        <v>1092</v>
      </c>
      <c r="BW15" s="185" t="s">
        <v>1092</v>
      </c>
      <c r="BX15" s="185" t="s">
        <v>3</v>
      </c>
      <c r="BY15" s="185" t="s">
        <v>3</v>
      </c>
      <c r="BZ15" s="185" t="s">
        <v>3</v>
      </c>
      <c r="CA15" s="185" t="s">
        <v>3</v>
      </c>
      <c r="CB15" s="185" t="s">
        <v>3</v>
      </c>
      <c r="CC15" s="185" t="s">
        <v>3</v>
      </c>
      <c r="CD15" s="185" t="s">
        <v>3</v>
      </c>
      <c r="CE15" s="185" t="s">
        <v>2</v>
      </c>
      <c r="CF15" s="185" t="s">
        <v>3</v>
      </c>
      <c r="CG15" s="185" t="s">
        <v>3</v>
      </c>
      <c r="CH15" s="185" t="s">
        <v>1092</v>
      </c>
      <c r="CI15" s="185" t="s">
        <v>1092</v>
      </c>
      <c r="CJ15" s="185" t="s">
        <v>3</v>
      </c>
      <c r="CK15" s="185" t="s">
        <v>3</v>
      </c>
      <c r="CL15" s="185" t="s">
        <v>2</v>
      </c>
      <c r="CM15" s="185" t="s">
        <v>3</v>
      </c>
      <c r="CN15" s="185" t="s">
        <v>3</v>
      </c>
      <c r="CO15" s="185" t="s">
        <v>1092</v>
      </c>
      <c r="CP15" s="185" t="s">
        <v>1092</v>
      </c>
      <c r="CQ15" s="185" t="s">
        <v>1092</v>
      </c>
      <c r="CR15" s="185" t="s">
        <v>2</v>
      </c>
      <c r="CS15" s="185" t="s">
        <v>1093</v>
      </c>
      <c r="CT15" s="185" t="s">
        <v>1</v>
      </c>
      <c r="CU15" s="185" t="s">
        <v>2478</v>
      </c>
    </row>
    <row r="16" spans="1:99" ht="15" x14ac:dyDescent="0.25">
      <c r="A16" s="184">
        <v>42898.475288182875</v>
      </c>
      <c r="B16" s="185" t="s">
        <v>2479</v>
      </c>
      <c r="C16" s="185">
        <v>79615177</v>
      </c>
      <c r="D16" s="185" t="s">
        <v>1320</v>
      </c>
      <c r="E16" s="185" t="s">
        <v>1319</v>
      </c>
      <c r="F16" s="185" t="s">
        <v>2480</v>
      </c>
      <c r="G16" s="185" t="s">
        <v>1327</v>
      </c>
      <c r="H16" s="187">
        <v>36605</v>
      </c>
      <c r="I16" s="185" t="s">
        <v>2481</v>
      </c>
      <c r="J16" s="185" t="s">
        <v>2465</v>
      </c>
      <c r="K16" s="185" t="s">
        <v>1092</v>
      </c>
      <c r="L16" s="185" t="s">
        <v>1092</v>
      </c>
      <c r="M16" s="185" t="s">
        <v>1092</v>
      </c>
      <c r="N16" s="185" t="s">
        <v>1092</v>
      </c>
      <c r="O16" s="185" t="s">
        <v>1092</v>
      </c>
      <c r="P16" s="185" t="s">
        <v>1092</v>
      </c>
      <c r="Q16" s="185" t="s">
        <v>1092</v>
      </c>
      <c r="R16" s="185" t="s">
        <v>1092</v>
      </c>
      <c r="S16" s="185" t="s">
        <v>1092</v>
      </c>
      <c r="T16" s="185" t="s">
        <v>1092</v>
      </c>
      <c r="U16" s="185" t="s">
        <v>1092</v>
      </c>
      <c r="V16" s="185" t="s">
        <v>1092</v>
      </c>
      <c r="W16" s="185" t="s">
        <v>1092</v>
      </c>
      <c r="X16" s="185" t="s">
        <v>1092</v>
      </c>
      <c r="Y16" s="185" t="s">
        <v>1092</v>
      </c>
      <c r="Z16" s="185" t="s">
        <v>1092</v>
      </c>
      <c r="AA16" s="185" t="s">
        <v>1092</v>
      </c>
      <c r="AB16" s="185" t="s">
        <v>1092</v>
      </c>
      <c r="AC16" s="185" t="s">
        <v>1092</v>
      </c>
      <c r="AD16" s="185" t="s">
        <v>1092</v>
      </c>
      <c r="AE16" s="185" t="s">
        <v>1092</v>
      </c>
      <c r="AF16" s="185" t="s">
        <v>1093</v>
      </c>
      <c r="AG16" s="185" t="s">
        <v>1092</v>
      </c>
      <c r="AH16" s="185" t="s">
        <v>1092</v>
      </c>
      <c r="AI16" s="185" t="s">
        <v>1092</v>
      </c>
      <c r="AJ16" s="185" t="s">
        <v>1092</v>
      </c>
      <c r="AK16" s="185" t="s">
        <v>1092</v>
      </c>
      <c r="AL16" s="185" t="s">
        <v>1092</v>
      </c>
      <c r="AM16" s="185" t="s">
        <v>1092</v>
      </c>
      <c r="AN16" s="185" t="s">
        <v>1092</v>
      </c>
      <c r="AO16" s="185" t="s">
        <v>2</v>
      </c>
      <c r="AP16" s="185" t="s">
        <v>1092</v>
      </c>
      <c r="AQ16" s="185" t="s">
        <v>2</v>
      </c>
      <c r="AR16" s="185" t="s">
        <v>2</v>
      </c>
      <c r="AS16" s="185" t="s">
        <v>3</v>
      </c>
      <c r="AT16" s="185" t="s">
        <v>1092</v>
      </c>
      <c r="AU16" s="185" t="s">
        <v>1092</v>
      </c>
      <c r="AV16" s="185" t="s">
        <v>1092</v>
      </c>
      <c r="AW16" s="185" t="s">
        <v>1092</v>
      </c>
      <c r="AX16" s="185" t="s">
        <v>1092</v>
      </c>
      <c r="AY16" s="185" t="s">
        <v>1092</v>
      </c>
      <c r="AZ16" s="185" t="s">
        <v>1092</v>
      </c>
      <c r="BA16" s="185" t="s">
        <v>1092</v>
      </c>
      <c r="BB16" s="185" t="s">
        <v>1092</v>
      </c>
      <c r="BC16" s="185" t="s">
        <v>1092</v>
      </c>
      <c r="BD16" s="185" t="s">
        <v>2</v>
      </c>
      <c r="BE16" s="185" t="s">
        <v>3</v>
      </c>
      <c r="BF16" s="185" t="s">
        <v>1092</v>
      </c>
      <c r="BG16" s="185" t="s">
        <v>1092</v>
      </c>
      <c r="BH16" s="185" t="s">
        <v>1092</v>
      </c>
      <c r="BI16" s="185" t="s">
        <v>1092</v>
      </c>
      <c r="BJ16" s="185" t="s">
        <v>1092</v>
      </c>
      <c r="BK16" s="185" t="s">
        <v>2</v>
      </c>
      <c r="BL16" s="185" t="s">
        <v>2</v>
      </c>
      <c r="BM16" s="185" t="s">
        <v>1</v>
      </c>
      <c r="BN16" s="185" t="s">
        <v>3</v>
      </c>
      <c r="BO16" s="185" t="s">
        <v>3</v>
      </c>
      <c r="BP16" s="185" t="s">
        <v>3</v>
      </c>
      <c r="BQ16" s="185" t="s">
        <v>3</v>
      </c>
      <c r="BR16" s="185" t="s">
        <v>3</v>
      </c>
      <c r="BS16" s="185" t="s">
        <v>3</v>
      </c>
      <c r="BT16" s="185" t="s">
        <v>1092</v>
      </c>
      <c r="BU16" s="185" t="s">
        <v>3</v>
      </c>
      <c r="BV16" s="185" t="s">
        <v>3</v>
      </c>
      <c r="BW16" s="185" t="s">
        <v>3</v>
      </c>
      <c r="BX16" s="185" t="s">
        <v>3</v>
      </c>
      <c r="BY16" s="185" t="s">
        <v>3</v>
      </c>
      <c r="BZ16" s="185" t="s">
        <v>3</v>
      </c>
      <c r="CA16" s="185" t="s">
        <v>3</v>
      </c>
      <c r="CB16" s="185" t="s">
        <v>2</v>
      </c>
      <c r="CC16" s="185" t="s">
        <v>2</v>
      </c>
      <c r="CD16" s="185" t="s">
        <v>2</v>
      </c>
      <c r="CE16" s="185" t="s">
        <v>2</v>
      </c>
      <c r="CF16" s="185" t="s">
        <v>2</v>
      </c>
      <c r="CG16" s="185" t="s">
        <v>2</v>
      </c>
      <c r="CH16" s="185" t="s">
        <v>2</v>
      </c>
      <c r="CI16" s="185" t="s">
        <v>1092</v>
      </c>
      <c r="CJ16" s="185" t="s">
        <v>1092</v>
      </c>
      <c r="CK16" s="185" t="s">
        <v>1092</v>
      </c>
      <c r="CL16" s="185" t="s">
        <v>2</v>
      </c>
      <c r="CM16" s="185" t="s">
        <v>2</v>
      </c>
      <c r="CN16" s="185" t="s">
        <v>2</v>
      </c>
      <c r="CO16" s="185" t="s">
        <v>1092</v>
      </c>
      <c r="CP16" s="185" t="s">
        <v>3</v>
      </c>
      <c r="CQ16" s="185" t="s">
        <v>1092</v>
      </c>
      <c r="CR16" s="185" t="s">
        <v>3</v>
      </c>
      <c r="CS16" s="185" t="s">
        <v>3</v>
      </c>
      <c r="CT16" s="185" t="s">
        <v>3</v>
      </c>
      <c r="CU16" s="188"/>
    </row>
    <row r="17" spans="1:99" ht="15" x14ac:dyDescent="0.25">
      <c r="A17" s="184">
        <v>42898.475720173607</v>
      </c>
      <c r="B17" s="185" t="s">
        <v>2427</v>
      </c>
      <c r="C17" s="185">
        <v>19461636</v>
      </c>
      <c r="D17" s="185" t="s">
        <v>1325</v>
      </c>
      <c r="E17" s="185" t="s">
        <v>1324</v>
      </c>
      <c r="F17" s="185" t="s">
        <v>2482</v>
      </c>
      <c r="G17" s="185" t="s">
        <v>2429</v>
      </c>
      <c r="H17" s="187">
        <v>36010</v>
      </c>
      <c r="I17" s="185" t="s">
        <v>2430</v>
      </c>
      <c r="J17" s="185" t="s">
        <v>2465</v>
      </c>
      <c r="K17" s="185" t="s">
        <v>1092</v>
      </c>
      <c r="L17" s="185" t="s">
        <v>1092</v>
      </c>
      <c r="M17" s="185" t="s">
        <v>1092</v>
      </c>
      <c r="N17" s="185" t="s">
        <v>3</v>
      </c>
      <c r="O17" s="185" t="s">
        <v>1092</v>
      </c>
      <c r="P17" s="185" t="s">
        <v>1092</v>
      </c>
      <c r="Q17" s="185" t="s">
        <v>3</v>
      </c>
      <c r="R17" s="185" t="s">
        <v>1092</v>
      </c>
      <c r="S17" s="185" t="s">
        <v>3</v>
      </c>
      <c r="T17" s="185" t="s">
        <v>3</v>
      </c>
      <c r="U17" s="185" t="s">
        <v>1092</v>
      </c>
      <c r="V17" s="185" t="s">
        <v>3</v>
      </c>
      <c r="W17" s="185" t="s">
        <v>3</v>
      </c>
      <c r="X17" s="185" t="s">
        <v>1092</v>
      </c>
      <c r="Y17" s="185" t="s">
        <v>1092</v>
      </c>
      <c r="Z17" s="185" t="s">
        <v>3</v>
      </c>
      <c r="AA17" s="185" t="s">
        <v>1092</v>
      </c>
      <c r="AB17" s="185" t="s">
        <v>3</v>
      </c>
      <c r="AC17" s="185" t="s">
        <v>1092</v>
      </c>
      <c r="AD17" s="185" t="s">
        <v>5</v>
      </c>
      <c r="AE17" s="185" t="s">
        <v>5</v>
      </c>
      <c r="AF17" s="185" t="s">
        <v>3</v>
      </c>
      <c r="AG17" s="188"/>
      <c r="AH17" s="185" t="s">
        <v>3</v>
      </c>
      <c r="AI17" s="188"/>
      <c r="AJ17" s="185" t="s">
        <v>2</v>
      </c>
      <c r="AK17" s="185" t="s">
        <v>3</v>
      </c>
      <c r="AL17" s="185" t="s">
        <v>3</v>
      </c>
      <c r="AM17" s="185" t="s">
        <v>2</v>
      </c>
      <c r="AN17" s="185" t="s">
        <v>1092</v>
      </c>
      <c r="AO17" s="185" t="s">
        <v>1092</v>
      </c>
      <c r="AP17" s="185" t="s">
        <v>3</v>
      </c>
      <c r="AQ17" s="185" t="s">
        <v>3</v>
      </c>
      <c r="AR17" s="185" t="s">
        <v>3</v>
      </c>
      <c r="AS17" s="185" t="s">
        <v>3</v>
      </c>
      <c r="AT17" s="185" t="s">
        <v>2</v>
      </c>
      <c r="AU17" s="185" t="s">
        <v>3</v>
      </c>
      <c r="AV17" s="185" t="s">
        <v>1092</v>
      </c>
      <c r="AW17" s="185" t="s">
        <v>3</v>
      </c>
      <c r="AX17" s="185" t="s">
        <v>1092</v>
      </c>
      <c r="AY17" s="185" t="s">
        <v>1092</v>
      </c>
      <c r="AZ17" s="185" t="s">
        <v>1092</v>
      </c>
      <c r="BA17" s="185" t="s">
        <v>1092</v>
      </c>
      <c r="BB17" s="185" t="s">
        <v>1092</v>
      </c>
      <c r="BC17" s="185" t="s">
        <v>1092</v>
      </c>
      <c r="BD17" s="185" t="s">
        <v>1092</v>
      </c>
      <c r="BE17" s="185" t="s">
        <v>3</v>
      </c>
      <c r="BF17" s="185" t="s">
        <v>1092</v>
      </c>
      <c r="BG17" s="185" t="s">
        <v>3</v>
      </c>
      <c r="BH17" s="185" t="s">
        <v>1092</v>
      </c>
      <c r="BI17" s="185" t="s">
        <v>5</v>
      </c>
      <c r="BJ17" s="185" t="s">
        <v>1092</v>
      </c>
      <c r="BK17" s="185" t="s">
        <v>3</v>
      </c>
      <c r="BL17" s="185" t="s">
        <v>1092</v>
      </c>
      <c r="BM17" s="185" t="s">
        <v>3</v>
      </c>
      <c r="BN17" s="185" t="s">
        <v>1092</v>
      </c>
      <c r="BO17" s="185" t="s">
        <v>1092</v>
      </c>
      <c r="BP17" s="185" t="s">
        <v>1092</v>
      </c>
      <c r="BQ17" s="185" t="s">
        <v>1092</v>
      </c>
      <c r="BR17" s="185" t="s">
        <v>1092</v>
      </c>
      <c r="BS17" s="185" t="s">
        <v>1092</v>
      </c>
      <c r="BT17" s="185" t="s">
        <v>1092</v>
      </c>
      <c r="BU17" s="185" t="s">
        <v>3</v>
      </c>
      <c r="BV17" s="185" t="s">
        <v>1092</v>
      </c>
      <c r="BW17" s="185" t="s">
        <v>1092</v>
      </c>
      <c r="BX17" s="185" t="s">
        <v>3</v>
      </c>
      <c r="BY17" s="185" t="s">
        <v>1092</v>
      </c>
      <c r="BZ17" s="185" t="s">
        <v>1092</v>
      </c>
      <c r="CA17" s="185" t="s">
        <v>1092</v>
      </c>
      <c r="CB17" s="185" t="s">
        <v>3</v>
      </c>
      <c r="CC17" s="185" t="s">
        <v>1092</v>
      </c>
      <c r="CD17" s="185" t="s">
        <v>3</v>
      </c>
      <c r="CE17" s="185" t="s">
        <v>3</v>
      </c>
      <c r="CF17" s="185" t="s">
        <v>3</v>
      </c>
      <c r="CG17" s="185" t="s">
        <v>1092</v>
      </c>
      <c r="CH17" s="185" t="s">
        <v>1092</v>
      </c>
      <c r="CI17" s="185" t="s">
        <v>1092</v>
      </c>
      <c r="CJ17" s="185" t="s">
        <v>1092</v>
      </c>
      <c r="CK17" s="185" t="s">
        <v>3</v>
      </c>
      <c r="CL17" s="185" t="s">
        <v>3</v>
      </c>
      <c r="CM17" s="185" t="s">
        <v>3</v>
      </c>
      <c r="CN17" s="185" t="s">
        <v>1092</v>
      </c>
      <c r="CO17" s="185" t="s">
        <v>1092</v>
      </c>
      <c r="CP17" s="185" t="s">
        <v>1092</v>
      </c>
      <c r="CQ17" s="185" t="s">
        <v>1092</v>
      </c>
      <c r="CR17" s="185" t="s">
        <v>1092</v>
      </c>
      <c r="CS17" s="185" t="s">
        <v>3</v>
      </c>
      <c r="CT17" s="185" t="s">
        <v>1092</v>
      </c>
      <c r="CU17" s="188"/>
    </row>
    <row r="18" spans="1:99" ht="15" x14ac:dyDescent="0.25">
      <c r="A18" s="184">
        <v>42898.476744687505</v>
      </c>
      <c r="B18" s="185" t="s">
        <v>2483</v>
      </c>
      <c r="C18" s="185">
        <v>1022339649</v>
      </c>
      <c r="D18" s="185" t="s">
        <v>1325</v>
      </c>
      <c r="E18" s="185" t="s">
        <v>1331</v>
      </c>
      <c r="F18" s="185" t="s">
        <v>2484</v>
      </c>
      <c r="G18" s="185" t="s">
        <v>1330</v>
      </c>
      <c r="H18" s="187">
        <v>42248</v>
      </c>
      <c r="I18" s="185" t="s">
        <v>2485</v>
      </c>
      <c r="J18" s="185" t="s">
        <v>2465</v>
      </c>
      <c r="K18" s="185" t="s">
        <v>1092</v>
      </c>
      <c r="L18" s="185" t="s">
        <v>1092</v>
      </c>
      <c r="M18" s="185" t="s">
        <v>1092</v>
      </c>
      <c r="N18" s="185" t="s">
        <v>1092</v>
      </c>
      <c r="O18" s="185" t="s">
        <v>1093</v>
      </c>
      <c r="P18" s="185" t="s">
        <v>1093</v>
      </c>
      <c r="Q18" s="185" t="s">
        <v>1092</v>
      </c>
      <c r="R18" s="185" t="s">
        <v>1092</v>
      </c>
      <c r="S18" s="185" t="s">
        <v>1092</v>
      </c>
      <c r="T18" s="185" t="s">
        <v>1092</v>
      </c>
      <c r="U18" s="185" t="s">
        <v>1092</v>
      </c>
      <c r="V18" s="185" t="s">
        <v>1093</v>
      </c>
      <c r="W18" s="185" t="s">
        <v>1092</v>
      </c>
      <c r="X18" s="185" t="s">
        <v>1093</v>
      </c>
      <c r="Y18" s="185" t="s">
        <v>1092</v>
      </c>
      <c r="Z18" s="185" t="s">
        <v>1093</v>
      </c>
      <c r="AA18" s="185" t="s">
        <v>1092</v>
      </c>
      <c r="AB18" s="185" t="s">
        <v>1093</v>
      </c>
      <c r="AC18" s="185" t="s">
        <v>1093</v>
      </c>
      <c r="AD18" s="185" t="s">
        <v>1093</v>
      </c>
      <c r="AE18" s="185" t="s">
        <v>5</v>
      </c>
      <c r="AF18" s="185" t="s">
        <v>1093</v>
      </c>
      <c r="AG18" s="188"/>
      <c r="AH18" s="185" t="s">
        <v>1092</v>
      </c>
      <c r="AI18" s="188"/>
      <c r="AJ18" s="185" t="s">
        <v>1093</v>
      </c>
      <c r="AK18" s="185" t="s">
        <v>1093</v>
      </c>
      <c r="AL18" s="185" t="s">
        <v>1092</v>
      </c>
      <c r="AM18" s="185" t="s">
        <v>5</v>
      </c>
      <c r="AN18" s="185" t="s">
        <v>1092</v>
      </c>
      <c r="AO18" s="185" t="s">
        <v>1093</v>
      </c>
      <c r="AP18" s="185" t="s">
        <v>1092</v>
      </c>
      <c r="AQ18" s="185" t="s">
        <v>1093</v>
      </c>
      <c r="AR18" s="185" t="s">
        <v>1093</v>
      </c>
      <c r="AS18" s="185" t="s">
        <v>1092</v>
      </c>
      <c r="AT18" s="185" t="s">
        <v>1092</v>
      </c>
      <c r="AU18" s="185" t="s">
        <v>1092</v>
      </c>
      <c r="AV18" s="185" t="s">
        <v>1092</v>
      </c>
      <c r="AW18" s="185" t="s">
        <v>5</v>
      </c>
      <c r="AX18" s="185" t="s">
        <v>1093</v>
      </c>
      <c r="AY18" s="185" t="s">
        <v>1093</v>
      </c>
      <c r="AZ18" s="185" t="s">
        <v>1092</v>
      </c>
      <c r="BA18" s="185" t="s">
        <v>1093</v>
      </c>
      <c r="BB18" s="185" t="s">
        <v>1092</v>
      </c>
      <c r="BC18" s="185" t="s">
        <v>1092</v>
      </c>
      <c r="BD18" s="185" t="s">
        <v>1092</v>
      </c>
      <c r="BE18" s="185" t="s">
        <v>1092</v>
      </c>
      <c r="BF18" s="185" t="s">
        <v>1092</v>
      </c>
      <c r="BG18" s="185" t="s">
        <v>1092</v>
      </c>
      <c r="BH18" s="185" t="s">
        <v>1092</v>
      </c>
      <c r="BI18" s="185" t="s">
        <v>1093</v>
      </c>
      <c r="BJ18" s="185" t="s">
        <v>1093</v>
      </c>
      <c r="BK18" s="185" t="s">
        <v>5</v>
      </c>
      <c r="BL18" s="185" t="s">
        <v>5</v>
      </c>
      <c r="BM18" s="185" t="s">
        <v>5</v>
      </c>
      <c r="BN18" s="185" t="s">
        <v>1093</v>
      </c>
      <c r="BO18" s="185" t="s">
        <v>1093</v>
      </c>
      <c r="BP18" s="185" t="s">
        <v>1093</v>
      </c>
      <c r="BQ18" s="185" t="s">
        <v>1093</v>
      </c>
      <c r="BR18" s="185" t="s">
        <v>1092</v>
      </c>
      <c r="BS18" s="185" t="s">
        <v>1092</v>
      </c>
      <c r="BT18" s="185" t="s">
        <v>1092</v>
      </c>
      <c r="BU18" s="185" t="s">
        <v>1093</v>
      </c>
      <c r="BV18" s="185" t="s">
        <v>1093</v>
      </c>
      <c r="BW18" s="185" t="s">
        <v>1093</v>
      </c>
      <c r="BX18" s="185" t="s">
        <v>1093</v>
      </c>
      <c r="BY18" s="185" t="s">
        <v>1093</v>
      </c>
      <c r="BZ18" s="185" t="s">
        <v>1093</v>
      </c>
      <c r="CA18" s="185" t="s">
        <v>1092</v>
      </c>
      <c r="CB18" s="185" t="s">
        <v>1093</v>
      </c>
      <c r="CC18" s="185" t="s">
        <v>1093</v>
      </c>
      <c r="CD18" s="185" t="s">
        <v>1093</v>
      </c>
      <c r="CE18" s="185" t="s">
        <v>1093</v>
      </c>
      <c r="CF18" s="185" t="s">
        <v>1093</v>
      </c>
      <c r="CG18" s="185" t="s">
        <v>1093</v>
      </c>
      <c r="CH18" s="185" t="s">
        <v>1092</v>
      </c>
      <c r="CI18" s="185" t="s">
        <v>1092</v>
      </c>
      <c r="CJ18" s="185" t="s">
        <v>1093</v>
      </c>
      <c r="CK18" s="185" t="s">
        <v>1093</v>
      </c>
      <c r="CL18" s="185" t="s">
        <v>1092</v>
      </c>
      <c r="CM18" s="185" t="s">
        <v>1092</v>
      </c>
      <c r="CN18" s="185" t="s">
        <v>1092</v>
      </c>
      <c r="CO18" s="185" t="s">
        <v>1092</v>
      </c>
      <c r="CP18" s="185" t="s">
        <v>1092</v>
      </c>
      <c r="CQ18" s="185" t="s">
        <v>1092</v>
      </c>
      <c r="CR18" s="185" t="s">
        <v>1093</v>
      </c>
      <c r="CS18" s="185" t="s">
        <v>1093</v>
      </c>
      <c r="CT18" s="185" t="s">
        <v>1092</v>
      </c>
      <c r="CU18" s="188"/>
    </row>
    <row r="19" spans="1:99" ht="12.75" x14ac:dyDescent="0.2">
      <c r="A19" s="184">
        <v>42898.477136724541</v>
      </c>
      <c r="B19" s="185" t="s">
        <v>2486</v>
      </c>
      <c r="C19" s="185">
        <v>7169011</v>
      </c>
      <c r="D19" s="185" t="s">
        <v>1320</v>
      </c>
      <c r="E19" s="185" t="s">
        <v>1324</v>
      </c>
      <c r="F19" s="185" t="s">
        <v>2487</v>
      </c>
      <c r="G19" s="185" t="s">
        <v>2488</v>
      </c>
      <c r="H19" s="187">
        <v>38393</v>
      </c>
      <c r="I19" s="185" t="s">
        <v>2489</v>
      </c>
      <c r="J19" s="185" t="s">
        <v>2465</v>
      </c>
      <c r="K19" s="185" t="s">
        <v>1092</v>
      </c>
      <c r="L19" s="185" t="s">
        <v>1092</v>
      </c>
      <c r="M19" s="185" t="s">
        <v>1092</v>
      </c>
      <c r="N19" s="185" t="s">
        <v>3</v>
      </c>
      <c r="O19" s="185" t="s">
        <v>1092</v>
      </c>
      <c r="P19" s="185" t="s">
        <v>1092</v>
      </c>
      <c r="Q19" s="185" t="s">
        <v>2</v>
      </c>
      <c r="R19" s="185" t="s">
        <v>3</v>
      </c>
      <c r="S19" s="185" t="s">
        <v>1092</v>
      </c>
      <c r="T19" s="185" t="s">
        <v>3</v>
      </c>
      <c r="U19" s="185" t="s">
        <v>3</v>
      </c>
      <c r="V19" s="185" t="s">
        <v>1092</v>
      </c>
      <c r="W19" s="185" t="s">
        <v>1092</v>
      </c>
      <c r="X19" s="185" t="s">
        <v>1092</v>
      </c>
      <c r="Y19" s="185" t="s">
        <v>1092</v>
      </c>
      <c r="Z19" s="185" t="s">
        <v>3</v>
      </c>
      <c r="AA19" s="185" t="s">
        <v>2</v>
      </c>
      <c r="AB19" s="185" t="s">
        <v>1093</v>
      </c>
      <c r="AC19" s="185" t="s">
        <v>1092</v>
      </c>
      <c r="AD19" s="185" t="s">
        <v>1092</v>
      </c>
      <c r="AE19" s="185" t="s">
        <v>1093</v>
      </c>
      <c r="AF19" s="185" t="s">
        <v>5</v>
      </c>
      <c r="AG19" s="185" t="s">
        <v>1092</v>
      </c>
      <c r="AH19" s="185" t="s">
        <v>5</v>
      </c>
      <c r="AI19" s="185" t="s">
        <v>3</v>
      </c>
      <c r="AJ19" s="185" t="s">
        <v>1</v>
      </c>
      <c r="AK19" s="185" t="s">
        <v>3</v>
      </c>
      <c r="AL19" s="185" t="s">
        <v>1092</v>
      </c>
      <c r="AM19" s="185" t="s">
        <v>3</v>
      </c>
      <c r="AN19" s="185" t="s">
        <v>3</v>
      </c>
      <c r="AO19" s="185" t="s">
        <v>2</v>
      </c>
      <c r="AP19" s="185" t="s">
        <v>5</v>
      </c>
      <c r="AQ19" s="185" t="s">
        <v>3</v>
      </c>
      <c r="AR19" s="185" t="s">
        <v>3</v>
      </c>
      <c r="AS19" s="185" t="s">
        <v>3</v>
      </c>
      <c r="AT19" s="185" t="s">
        <v>3</v>
      </c>
      <c r="AU19" s="185" t="s">
        <v>2</v>
      </c>
      <c r="AV19" s="185" t="s">
        <v>3</v>
      </c>
      <c r="AW19" s="185" t="s">
        <v>3</v>
      </c>
      <c r="AX19" s="185" t="s">
        <v>3</v>
      </c>
      <c r="AY19" s="185" t="s">
        <v>3</v>
      </c>
      <c r="AZ19" s="185" t="s">
        <v>3</v>
      </c>
      <c r="BA19" s="185" t="s">
        <v>3</v>
      </c>
      <c r="BB19" s="185" t="s">
        <v>3</v>
      </c>
      <c r="BC19" s="185" t="s">
        <v>3</v>
      </c>
      <c r="BD19" s="185" t="s">
        <v>3</v>
      </c>
      <c r="BE19" s="185" t="s">
        <v>3</v>
      </c>
      <c r="BF19" s="185" t="s">
        <v>3</v>
      </c>
      <c r="BG19" s="185" t="s">
        <v>3</v>
      </c>
      <c r="BH19" s="185" t="s">
        <v>3</v>
      </c>
      <c r="BI19" s="185" t="s">
        <v>1093</v>
      </c>
      <c r="BJ19" s="185" t="s">
        <v>3</v>
      </c>
      <c r="BK19" s="185" t="s">
        <v>1092</v>
      </c>
      <c r="BL19" s="185" t="s">
        <v>3</v>
      </c>
      <c r="BM19" s="185" t="s">
        <v>3</v>
      </c>
      <c r="BN19" s="185" t="s">
        <v>2</v>
      </c>
      <c r="BO19" s="185" t="s">
        <v>2</v>
      </c>
      <c r="BP19" s="185" t="s">
        <v>2</v>
      </c>
      <c r="BQ19" s="185" t="s">
        <v>3</v>
      </c>
      <c r="BR19" s="185" t="s">
        <v>3</v>
      </c>
      <c r="BS19" s="185" t="s">
        <v>3</v>
      </c>
      <c r="BT19" s="185" t="s">
        <v>1092</v>
      </c>
      <c r="BU19" s="185" t="s">
        <v>1092</v>
      </c>
      <c r="BV19" s="185" t="s">
        <v>1092</v>
      </c>
      <c r="BW19" s="185" t="s">
        <v>2</v>
      </c>
      <c r="BX19" s="185" t="s">
        <v>3</v>
      </c>
      <c r="BY19" s="185" t="s">
        <v>3</v>
      </c>
      <c r="BZ19" s="185" t="s">
        <v>3</v>
      </c>
      <c r="CA19" s="185" t="s">
        <v>3</v>
      </c>
      <c r="CB19" s="185" t="s">
        <v>1092</v>
      </c>
      <c r="CC19" s="185" t="s">
        <v>3</v>
      </c>
      <c r="CD19" s="185" t="s">
        <v>1</v>
      </c>
      <c r="CE19" s="185" t="s">
        <v>3</v>
      </c>
      <c r="CF19" s="185" t="s">
        <v>3</v>
      </c>
      <c r="CG19" s="185" t="s">
        <v>3</v>
      </c>
      <c r="CH19" s="185" t="s">
        <v>1092</v>
      </c>
      <c r="CI19" s="185" t="s">
        <v>1092</v>
      </c>
      <c r="CJ19" s="185" t="s">
        <v>2</v>
      </c>
      <c r="CK19" s="185" t="s">
        <v>2</v>
      </c>
      <c r="CL19" s="185" t="s">
        <v>3</v>
      </c>
      <c r="CM19" s="185" t="s">
        <v>3</v>
      </c>
      <c r="CN19" s="185" t="s">
        <v>3</v>
      </c>
      <c r="CO19" s="185" t="s">
        <v>3</v>
      </c>
      <c r="CP19" s="185" t="s">
        <v>3</v>
      </c>
      <c r="CQ19" s="185" t="s">
        <v>3</v>
      </c>
      <c r="CR19" s="185" t="s">
        <v>2</v>
      </c>
      <c r="CS19" s="185" t="s">
        <v>2</v>
      </c>
      <c r="CT19" s="185" t="s">
        <v>2</v>
      </c>
      <c r="CU19" s="185" t="s">
        <v>2490</v>
      </c>
    </row>
    <row r="20" spans="1:99" ht="15" x14ac:dyDescent="0.25">
      <c r="A20" s="184">
        <v>42898.477407199069</v>
      </c>
      <c r="B20" s="185" t="s">
        <v>2491</v>
      </c>
      <c r="C20" s="185">
        <v>80064121</v>
      </c>
      <c r="D20" s="185" t="s">
        <v>1323</v>
      </c>
      <c r="E20" s="185" t="s">
        <v>1319</v>
      </c>
      <c r="F20" s="185" t="s">
        <v>2095</v>
      </c>
      <c r="G20" s="185" t="s">
        <v>2492</v>
      </c>
      <c r="H20" s="187">
        <v>40941</v>
      </c>
      <c r="I20" s="185" t="s">
        <v>2493</v>
      </c>
      <c r="J20" s="185" t="s">
        <v>2465</v>
      </c>
      <c r="K20" s="185" t="s">
        <v>1092</v>
      </c>
      <c r="L20" s="185" t="s">
        <v>1092</v>
      </c>
      <c r="M20" s="185" t="s">
        <v>1092</v>
      </c>
      <c r="N20" s="185" t="s">
        <v>3</v>
      </c>
      <c r="O20" s="185" t="s">
        <v>3</v>
      </c>
      <c r="P20" s="185" t="s">
        <v>2</v>
      </c>
      <c r="Q20" s="185" t="s">
        <v>1092</v>
      </c>
      <c r="R20" s="185" t="s">
        <v>1092</v>
      </c>
      <c r="S20" s="185" t="s">
        <v>3</v>
      </c>
      <c r="T20" s="185" t="s">
        <v>3</v>
      </c>
      <c r="U20" s="185" t="s">
        <v>1092</v>
      </c>
      <c r="V20" s="185" t="s">
        <v>3</v>
      </c>
      <c r="W20" s="185" t="s">
        <v>1092</v>
      </c>
      <c r="X20" s="185" t="s">
        <v>3</v>
      </c>
      <c r="Y20" s="185" t="s">
        <v>1092</v>
      </c>
      <c r="Z20" s="185" t="s">
        <v>3</v>
      </c>
      <c r="AA20" s="185" t="s">
        <v>2</v>
      </c>
      <c r="AB20" s="185" t="s">
        <v>1</v>
      </c>
      <c r="AC20" s="185" t="s">
        <v>1092</v>
      </c>
      <c r="AD20" s="185" t="s">
        <v>1093</v>
      </c>
      <c r="AE20" s="185" t="s">
        <v>1093</v>
      </c>
      <c r="AF20" s="185" t="s">
        <v>1093</v>
      </c>
      <c r="AG20" s="188"/>
      <c r="AH20" s="185" t="s">
        <v>1093</v>
      </c>
      <c r="AI20" s="188"/>
      <c r="AJ20" s="185" t="s">
        <v>1093</v>
      </c>
      <c r="AK20" s="185" t="s">
        <v>2</v>
      </c>
      <c r="AL20" s="185" t="s">
        <v>1092</v>
      </c>
      <c r="AM20" s="185" t="s">
        <v>3</v>
      </c>
      <c r="AN20" s="185" t="s">
        <v>1092</v>
      </c>
      <c r="AO20" s="185" t="s">
        <v>1092</v>
      </c>
      <c r="AP20" s="185" t="s">
        <v>3</v>
      </c>
      <c r="AQ20" s="185" t="s">
        <v>3</v>
      </c>
      <c r="AR20" s="185" t="s">
        <v>3</v>
      </c>
      <c r="AS20" s="185" t="s">
        <v>3</v>
      </c>
      <c r="AT20" s="185" t="s">
        <v>3</v>
      </c>
      <c r="AU20" s="185" t="s">
        <v>2</v>
      </c>
      <c r="AV20" s="185" t="s">
        <v>3</v>
      </c>
      <c r="AW20" s="185" t="s">
        <v>3</v>
      </c>
      <c r="AX20" s="185" t="s">
        <v>3</v>
      </c>
      <c r="AY20" s="185" t="s">
        <v>3</v>
      </c>
      <c r="AZ20" s="185" t="s">
        <v>1092</v>
      </c>
      <c r="BA20" s="185" t="s">
        <v>1092</v>
      </c>
      <c r="BB20" s="185" t="s">
        <v>1092</v>
      </c>
      <c r="BC20" s="185" t="s">
        <v>3</v>
      </c>
      <c r="BD20" s="185" t="s">
        <v>2</v>
      </c>
      <c r="BE20" s="185" t="s">
        <v>2</v>
      </c>
      <c r="BF20" s="185" t="s">
        <v>3</v>
      </c>
      <c r="BG20" s="185" t="s">
        <v>1093</v>
      </c>
      <c r="BH20" s="185" t="s">
        <v>2</v>
      </c>
      <c r="BI20" s="185" t="s">
        <v>1093</v>
      </c>
      <c r="BJ20" s="185" t="s">
        <v>1093</v>
      </c>
      <c r="BK20" s="185" t="s">
        <v>1093</v>
      </c>
      <c r="BL20" s="185" t="s">
        <v>1093</v>
      </c>
      <c r="BM20" s="185" t="s">
        <v>1093</v>
      </c>
      <c r="BN20" s="185" t="s">
        <v>1093</v>
      </c>
      <c r="BO20" s="185" t="s">
        <v>2</v>
      </c>
      <c r="BP20" s="185" t="s">
        <v>2</v>
      </c>
      <c r="BQ20" s="185" t="s">
        <v>1093</v>
      </c>
      <c r="BR20" s="185" t="s">
        <v>2</v>
      </c>
      <c r="BS20" s="185" t="s">
        <v>1093</v>
      </c>
      <c r="BT20" s="185" t="s">
        <v>1092</v>
      </c>
      <c r="BU20" s="185" t="s">
        <v>2</v>
      </c>
      <c r="BV20" s="185" t="s">
        <v>1</v>
      </c>
      <c r="BW20" s="185" t="s">
        <v>1093</v>
      </c>
      <c r="BX20" s="185" t="s">
        <v>1093</v>
      </c>
      <c r="BY20" s="185" t="s">
        <v>1093</v>
      </c>
      <c r="BZ20" s="185" t="s">
        <v>2</v>
      </c>
      <c r="CA20" s="185" t="s">
        <v>3</v>
      </c>
      <c r="CB20" s="185" t="s">
        <v>1093</v>
      </c>
      <c r="CC20" s="185" t="s">
        <v>1093</v>
      </c>
      <c r="CD20" s="185" t="s">
        <v>1093</v>
      </c>
      <c r="CE20" s="185" t="s">
        <v>1093</v>
      </c>
      <c r="CF20" s="185" t="s">
        <v>1093</v>
      </c>
      <c r="CG20" s="185" t="s">
        <v>1093</v>
      </c>
      <c r="CH20" s="185" t="s">
        <v>1092</v>
      </c>
      <c r="CI20" s="185" t="s">
        <v>3</v>
      </c>
      <c r="CJ20" s="185" t="s">
        <v>1093</v>
      </c>
      <c r="CK20" s="185" t="s">
        <v>1093</v>
      </c>
      <c r="CL20" s="185" t="s">
        <v>1093</v>
      </c>
      <c r="CM20" s="185" t="s">
        <v>1093</v>
      </c>
      <c r="CN20" s="185" t="s">
        <v>3</v>
      </c>
      <c r="CO20" s="185" t="s">
        <v>3</v>
      </c>
      <c r="CP20" s="185" t="s">
        <v>2</v>
      </c>
      <c r="CQ20" s="185" t="s">
        <v>3</v>
      </c>
      <c r="CR20" s="185" t="s">
        <v>2</v>
      </c>
      <c r="CS20" s="185" t="s">
        <v>2</v>
      </c>
      <c r="CT20" s="185" t="s">
        <v>2</v>
      </c>
      <c r="CU20" s="188"/>
    </row>
    <row r="21" spans="1:99" ht="15" x14ac:dyDescent="0.25">
      <c r="A21" s="184">
        <v>42898.478456655095</v>
      </c>
      <c r="B21" s="185" t="s">
        <v>2494</v>
      </c>
      <c r="C21" s="185">
        <v>1030602744</v>
      </c>
      <c r="D21" s="185" t="s">
        <v>1323</v>
      </c>
      <c r="E21" s="185" t="s">
        <v>1331</v>
      </c>
      <c r="F21" s="185" t="s">
        <v>64</v>
      </c>
      <c r="G21" s="185" t="s">
        <v>64</v>
      </c>
      <c r="H21" s="187">
        <v>42864</v>
      </c>
      <c r="I21" s="185" t="s">
        <v>2495</v>
      </c>
      <c r="J21" s="185" t="s">
        <v>2465</v>
      </c>
      <c r="K21" s="185" t="s">
        <v>1092</v>
      </c>
      <c r="L21" s="185" t="s">
        <v>1092</v>
      </c>
      <c r="M21" s="185" t="s">
        <v>1092</v>
      </c>
      <c r="N21" s="185" t="s">
        <v>1092</v>
      </c>
      <c r="O21" s="185" t="s">
        <v>2</v>
      </c>
      <c r="P21" s="185" t="s">
        <v>1093</v>
      </c>
      <c r="Q21" s="185" t="s">
        <v>1</v>
      </c>
      <c r="R21" s="185" t="s">
        <v>1092</v>
      </c>
      <c r="S21" s="185" t="s">
        <v>3</v>
      </c>
      <c r="T21" s="185" t="s">
        <v>3</v>
      </c>
      <c r="U21" s="185" t="s">
        <v>3</v>
      </c>
      <c r="V21" s="185" t="s">
        <v>3</v>
      </c>
      <c r="W21" s="185" t="s">
        <v>3</v>
      </c>
      <c r="X21" s="185" t="s">
        <v>3</v>
      </c>
      <c r="Y21" s="185" t="s">
        <v>3</v>
      </c>
      <c r="Z21" s="185" t="s">
        <v>3</v>
      </c>
      <c r="AA21" s="185" t="s">
        <v>3</v>
      </c>
      <c r="AB21" s="185" t="s">
        <v>2</v>
      </c>
      <c r="AC21" s="185" t="s">
        <v>1</v>
      </c>
      <c r="AD21" s="185" t="s">
        <v>1093</v>
      </c>
      <c r="AE21" s="185" t="s">
        <v>1093</v>
      </c>
      <c r="AF21" s="185" t="s">
        <v>1</v>
      </c>
      <c r="AG21" s="188"/>
      <c r="AH21" s="185" t="s">
        <v>2</v>
      </c>
      <c r="AI21" s="188"/>
      <c r="AJ21" s="185" t="s">
        <v>1</v>
      </c>
      <c r="AK21" s="185" t="s">
        <v>1</v>
      </c>
      <c r="AL21" s="185" t="s">
        <v>5</v>
      </c>
      <c r="AM21" s="185" t="s">
        <v>5</v>
      </c>
      <c r="AN21" s="185" t="s">
        <v>3</v>
      </c>
      <c r="AO21" s="185" t="s">
        <v>2</v>
      </c>
      <c r="AP21" s="185" t="s">
        <v>2</v>
      </c>
      <c r="AQ21" s="185" t="s">
        <v>2</v>
      </c>
      <c r="AR21" s="185" t="s">
        <v>2</v>
      </c>
      <c r="AS21" s="185" t="s">
        <v>5</v>
      </c>
      <c r="AT21" s="185" t="s">
        <v>2</v>
      </c>
      <c r="AU21" s="185" t="s">
        <v>1</v>
      </c>
      <c r="AV21" s="185" t="s">
        <v>5</v>
      </c>
      <c r="AW21" s="185" t="s">
        <v>2</v>
      </c>
      <c r="AX21" s="185" t="s">
        <v>1092</v>
      </c>
      <c r="AY21" s="185" t="s">
        <v>1092</v>
      </c>
      <c r="AZ21" s="185" t="s">
        <v>1092</v>
      </c>
      <c r="BA21" s="185" t="s">
        <v>3</v>
      </c>
      <c r="BB21" s="185" t="s">
        <v>2</v>
      </c>
      <c r="BC21" s="185" t="s">
        <v>3</v>
      </c>
      <c r="BD21" s="185" t="s">
        <v>2</v>
      </c>
      <c r="BE21" s="185" t="s">
        <v>2</v>
      </c>
      <c r="BF21" s="185" t="s">
        <v>2</v>
      </c>
      <c r="BG21" s="185" t="s">
        <v>1</v>
      </c>
      <c r="BH21" s="185" t="s">
        <v>3</v>
      </c>
      <c r="BI21" s="185" t="s">
        <v>1093</v>
      </c>
      <c r="BJ21" s="185" t="s">
        <v>2</v>
      </c>
      <c r="BK21" s="185" t="s">
        <v>3</v>
      </c>
      <c r="BL21" s="185" t="s">
        <v>3</v>
      </c>
      <c r="BM21" s="185" t="s">
        <v>2</v>
      </c>
      <c r="BN21" s="185" t="s">
        <v>2</v>
      </c>
      <c r="BO21" s="185" t="s">
        <v>3</v>
      </c>
      <c r="BP21" s="185" t="s">
        <v>3</v>
      </c>
      <c r="BQ21" s="185" t="s">
        <v>2</v>
      </c>
      <c r="BR21" s="185" t="s">
        <v>3</v>
      </c>
      <c r="BS21" s="185" t="s">
        <v>3</v>
      </c>
      <c r="BT21" s="185" t="s">
        <v>3</v>
      </c>
      <c r="BU21" s="185" t="s">
        <v>3</v>
      </c>
      <c r="BV21" s="185" t="s">
        <v>3</v>
      </c>
      <c r="BW21" s="185" t="s">
        <v>2</v>
      </c>
      <c r="BX21" s="185" t="s">
        <v>2</v>
      </c>
      <c r="BY21" s="185" t="s">
        <v>3</v>
      </c>
      <c r="BZ21" s="185" t="s">
        <v>3</v>
      </c>
      <c r="CA21" s="185" t="s">
        <v>3</v>
      </c>
      <c r="CB21" s="185" t="s">
        <v>1</v>
      </c>
      <c r="CC21" s="185" t="s">
        <v>1</v>
      </c>
      <c r="CD21" s="185" t="s">
        <v>1</v>
      </c>
      <c r="CE21" s="185" t="s">
        <v>3</v>
      </c>
      <c r="CF21" s="185" t="s">
        <v>3</v>
      </c>
      <c r="CG21" s="185" t="s">
        <v>3</v>
      </c>
      <c r="CH21" s="185" t="s">
        <v>1092</v>
      </c>
      <c r="CI21" s="185" t="s">
        <v>1092</v>
      </c>
      <c r="CJ21" s="185" t="s">
        <v>1092</v>
      </c>
      <c r="CK21" s="185" t="s">
        <v>1092</v>
      </c>
      <c r="CL21" s="185" t="s">
        <v>1093</v>
      </c>
      <c r="CM21" s="185" t="s">
        <v>1</v>
      </c>
      <c r="CN21" s="185" t="s">
        <v>2</v>
      </c>
      <c r="CO21" s="185" t="s">
        <v>1092</v>
      </c>
      <c r="CP21" s="185" t="s">
        <v>2</v>
      </c>
      <c r="CQ21" s="185" t="s">
        <v>1092</v>
      </c>
      <c r="CR21" s="185" t="s">
        <v>1092</v>
      </c>
      <c r="CS21" s="185" t="s">
        <v>1092</v>
      </c>
      <c r="CT21" s="185" t="s">
        <v>1092</v>
      </c>
      <c r="CU21" s="188"/>
    </row>
    <row r="22" spans="1:99" ht="15" x14ac:dyDescent="0.25">
      <c r="A22" s="184">
        <v>42898.478698599538</v>
      </c>
      <c r="B22" s="185" t="s">
        <v>2496</v>
      </c>
      <c r="C22" s="185">
        <v>52975701</v>
      </c>
      <c r="D22" s="185" t="s">
        <v>1323</v>
      </c>
      <c r="E22" s="185" t="s">
        <v>1331</v>
      </c>
      <c r="F22" s="185" t="s">
        <v>2497</v>
      </c>
      <c r="G22" s="185" t="s">
        <v>2498</v>
      </c>
      <c r="H22" s="187">
        <v>42809</v>
      </c>
      <c r="I22" s="185" t="s">
        <v>1536</v>
      </c>
      <c r="J22" s="185" t="s">
        <v>2465</v>
      </c>
      <c r="K22" s="185" t="s">
        <v>3</v>
      </c>
      <c r="L22" s="185" t="s">
        <v>1092</v>
      </c>
      <c r="M22" s="185" t="s">
        <v>1092</v>
      </c>
      <c r="N22" s="185" t="s">
        <v>1092</v>
      </c>
      <c r="O22" s="185" t="s">
        <v>3</v>
      </c>
      <c r="P22" s="185" t="s">
        <v>5</v>
      </c>
      <c r="Q22" s="185" t="s">
        <v>1092</v>
      </c>
      <c r="R22" s="185" t="s">
        <v>1092</v>
      </c>
      <c r="S22" s="185" t="s">
        <v>1092</v>
      </c>
      <c r="T22" s="185" t="s">
        <v>1092</v>
      </c>
      <c r="U22" s="185" t="s">
        <v>1092</v>
      </c>
      <c r="V22" s="185" t="s">
        <v>5</v>
      </c>
      <c r="W22" s="185" t="s">
        <v>3</v>
      </c>
      <c r="X22" s="185" t="s">
        <v>5</v>
      </c>
      <c r="Y22" s="185" t="s">
        <v>5</v>
      </c>
      <c r="Z22" s="185" t="s">
        <v>3</v>
      </c>
      <c r="AA22" s="185" t="s">
        <v>2</v>
      </c>
      <c r="AB22" s="185" t="s">
        <v>1</v>
      </c>
      <c r="AC22" s="185" t="s">
        <v>3</v>
      </c>
      <c r="AD22" s="185" t="s">
        <v>5</v>
      </c>
      <c r="AE22" s="185" t="s">
        <v>5</v>
      </c>
      <c r="AF22" s="185" t="s">
        <v>3</v>
      </c>
      <c r="AG22" s="188"/>
      <c r="AH22" s="185" t="s">
        <v>2</v>
      </c>
      <c r="AI22" s="188"/>
      <c r="AJ22" s="185" t="s">
        <v>1092</v>
      </c>
      <c r="AK22" s="185" t="s">
        <v>1092</v>
      </c>
      <c r="AL22" s="185" t="s">
        <v>1092</v>
      </c>
      <c r="AM22" s="185" t="s">
        <v>3</v>
      </c>
      <c r="AN22" s="185" t="s">
        <v>1092</v>
      </c>
      <c r="AO22" s="185" t="s">
        <v>1092</v>
      </c>
      <c r="AP22" s="185" t="s">
        <v>1092</v>
      </c>
      <c r="AQ22" s="185" t="s">
        <v>1092</v>
      </c>
      <c r="AR22" s="185" t="s">
        <v>1092</v>
      </c>
      <c r="AS22" s="185" t="s">
        <v>1092</v>
      </c>
      <c r="AT22" s="185" t="s">
        <v>1092</v>
      </c>
      <c r="AU22" s="185" t="s">
        <v>1092</v>
      </c>
      <c r="AV22" s="185" t="s">
        <v>1092</v>
      </c>
      <c r="AW22" s="185" t="s">
        <v>1092</v>
      </c>
      <c r="AX22" s="185" t="s">
        <v>1092</v>
      </c>
      <c r="AY22" s="185" t="s">
        <v>1092</v>
      </c>
      <c r="AZ22" s="185" t="s">
        <v>1092</v>
      </c>
      <c r="BA22" s="185" t="s">
        <v>1092</v>
      </c>
      <c r="BB22" s="185" t="s">
        <v>1092</v>
      </c>
      <c r="BC22" s="185" t="s">
        <v>3</v>
      </c>
      <c r="BD22" s="185" t="s">
        <v>3</v>
      </c>
      <c r="BE22" s="185" t="s">
        <v>3</v>
      </c>
      <c r="BF22" s="185" t="s">
        <v>1092</v>
      </c>
      <c r="BG22" s="185" t="s">
        <v>3</v>
      </c>
      <c r="BH22" s="185" t="s">
        <v>1092</v>
      </c>
      <c r="BI22" s="185" t="s">
        <v>2</v>
      </c>
      <c r="BJ22" s="185" t="s">
        <v>1092</v>
      </c>
      <c r="BK22" s="185" t="s">
        <v>3</v>
      </c>
      <c r="BL22" s="185" t="s">
        <v>3</v>
      </c>
      <c r="BM22" s="185" t="s">
        <v>3</v>
      </c>
      <c r="BN22" s="185" t="s">
        <v>2</v>
      </c>
      <c r="BO22" s="185" t="s">
        <v>3</v>
      </c>
      <c r="BP22" s="185" t="s">
        <v>3</v>
      </c>
      <c r="BQ22" s="185" t="s">
        <v>3</v>
      </c>
      <c r="BR22" s="185" t="s">
        <v>1092</v>
      </c>
      <c r="BS22" s="185" t="s">
        <v>3</v>
      </c>
      <c r="BT22" s="185" t="s">
        <v>1092</v>
      </c>
      <c r="BU22" s="185" t="s">
        <v>3</v>
      </c>
      <c r="BV22" s="185" t="s">
        <v>3</v>
      </c>
      <c r="BW22" s="185" t="s">
        <v>3</v>
      </c>
      <c r="BX22" s="185" t="s">
        <v>1092</v>
      </c>
      <c r="BY22" s="185" t="s">
        <v>1092</v>
      </c>
      <c r="BZ22" s="185" t="s">
        <v>1092</v>
      </c>
      <c r="CA22" s="185" t="s">
        <v>1092</v>
      </c>
      <c r="CB22" s="185" t="s">
        <v>5</v>
      </c>
      <c r="CC22" s="185" t="s">
        <v>2</v>
      </c>
      <c r="CD22" s="185" t="s">
        <v>2</v>
      </c>
      <c r="CE22" s="185" t="s">
        <v>3</v>
      </c>
      <c r="CF22" s="185" t="s">
        <v>3</v>
      </c>
      <c r="CG22" s="185" t="s">
        <v>3</v>
      </c>
      <c r="CH22" s="185" t="s">
        <v>1092</v>
      </c>
      <c r="CI22" s="185" t="s">
        <v>1092</v>
      </c>
      <c r="CJ22" s="185" t="s">
        <v>3</v>
      </c>
      <c r="CK22" s="185" t="s">
        <v>1092</v>
      </c>
      <c r="CL22" s="185" t="s">
        <v>3</v>
      </c>
      <c r="CM22" s="185" t="s">
        <v>5</v>
      </c>
      <c r="CN22" s="185" t="s">
        <v>1092</v>
      </c>
      <c r="CO22" s="185" t="s">
        <v>1092</v>
      </c>
      <c r="CP22" s="185" t="s">
        <v>3</v>
      </c>
      <c r="CQ22" s="185" t="s">
        <v>1092</v>
      </c>
      <c r="CR22" s="185" t="s">
        <v>3</v>
      </c>
      <c r="CS22" s="185" t="s">
        <v>3</v>
      </c>
      <c r="CT22" s="185" t="s">
        <v>2</v>
      </c>
      <c r="CU22" s="188"/>
    </row>
    <row r="23" spans="1:99" ht="12.75" x14ac:dyDescent="0.2">
      <c r="A23" s="184">
        <v>42898.480789363428</v>
      </c>
      <c r="B23" s="185" t="s">
        <v>2449</v>
      </c>
      <c r="C23" s="185">
        <v>30282756</v>
      </c>
      <c r="D23" s="185" t="s">
        <v>1320</v>
      </c>
      <c r="E23" s="185" t="s">
        <v>1319</v>
      </c>
      <c r="F23" s="185" t="s">
        <v>2499</v>
      </c>
      <c r="G23" s="185" t="s">
        <v>2500</v>
      </c>
      <c r="H23" s="187">
        <v>38972</v>
      </c>
      <c r="I23" s="185" t="s">
        <v>2452</v>
      </c>
      <c r="J23" s="185" t="s">
        <v>2465</v>
      </c>
      <c r="K23" s="185" t="s">
        <v>1092</v>
      </c>
      <c r="L23" s="185" t="s">
        <v>1092</v>
      </c>
      <c r="M23" s="185" t="s">
        <v>1092</v>
      </c>
      <c r="N23" s="185" t="s">
        <v>1092</v>
      </c>
      <c r="O23" s="185" t="s">
        <v>1092</v>
      </c>
      <c r="P23" s="185" t="s">
        <v>1092</v>
      </c>
      <c r="Q23" s="185" t="s">
        <v>1092</v>
      </c>
      <c r="R23" s="185" t="s">
        <v>1092</v>
      </c>
      <c r="S23" s="185" t="s">
        <v>3</v>
      </c>
      <c r="T23" s="185" t="s">
        <v>2</v>
      </c>
      <c r="U23" s="185" t="s">
        <v>2</v>
      </c>
      <c r="V23" s="185" t="s">
        <v>2</v>
      </c>
      <c r="W23" s="185" t="s">
        <v>1</v>
      </c>
      <c r="X23" s="185" t="s">
        <v>1092</v>
      </c>
      <c r="Y23" s="185" t="s">
        <v>2</v>
      </c>
      <c r="Z23" s="185" t="s">
        <v>1</v>
      </c>
      <c r="AA23" s="185" t="s">
        <v>1093</v>
      </c>
      <c r="AB23" s="185" t="s">
        <v>1093</v>
      </c>
      <c r="AC23" s="185" t="s">
        <v>1092</v>
      </c>
      <c r="AD23" s="185" t="s">
        <v>1093</v>
      </c>
      <c r="AE23" s="185" t="s">
        <v>1093</v>
      </c>
      <c r="AF23" s="185" t="s">
        <v>1093</v>
      </c>
      <c r="AG23" s="185" t="s">
        <v>1093</v>
      </c>
      <c r="AH23" s="185" t="s">
        <v>1093</v>
      </c>
      <c r="AI23" s="185" t="s">
        <v>1093</v>
      </c>
      <c r="AJ23" s="185" t="s">
        <v>1093</v>
      </c>
      <c r="AK23" s="185" t="s">
        <v>1093</v>
      </c>
      <c r="AL23" s="185" t="s">
        <v>1092</v>
      </c>
      <c r="AM23" s="185" t="s">
        <v>1093</v>
      </c>
      <c r="AN23" s="185" t="s">
        <v>1092</v>
      </c>
      <c r="AO23" s="185" t="s">
        <v>1093</v>
      </c>
      <c r="AP23" s="185" t="s">
        <v>2</v>
      </c>
      <c r="AQ23" s="185" t="s">
        <v>1093</v>
      </c>
      <c r="AR23" s="185" t="s">
        <v>1093</v>
      </c>
      <c r="AS23" s="185" t="s">
        <v>2</v>
      </c>
      <c r="AT23" s="185" t="s">
        <v>1093</v>
      </c>
      <c r="AU23" s="185" t="s">
        <v>1093</v>
      </c>
      <c r="AV23" s="185" t="s">
        <v>2</v>
      </c>
      <c r="AW23" s="185" t="s">
        <v>1093</v>
      </c>
      <c r="AX23" s="185" t="s">
        <v>1092</v>
      </c>
      <c r="AY23" s="185" t="s">
        <v>1092</v>
      </c>
      <c r="AZ23" s="185" t="s">
        <v>1092</v>
      </c>
      <c r="BA23" s="185" t="s">
        <v>1092</v>
      </c>
      <c r="BB23" s="185" t="s">
        <v>2</v>
      </c>
      <c r="BC23" s="185" t="s">
        <v>2</v>
      </c>
      <c r="BD23" s="185" t="s">
        <v>2</v>
      </c>
      <c r="BE23" s="185" t="s">
        <v>5</v>
      </c>
      <c r="BF23" s="185" t="s">
        <v>5</v>
      </c>
      <c r="BG23" s="185" t="s">
        <v>1093</v>
      </c>
      <c r="BH23" s="185" t="s">
        <v>1093</v>
      </c>
      <c r="BI23" s="185" t="s">
        <v>1093</v>
      </c>
      <c r="BJ23" s="185" t="s">
        <v>5</v>
      </c>
      <c r="BK23" s="185" t="s">
        <v>2</v>
      </c>
      <c r="BL23" s="185" t="s">
        <v>2</v>
      </c>
      <c r="BM23" s="185" t="s">
        <v>2</v>
      </c>
      <c r="BN23" s="185" t="s">
        <v>1092</v>
      </c>
      <c r="BO23" s="185" t="s">
        <v>2</v>
      </c>
      <c r="BP23" s="185" t="s">
        <v>1092</v>
      </c>
      <c r="BQ23" s="185" t="s">
        <v>2</v>
      </c>
      <c r="BR23" s="185" t="s">
        <v>2</v>
      </c>
      <c r="BS23" s="185" t="s">
        <v>2</v>
      </c>
      <c r="BT23" s="185" t="s">
        <v>1092</v>
      </c>
      <c r="BU23" s="185" t="s">
        <v>2</v>
      </c>
      <c r="BV23" s="185" t="s">
        <v>1092</v>
      </c>
      <c r="BW23" s="185" t="s">
        <v>2</v>
      </c>
      <c r="BX23" s="185" t="s">
        <v>1093</v>
      </c>
      <c r="BY23" s="185" t="s">
        <v>1093</v>
      </c>
      <c r="BZ23" s="185" t="s">
        <v>1093</v>
      </c>
      <c r="CA23" s="185" t="s">
        <v>5</v>
      </c>
      <c r="CB23" s="185" t="s">
        <v>1093</v>
      </c>
      <c r="CC23" s="185" t="s">
        <v>1093</v>
      </c>
      <c r="CD23" s="185" t="s">
        <v>1093</v>
      </c>
      <c r="CE23" s="185" t="s">
        <v>2</v>
      </c>
      <c r="CF23" s="185" t="s">
        <v>1092</v>
      </c>
      <c r="CG23" s="185" t="s">
        <v>2</v>
      </c>
      <c r="CH23" s="185" t="s">
        <v>1092</v>
      </c>
      <c r="CI23" s="185" t="s">
        <v>1092</v>
      </c>
      <c r="CJ23" s="185" t="s">
        <v>1093</v>
      </c>
      <c r="CK23" s="185" t="s">
        <v>1093</v>
      </c>
      <c r="CL23" s="185" t="s">
        <v>1093</v>
      </c>
      <c r="CM23" s="185" t="s">
        <v>1093</v>
      </c>
      <c r="CN23" s="185" t="s">
        <v>1093</v>
      </c>
      <c r="CO23" s="185" t="s">
        <v>2</v>
      </c>
      <c r="CP23" s="185" t="s">
        <v>1093</v>
      </c>
      <c r="CQ23" s="185" t="s">
        <v>2</v>
      </c>
      <c r="CR23" s="185" t="s">
        <v>1093</v>
      </c>
      <c r="CS23" s="185" t="s">
        <v>1093</v>
      </c>
      <c r="CT23" s="185" t="s">
        <v>2</v>
      </c>
      <c r="CU23" s="185" t="s">
        <v>2501</v>
      </c>
    </row>
    <row r="24" spans="1:99" ht="15" x14ac:dyDescent="0.25">
      <c r="A24" s="184">
        <v>42898.481640821759</v>
      </c>
      <c r="B24" s="185" t="s">
        <v>2173</v>
      </c>
      <c r="C24" s="185">
        <v>79966414</v>
      </c>
      <c r="D24" s="185" t="s">
        <v>1320</v>
      </c>
      <c r="E24" s="185" t="s">
        <v>1319</v>
      </c>
      <c r="F24" s="185" t="s">
        <v>2502</v>
      </c>
      <c r="G24" s="185" t="s">
        <v>2038</v>
      </c>
      <c r="H24" s="187">
        <v>40556</v>
      </c>
      <c r="I24" s="185" t="s">
        <v>2122</v>
      </c>
      <c r="J24" s="185" t="s">
        <v>2465</v>
      </c>
      <c r="K24" s="185" t="s">
        <v>3</v>
      </c>
      <c r="L24" s="185" t="s">
        <v>3</v>
      </c>
      <c r="M24" s="185" t="s">
        <v>3</v>
      </c>
      <c r="N24" s="185" t="s">
        <v>2</v>
      </c>
      <c r="O24" s="185" t="s">
        <v>2</v>
      </c>
      <c r="P24" s="185" t="s">
        <v>1092</v>
      </c>
      <c r="Q24" s="185" t="s">
        <v>2</v>
      </c>
      <c r="R24" s="185" t="s">
        <v>3</v>
      </c>
      <c r="S24" s="185" t="s">
        <v>1</v>
      </c>
      <c r="T24" s="185" t="s">
        <v>2</v>
      </c>
      <c r="U24" s="185" t="s">
        <v>2</v>
      </c>
      <c r="V24" s="185" t="s">
        <v>1092</v>
      </c>
      <c r="W24" s="185" t="s">
        <v>5</v>
      </c>
      <c r="X24" s="185" t="s">
        <v>2</v>
      </c>
      <c r="Y24" s="185" t="s">
        <v>3</v>
      </c>
      <c r="Z24" s="185" t="s">
        <v>2</v>
      </c>
      <c r="AA24" s="185" t="s">
        <v>1092</v>
      </c>
      <c r="AB24" s="185" t="s">
        <v>2</v>
      </c>
      <c r="AC24" s="185" t="s">
        <v>1092</v>
      </c>
      <c r="AD24" s="185" t="s">
        <v>2</v>
      </c>
      <c r="AE24" s="185" t="s">
        <v>3</v>
      </c>
      <c r="AF24" s="185" t="s">
        <v>1</v>
      </c>
      <c r="AG24" s="185" t="s">
        <v>2</v>
      </c>
      <c r="AH24" s="185" t="s">
        <v>5</v>
      </c>
      <c r="AI24" s="185" t="s">
        <v>2</v>
      </c>
      <c r="AJ24" s="185" t="s">
        <v>2</v>
      </c>
      <c r="AK24" s="185" t="s">
        <v>2</v>
      </c>
      <c r="AL24" s="185" t="s">
        <v>2</v>
      </c>
      <c r="AM24" s="185" t="s">
        <v>1</v>
      </c>
      <c r="AN24" s="185" t="s">
        <v>2</v>
      </c>
      <c r="AO24" s="185" t="s">
        <v>2</v>
      </c>
      <c r="AP24" s="185" t="s">
        <v>3</v>
      </c>
      <c r="AQ24" s="185" t="s">
        <v>1</v>
      </c>
      <c r="AR24" s="185" t="s">
        <v>1</v>
      </c>
      <c r="AS24" s="185" t="s">
        <v>3</v>
      </c>
      <c r="AT24" s="185" t="s">
        <v>5</v>
      </c>
      <c r="AU24" s="185" t="s">
        <v>1</v>
      </c>
      <c r="AV24" s="185" t="s">
        <v>3</v>
      </c>
      <c r="AW24" s="185" t="s">
        <v>1</v>
      </c>
      <c r="AX24" s="185" t="s">
        <v>1092</v>
      </c>
      <c r="AY24" s="185" t="s">
        <v>1092</v>
      </c>
      <c r="AZ24" s="185" t="s">
        <v>1092</v>
      </c>
      <c r="BA24" s="185" t="s">
        <v>3</v>
      </c>
      <c r="BB24" s="185" t="s">
        <v>1092</v>
      </c>
      <c r="BC24" s="185" t="s">
        <v>5</v>
      </c>
      <c r="BD24" s="185" t="s">
        <v>2</v>
      </c>
      <c r="BE24" s="185" t="s">
        <v>2</v>
      </c>
      <c r="BF24" s="185" t="s">
        <v>3</v>
      </c>
      <c r="BG24" s="185" t="s">
        <v>2</v>
      </c>
      <c r="BH24" s="185" t="s">
        <v>3</v>
      </c>
      <c r="BI24" s="185" t="s">
        <v>1093</v>
      </c>
      <c r="BJ24" s="185" t="s">
        <v>1</v>
      </c>
      <c r="BK24" s="185" t="s">
        <v>1</v>
      </c>
      <c r="BL24" s="185" t="s">
        <v>2</v>
      </c>
      <c r="BM24" s="185" t="s">
        <v>2</v>
      </c>
      <c r="BN24" s="185" t="s">
        <v>2</v>
      </c>
      <c r="BO24" s="185" t="s">
        <v>3</v>
      </c>
      <c r="BP24" s="185" t="s">
        <v>3</v>
      </c>
      <c r="BQ24" s="185" t="s">
        <v>3</v>
      </c>
      <c r="BR24" s="185" t="s">
        <v>3</v>
      </c>
      <c r="BS24" s="185" t="s">
        <v>1</v>
      </c>
      <c r="BT24" s="185" t="s">
        <v>1092</v>
      </c>
      <c r="BU24" s="185" t="s">
        <v>3</v>
      </c>
      <c r="BV24" s="185" t="s">
        <v>1092</v>
      </c>
      <c r="BW24" s="185" t="s">
        <v>3</v>
      </c>
      <c r="BX24" s="185" t="s">
        <v>3</v>
      </c>
      <c r="BY24" s="185" t="s">
        <v>2</v>
      </c>
      <c r="BZ24" s="185" t="s">
        <v>3</v>
      </c>
      <c r="CA24" s="185" t="s">
        <v>3</v>
      </c>
      <c r="CB24" s="185" t="s">
        <v>2</v>
      </c>
      <c r="CC24" s="185" t="s">
        <v>2</v>
      </c>
      <c r="CD24" s="185" t="s">
        <v>1</v>
      </c>
      <c r="CE24" s="185" t="s">
        <v>2</v>
      </c>
      <c r="CF24" s="185" t="s">
        <v>3</v>
      </c>
      <c r="CG24" s="185" t="s">
        <v>3</v>
      </c>
      <c r="CH24" s="185" t="s">
        <v>3</v>
      </c>
      <c r="CI24" s="185" t="s">
        <v>2</v>
      </c>
      <c r="CJ24" s="185" t="s">
        <v>2</v>
      </c>
      <c r="CK24" s="185" t="s">
        <v>2</v>
      </c>
      <c r="CL24" s="185" t="s">
        <v>5</v>
      </c>
      <c r="CM24" s="185" t="s">
        <v>5</v>
      </c>
      <c r="CN24" s="185" t="s">
        <v>2</v>
      </c>
      <c r="CO24" s="185" t="s">
        <v>3</v>
      </c>
      <c r="CP24" s="185" t="s">
        <v>1</v>
      </c>
      <c r="CQ24" s="185" t="s">
        <v>3</v>
      </c>
      <c r="CR24" s="185" t="s">
        <v>2</v>
      </c>
      <c r="CS24" s="185" t="s">
        <v>2</v>
      </c>
      <c r="CT24" s="185" t="s">
        <v>2</v>
      </c>
      <c r="CU24" s="188"/>
    </row>
    <row r="25" spans="1:99" ht="15" x14ac:dyDescent="0.25">
      <c r="A25" s="184">
        <v>42898.481823784721</v>
      </c>
      <c r="B25" s="185" t="s">
        <v>2503</v>
      </c>
      <c r="C25" s="185">
        <v>80491981</v>
      </c>
      <c r="D25" s="185" t="s">
        <v>1320</v>
      </c>
      <c r="E25" s="185" t="s">
        <v>1319</v>
      </c>
      <c r="F25" s="185" t="s">
        <v>2504</v>
      </c>
      <c r="G25" s="185" t="s">
        <v>2505</v>
      </c>
      <c r="H25" s="187">
        <v>38966</v>
      </c>
      <c r="I25" s="185" t="s">
        <v>2506</v>
      </c>
      <c r="J25" s="185" t="s">
        <v>2465</v>
      </c>
      <c r="K25" s="185" t="s">
        <v>1092</v>
      </c>
      <c r="L25" s="185" t="s">
        <v>1092</v>
      </c>
      <c r="M25" s="185" t="s">
        <v>1092</v>
      </c>
      <c r="N25" s="185" t="s">
        <v>1092</v>
      </c>
      <c r="O25" s="185" t="s">
        <v>3</v>
      </c>
      <c r="P25" s="185" t="s">
        <v>1092</v>
      </c>
      <c r="Q25" s="185" t="s">
        <v>2</v>
      </c>
      <c r="R25" s="185" t="s">
        <v>2</v>
      </c>
      <c r="S25" s="185" t="s">
        <v>3</v>
      </c>
      <c r="T25" s="185" t="s">
        <v>3</v>
      </c>
      <c r="U25" s="185" t="s">
        <v>1092</v>
      </c>
      <c r="V25" s="185" t="s">
        <v>3</v>
      </c>
      <c r="W25" s="185" t="s">
        <v>3</v>
      </c>
      <c r="X25" s="185" t="s">
        <v>1092</v>
      </c>
      <c r="Y25" s="185" t="s">
        <v>1092</v>
      </c>
      <c r="Z25" s="185" t="s">
        <v>3</v>
      </c>
      <c r="AA25" s="185" t="s">
        <v>3</v>
      </c>
      <c r="AB25" s="185" t="s">
        <v>2</v>
      </c>
      <c r="AC25" s="185" t="s">
        <v>1092</v>
      </c>
      <c r="AD25" s="185" t="s">
        <v>1092</v>
      </c>
      <c r="AE25" s="185" t="s">
        <v>2</v>
      </c>
      <c r="AF25" s="185" t="s">
        <v>3</v>
      </c>
      <c r="AG25" s="185" t="s">
        <v>1092</v>
      </c>
      <c r="AH25" s="185" t="s">
        <v>1092</v>
      </c>
      <c r="AI25" s="185" t="s">
        <v>3</v>
      </c>
      <c r="AJ25" s="185" t="s">
        <v>3</v>
      </c>
      <c r="AK25" s="185" t="s">
        <v>3</v>
      </c>
      <c r="AL25" s="185" t="s">
        <v>1092</v>
      </c>
      <c r="AM25" s="185" t="s">
        <v>3</v>
      </c>
      <c r="AN25" s="185" t="s">
        <v>1092</v>
      </c>
      <c r="AO25" s="185" t="s">
        <v>1092</v>
      </c>
      <c r="AP25" s="185" t="s">
        <v>3</v>
      </c>
      <c r="AQ25" s="185" t="s">
        <v>1092</v>
      </c>
      <c r="AR25" s="185" t="s">
        <v>1092</v>
      </c>
      <c r="AS25" s="185" t="s">
        <v>3</v>
      </c>
      <c r="AT25" s="185" t="s">
        <v>3</v>
      </c>
      <c r="AU25" s="185" t="s">
        <v>2</v>
      </c>
      <c r="AV25" s="185" t="s">
        <v>3</v>
      </c>
      <c r="AW25" s="185" t="s">
        <v>2</v>
      </c>
      <c r="AX25" s="185" t="s">
        <v>1092</v>
      </c>
      <c r="AY25" s="185" t="s">
        <v>1092</v>
      </c>
      <c r="AZ25" s="185" t="s">
        <v>1092</v>
      </c>
      <c r="BA25" s="185" t="s">
        <v>1092</v>
      </c>
      <c r="BB25" s="185" t="s">
        <v>3</v>
      </c>
      <c r="BC25" s="185" t="s">
        <v>3</v>
      </c>
      <c r="BD25" s="185" t="s">
        <v>3</v>
      </c>
      <c r="BE25" s="185" t="s">
        <v>3</v>
      </c>
      <c r="BF25" s="185" t="s">
        <v>1092</v>
      </c>
      <c r="BG25" s="185" t="s">
        <v>1092</v>
      </c>
      <c r="BH25" s="185" t="s">
        <v>3</v>
      </c>
      <c r="BI25" s="185" t="s">
        <v>1</v>
      </c>
      <c r="BJ25" s="185" t="s">
        <v>1</v>
      </c>
      <c r="BK25" s="185" t="s">
        <v>3</v>
      </c>
      <c r="BL25" s="185" t="s">
        <v>3</v>
      </c>
      <c r="BM25" s="185" t="s">
        <v>2</v>
      </c>
      <c r="BN25" s="185" t="s">
        <v>3</v>
      </c>
      <c r="BO25" s="185" t="s">
        <v>3</v>
      </c>
      <c r="BP25" s="185" t="s">
        <v>3</v>
      </c>
      <c r="BQ25" s="185" t="s">
        <v>3</v>
      </c>
      <c r="BR25" s="185" t="s">
        <v>3</v>
      </c>
      <c r="BS25" s="185" t="s">
        <v>3</v>
      </c>
      <c r="BT25" s="185" t="s">
        <v>3</v>
      </c>
      <c r="BU25" s="185" t="s">
        <v>1</v>
      </c>
      <c r="BV25" s="185" t="s">
        <v>2</v>
      </c>
      <c r="BW25" s="185" t="s">
        <v>2</v>
      </c>
      <c r="BX25" s="185" t="s">
        <v>3</v>
      </c>
      <c r="BY25" s="185" t="s">
        <v>3</v>
      </c>
      <c r="BZ25" s="185" t="s">
        <v>3</v>
      </c>
      <c r="CA25" s="185" t="s">
        <v>3</v>
      </c>
      <c r="CB25" s="185" t="s">
        <v>2</v>
      </c>
      <c r="CC25" s="185" t="s">
        <v>1092</v>
      </c>
      <c r="CD25" s="185" t="s">
        <v>2</v>
      </c>
      <c r="CE25" s="185" t="s">
        <v>3</v>
      </c>
      <c r="CF25" s="185" t="s">
        <v>3</v>
      </c>
      <c r="CG25" s="185" t="s">
        <v>3</v>
      </c>
      <c r="CH25" s="185" t="s">
        <v>1092</v>
      </c>
      <c r="CI25" s="185" t="s">
        <v>1092</v>
      </c>
      <c r="CJ25" s="185" t="s">
        <v>3</v>
      </c>
      <c r="CK25" s="185" t="s">
        <v>2</v>
      </c>
      <c r="CL25" s="185" t="s">
        <v>3</v>
      </c>
      <c r="CM25" s="185" t="s">
        <v>1092</v>
      </c>
      <c r="CN25" s="185" t="s">
        <v>3</v>
      </c>
      <c r="CO25" s="185" t="s">
        <v>1092</v>
      </c>
      <c r="CP25" s="185" t="s">
        <v>1092</v>
      </c>
      <c r="CQ25" s="185" t="s">
        <v>1092</v>
      </c>
      <c r="CR25" s="185" t="s">
        <v>3</v>
      </c>
      <c r="CS25" s="185" t="s">
        <v>3</v>
      </c>
      <c r="CT25" s="185" t="s">
        <v>2</v>
      </c>
      <c r="CU25" s="188"/>
    </row>
    <row r="26" spans="1:99" ht="15" x14ac:dyDescent="0.25">
      <c r="A26" s="184">
        <v>42898.482314733796</v>
      </c>
      <c r="B26" s="185" t="s">
        <v>2507</v>
      </c>
      <c r="C26" s="185">
        <v>51943301</v>
      </c>
      <c r="D26" s="185" t="s">
        <v>1325</v>
      </c>
      <c r="E26" s="185" t="s">
        <v>1324</v>
      </c>
      <c r="F26" s="185" t="s">
        <v>2508</v>
      </c>
      <c r="G26" s="185" t="s">
        <v>2476</v>
      </c>
      <c r="H26" s="187">
        <v>36558</v>
      </c>
      <c r="I26" s="185" t="s">
        <v>2509</v>
      </c>
      <c r="J26" s="185" t="s">
        <v>2465</v>
      </c>
      <c r="K26" s="185" t="s">
        <v>3</v>
      </c>
      <c r="L26" s="185" t="s">
        <v>1092</v>
      </c>
      <c r="M26" s="185" t="s">
        <v>1092</v>
      </c>
      <c r="N26" s="185" t="s">
        <v>1092</v>
      </c>
      <c r="O26" s="185" t="s">
        <v>2</v>
      </c>
      <c r="P26" s="185" t="s">
        <v>1092</v>
      </c>
      <c r="Q26" s="185" t="s">
        <v>1092</v>
      </c>
      <c r="R26" s="185" t="s">
        <v>1092</v>
      </c>
      <c r="S26" s="185" t="s">
        <v>2</v>
      </c>
      <c r="T26" s="185" t="s">
        <v>1092</v>
      </c>
      <c r="U26" s="185" t="s">
        <v>1092</v>
      </c>
      <c r="V26" s="185" t="s">
        <v>1092</v>
      </c>
      <c r="W26" s="185" t="s">
        <v>1092</v>
      </c>
      <c r="X26" s="185" t="s">
        <v>1092</v>
      </c>
      <c r="Y26" s="185" t="s">
        <v>1092</v>
      </c>
      <c r="Z26" s="185" t="s">
        <v>1092</v>
      </c>
      <c r="AA26" s="185" t="s">
        <v>1092</v>
      </c>
      <c r="AB26" s="185" t="s">
        <v>2</v>
      </c>
      <c r="AC26" s="185" t="s">
        <v>1092</v>
      </c>
      <c r="AD26" s="185" t="s">
        <v>5</v>
      </c>
      <c r="AE26" s="185" t="s">
        <v>5</v>
      </c>
      <c r="AF26" s="185" t="s">
        <v>1092</v>
      </c>
      <c r="AG26" s="188"/>
      <c r="AH26" s="185" t="s">
        <v>1092</v>
      </c>
      <c r="AI26" s="188"/>
      <c r="AJ26" s="185" t="s">
        <v>1092</v>
      </c>
      <c r="AK26" s="185" t="s">
        <v>1092</v>
      </c>
      <c r="AL26" s="185" t="s">
        <v>1092</v>
      </c>
      <c r="AM26" s="185" t="s">
        <v>1092</v>
      </c>
      <c r="AN26" s="185" t="s">
        <v>1092</v>
      </c>
      <c r="AO26" s="185" t="s">
        <v>1092</v>
      </c>
      <c r="AP26" s="185" t="s">
        <v>1092</v>
      </c>
      <c r="AQ26" s="185" t="s">
        <v>1092</v>
      </c>
      <c r="AR26" s="185" t="s">
        <v>1092</v>
      </c>
      <c r="AS26" s="185" t="s">
        <v>1092</v>
      </c>
      <c r="AT26" s="185" t="s">
        <v>1092</v>
      </c>
      <c r="AU26" s="185" t="s">
        <v>1092</v>
      </c>
      <c r="AV26" s="185" t="s">
        <v>1092</v>
      </c>
      <c r="AW26" s="185" t="s">
        <v>2</v>
      </c>
      <c r="AX26" s="185" t="s">
        <v>1092</v>
      </c>
      <c r="AY26" s="185" t="s">
        <v>2</v>
      </c>
      <c r="AZ26" s="185" t="s">
        <v>1092</v>
      </c>
      <c r="BA26" s="185" t="s">
        <v>1092</v>
      </c>
      <c r="BB26" s="185" t="s">
        <v>1092</v>
      </c>
      <c r="BC26" s="185" t="s">
        <v>1092</v>
      </c>
      <c r="BD26" s="185" t="s">
        <v>1092</v>
      </c>
      <c r="BE26" s="185" t="s">
        <v>1092</v>
      </c>
      <c r="BF26" s="185" t="s">
        <v>1092</v>
      </c>
      <c r="BG26" s="185" t="s">
        <v>1092</v>
      </c>
      <c r="BH26" s="185" t="s">
        <v>1092</v>
      </c>
      <c r="BI26" s="185" t="s">
        <v>3</v>
      </c>
      <c r="BJ26" s="185" t="s">
        <v>1092</v>
      </c>
      <c r="BK26" s="185" t="s">
        <v>1092</v>
      </c>
      <c r="BL26" s="185" t="s">
        <v>1092</v>
      </c>
      <c r="BM26" s="185" t="s">
        <v>1092</v>
      </c>
      <c r="BN26" s="185" t="s">
        <v>1092</v>
      </c>
      <c r="BO26" s="185" t="s">
        <v>1092</v>
      </c>
      <c r="BP26" s="185" t="s">
        <v>1092</v>
      </c>
      <c r="BQ26" s="185" t="s">
        <v>1092</v>
      </c>
      <c r="BR26" s="185" t="s">
        <v>1092</v>
      </c>
      <c r="BS26" s="185" t="s">
        <v>1092</v>
      </c>
      <c r="BT26" s="185" t="s">
        <v>1092</v>
      </c>
      <c r="BU26" s="185" t="s">
        <v>3</v>
      </c>
      <c r="BV26" s="185" t="s">
        <v>1</v>
      </c>
      <c r="BW26" s="185" t="s">
        <v>3</v>
      </c>
      <c r="BX26" s="185" t="s">
        <v>1092</v>
      </c>
      <c r="BY26" s="185" t="s">
        <v>3</v>
      </c>
      <c r="BZ26" s="185" t="s">
        <v>1092</v>
      </c>
      <c r="CA26" s="185" t="s">
        <v>1092</v>
      </c>
      <c r="CB26" s="185" t="s">
        <v>3</v>
      </c>
      <c r="CC26" s="185" t="s">
        <v>3</v>
      </c>
      <c r="CD26" s="185" t="s">
        <v>1092</v>
      </c>
      <c r="CE26" s="185" t="s">
        <v>2</v>
      </c>
      <c r="CF26" s="185" t="s">
        <v>2</v>
      </c>
      <c r="CG26" s="185" t="s">
        <v>1</v>
      </c>
      <c r="CH26" s="185" t="s">
        <v>1092</v>
      </c>
      <c r="CI26" s="185" t="s">
        <v>1092</v>
      </c>
      <c r="CJ26" s="185" t="s">
        <v>1092</v>
      </c>
      <c r="CK26" s="185" t="s">
        <v>1092</v>
      </c>
      <c r="CL26" s="185" t="s">
        <v>1092</v>
      </c>
      <c r="CM26" s="185" t="s">
        <v>1092</v>
      </c>
      <c r="CN26" s="185" t="s">
        <v>1092</v>
      </c>
      <c r="CO26" s="185" t="s">
        <v>1092</v>
      </c>
      <c r="CP26" s="185" t="s">
        <v>2</v>
      </c>
      <c r="CQ26" s="185" t="s">
        <v>1092</v>
      </c>
      <c r="CR26" s="185" t="s">
        <v>1092</v>
      </c>
      <c r="CS26" s="185" t="s">
        <v>2</v>
      </c>
      <c r="CT26" s="185" t="s">
        <v>2</v>
      </c>
      <c r="CU26" s="188"/>
    </row>
    <row r="27" spans="1:99" ht="15" x14ac:dyDescent="0.25">
      <c r="A27" s="184">
        <v>42898.487805185185</v>
      </c>
      <c r="B27" s="185" t="s">
        <v>2510</v>
      </c>
      <c r="C27" s="185">
        <v>94517652</v>
      </c>
      <c r="D27" s="185" t="s">
        <v>1325</v>
      </c>
      <c r="E27" s="185" t="s">
        <v>1319</v>
      </c>
      <c r="F27" s="185" t="s">
        <v>2511</v>
      </c>
      <c r="G27" s="185" t="s">
        <v>2512</v>
      </c>
      <c r="H27" s="187">
        <v>39295</v>
      </c>
      <c r="I27" s="185" t="s">
        <v>2513</v>
      </c>
      <c r="J27" s="185" t="s">
        <v>2465</v>
      </c>
      <c r="K27" s="185" t="s">
        <v>3</v>
      </c>
      <c r="L27" s="185" t="s">
        <v>1</v>
      </c>
      <c r="M27" s="185" t="s">
        <v>1</v>
      </c>
      <c r="N27" s="185" t="s">
        <v>1</v>
      </c>
      <c r="O27" s="185" t="s">
        <v>2</v>
      </c>
      <c r="P27" s="185" t="s">
        <v>2</v>
      </c>
      <c r="Q27" s="185" t="s">
        <v>1</v>
      </c>
      <c r="R27" s="185" t="s">
        <v>1</v>
      </c>
      <c r="S27" s="185" t="s">
        <v>1093</v>
      </c>
      <c r="T27" s="185" t="s">
        <v>1093</v>
      </c>
      <c r="U27" s="185" t="s">
        <v>2</v>
      </c>
      <c r="V27" s="185" t="s">
        <v>1</v>
      </c>
      <c r="W27" s="185" t="s">
        <v>1</v>
      </c>
      <c r="X27" s="185" t="s">
        <v>3</v>
      </c>
      <c r="Y27" s="185" t="s">
        <v>2</v>
      </c>
      <c r="Z27" s="185" t="s">
        <v>1</v>
      </c>
      <c r="AA27" s="185" t="s">
        <v>2</v>
      </c>
      <c r="AB27" s="185" t="s">
        <v>1</v>
      </c>
      <c r="AC27" s="185" t="s">
        <v>2</v>
      </c>
      <c r="AD27" s="185" t="s">
        <v>1</v>
      </c>
      <c r="AE27" s="185" t="s">
        <v>1</v>
      </c>
      <c r="AF27" s="185" t="s">
        <v>1</v>
      </c>
      <c r="AG27" s="188"/>
      <c r="AH27" s="185" t="s">
        <v>1</v>
      </c>
      <c r="AI27" s="188"/>
      <c r="AJ27" s="185" t="s">
        <v>1</v>
      </c>
      <c r="AK27" s="185" t="s">
        <v>1</v>
      </c>
      <c r="AL27" s="185" t="s">
        <v>2</v>
      </c>
      <c r="AM27" s="185" t="s">
        <v>2</v>
      </c>
      <c r="AN27" s="185" t="s">
        <v>2</v>
      </c>
      <c r="AO27" s="185" t="s">
        <v>1</v>
      </c>
      <c r="AP27" s="185" t="s">
        <v>1</v>
      </c>
      <c r="AQ27" s="185" t="s">
        <v>1093</v>
      </c>
      <c r="AR27" s="185" t="s">
        <v>1093</v>
      </c>
      <c r="AS27" s="185" t="s">
        <v>2</v>
      </c>
      <c r="AT27" s="185" t="s">
        <v>5</v>
      </c>
      <c r="AU27" s="185" t="s">
        <v>5</v>
      </c>
      <c r="AV27" s="185" t="s">
        <v>2</v>
      </c>
      <c r="AW27" s="185" t="s">
        <v>2</v>
      </c>
      <c r="AX27" s="185" t="s">
        <v>5</v>
      </c>
      <c r="AY27" s="185" t="s">
        <v>2</v>
      </c>
      <c r="AZ27" s="185" t="s">
        <v>5</v>
      </c>
      <c r="BA27" s="185" t="s">
        <v>5</v>
      </c>
      <c r="BB27" s="185" t="s">
        <v>5</v>
      </c>
      <c r="BC27" s="185" t="s">
        <v>5</v>
      </c>
      <c r="BD27" s="185" t="s">
        <v>1</v>
      </c>
      <c r="BE27" s="185" t="s">
        <v>1</v>
      </c>
      <c r="BF27" s="185" t="s">
        <v>2</v>
      </c>
      <c r="BG27" s="185" t="s">
        <v>2</v>
      </c>
      <c r="BH27" s="185" t="s">
        <v>2</v>
      </c>
      <c r="BI27" s="185" t="s">
        <v>1</v>
      </c>
      <c r="BJ27" s="185" t="s">
        <v>5</v>
      </c>
      <c r="BK27" s="185" t="s">
        <v>1</v>
      </c>
      <c r="BL27" s="185" t="s">
        <v>1</v>
      </c>
      <c r="BM27" s="185" t="s">
        <v>1</v>
      </c>
      <c r="BN27" s="185" t="s">
        <v>5</v>
      </c>
      <c r="BO27" s="185" t="s">
        <v>1</v>
      </c>
      <c r="BP27" s="185" t="s">
        <v>5</v>
      </c>
      <c r="BQ27" s="185" t="s">
        <v>1</v>
      </c>
      <c r="BR27" s="185" t="s">
        <v>1</v>
      </c>
      <c r="BS27" s="185" t="s">
        <v>5</v>
      </c>
      <c r="BT27" s="185" t="s">
        <v>5</v>
      </c>
      <c r="BU27" s="185" t="s">
        <v>5</v>
      </c>
      <c r="BV27" s="185" t="s">
        <v>5</v>
      </c>
      <c r="BW27" s="185" t="s">
        <v>5</v>
      </c>
      <c r="BX27" s="185" t="s">
        <v>1093</v>
      </c>
      <c r="BY27" s="185" t="s">
        <v>1093</v>
      </c>
      <c r="BZ27" s="185" t="s">
        <v>1093</v>
      </c>
      <c r="CA27" s="185" t="s">
        <v>2</v>
      </c>
      <c r="CB27" s="185" t="s">
        <v>1</v>
      </c>
      <c r="CC27" s="185" t="s">
        <v>1093</v>
      </c>
      <c r="CD27" s="185" t="s">
        <v>5</v>
      </c>
      <c r="CE27" s="185" t="s">
        <v>1093</v>
      </c>
      <c r="CF27" s="185" t="s">
        <v>1093</v>
      </c>
      <c r="CG27" s="185" t="s">
        <v>1093</v>
      </c>
      <c r="CH27" s="185" t="s">
        <v>1092</v>
      </c>
      <c r="CI27" s="185" t="s">
        <v>3</v>
      </c>
      <c r="CJ27" s="185" t="s">
        <v>1</v>
      </c>
      <c r="CK27" s="185" t="s">
        <v>1</v>
      </c>
      <c r="CL27" s="185" t="s">
        <v>1</v>
      </c>
      <c r="CM27" s="185" t="s">
        <v>5</v>
      </c>
      <c r="CN27" s="185" t="s">
        <v>1</v>
      </c>
      <c r="CO27" s="185" t="s">
        <v>2</v>
      </c>
      <c r="CP27" s="185" t="s">
        <v>1092</v>
      </c>
      <c r="CQ27" s="185" t="s">
        <v>2</v>
      </c>
      <c r="CR27" s="185" t="s">
        <v>1</v>
      </c>
      <c r="CS27" s="185" t="s">
        <v>1</v>
      </c>
      <c r="CT27" s="185" t="s">
        <v>3</v>
      </c>
      <c r="CU27" s="185" t="s">
        <v>2514</v>
      </c>
    </row>
    <row r="28" spans="1:99" ht="15" x14ac:dyDescent="0.25">
      <c r="A28" s="184">
        <v>42898.487862407404</v>
      </c>
      <c r="B28" s="185" t="s">
        <v>2515</v>
      </c>
      <c r="C28" s="185">
        <v>19388543</v>
      </c>
      <c r="D28" s="185" t="s">
        <v>1320</v>
      </c>
      <c r="E28" s="185" t="s">
        <v>1319</v>
      </c>
      <c r="F28" s="185" t="s">
        <v>2516</v>
      </c>
      <c r="G28" s="185" t="s">
        <v>2517</v>
      </c>
      <c r="H28" s="187">
        <v>36605</v>
      </c>
      <c r="I28" s="185" t="s">
        <v>2518</v>
      </c>
      <c r="J28" s="185" t="s">
        <v>2465</v>
      </c>
      <c r="K28" s="185" t="s">
        <v>1092</v>
      </c>
      <c r="L28" s="185" t="s">
        <v>1092</v>
      </c>
      <c r="M28" s="185" t="s">
        <v>1092</v>
      </c>
      <c r="N28" s="185" t="s">
        <v>3</v>
      </c>
      <c r="O28" s="185" t="s">
        <v>1092</v>
      </c>
      <c r="P28" s="185" t="s">
        <v>3</v>
      </c>
      <c r="Q28" s="185" t="s">
        <v>3</v>
      </c>
      <c r="R28" s="185" t="s">
        <v>1092</v>
      </c>
      <c r="S28" s="185" t="s">
        <v>2</v>
      </c>
      <c r="T28" s="185" t="s">
        <v>3</v>
      </c>
      <c r="U28" s="185" t="s">
        <v>1092</v>
      </c>
      <c r="V28" s="185" t="s">
        <v>3</v>
      </c>
      <c r="W28" s="185" t="s">
        <v>3</v>
      </c>
      <c r="X28" s="185" t="s">
        <v>1092</v>
      </c>
      <c r="Y28" s="185" t="s">
        <v>1092</v>
      </c>
      <c r="Z28" s="185" t="s">
        <v>1092</v>
      </c>
      <c r="AA28" s="185" t="s">
        <v>1092</v>
      </c>
      <c r="AB28" s="185" t="s">
        <v>2</v>
      </c>
      <c r="AC28" s="185" t="s">
        <v>1092</v>
      </c>
      <c r="AD28" s="185" t="s">
        <v>5</v>
      </c>
      <c r="AE28" s="185" t="s">
        <v>5</v>
      </c>
      <c r="AF28" s="185" t="s">
        <v>1</v>
      </c>
      <c r="AG28" s="185" t="s">
        <v>1092</v>
      </c>
      <c r="AH28" s="185" t="s">
        <v>1</v>
      </c>
      <c r="AI28" s="185" t="s">
        <v>3</v>
      </c>
      <c r="AJ28" s="185" t="s">
        <v>3</v>
      </c>
      <c r="AK28" s="185" t="s">
        <v>3</v>
      </c>
      <c r="AL28" s="185" t="s">
        <v>3</v>
      </c>
      <c r="AM28" s="185" t="s">
        <v>2</v>
      </c>
      <c r="AN28" s="185" t="s">
        <v>3</v>
      </c>
      <c r="AO28" s="185" t="s">
        <v>3</v>
      </c>
      <c r="AP28" s="185" t="s">
        <v>2</v>
      </c>
      <c r="AQ28" s="185" t="s">
        <v>1</v>
      </c>
      <c r="AR28" s="185" t="s">
        <v>1</v>
      </c>
      <c r="AS28" s="185" t="s">
        <v>2</v>
      </c>
      <c r="AT28" s="185" t="s">
        <v>2</v>
      </c>
      <c r="AU28" s="185" t="s">
        <v>2</v>
      </c>
      <c r="AV28" s="185" t="s">
        <v>3</v>
      </c>
      <c r="AW28" s="185" t="s">
        <v>3</v>
      </c>
      <c r="AX28" s="185" t="s">
        <v>1092</v>
      </c>
      <c r="AY28" s="185" t="s">
        <v>1092</v>
      </c>
      <c r="AZ28" s="185" t="s">
        <v>1092</v>
      </c>
      <c r="BA28" s="185" t="s">
        <v>2</v>
      </c>
      <c r="BB28" s="185" t="s">
        <v>1</v>
      </c>
      <c r="BC28" s="185" t="s">
        <v>1092</v>
      </c>
      <c r="BD28" s="185" t="s">
        <v>1092</v>
      </c>
      <c r="BE28" s="185" t="s">
        <v>1092</v>
      </c>
      <c r="BF28" s="185" t="s">
        <v>3</v>
      </c>
      <c r="BG28" s="185" t="s">
        <v>3</v>
      </c>
      <c r="BH28" s="185" t="s">
        <v>1092</v>
      </c>
      <c r="BI28" s="185" t="s">
        <v>3</v>
      </c>
      <c r="BJ28" s="185" t="s">
        <v>1092</v>
      </c>
      <c r="BK28" s="185" t="s">
        <v>1</v>
      </c>
      <c r="BL28" s="185" t="s">
        <v>1</v>
      </c>
      <c r="BM28" s="185" t="s">
        <v>3</v>
      </c>
      <c r="BN28" s="185" t="s">
        <v>1092</v>
      </c>
      <c r="BO28" s="185" t="s">
        <v>1092</v>
      </c>
      <c r="BP28" s="185" t="s">
        <v>1092</v>
      </c>
      <c r="BQ28" s="185" t="s">
        <v>3</v>
      </c>
      <c r="BR28" s="185" t="s">
        <v>1092</v>
      </c>
      <c r="BS28" s="185" t="s">
        <v>1092</v>
      </c>
      <c r="BT28" s="185" t="s">
        <v>1092</v>
      </c>
      <c r="BU28" s="185" t="s">
        <v>3</v>
      </c>
      <c r="BV28" s="185" t="s">
        <v>3</v>
      </c>
      <c r="BW28" s="185" t="s">
        <v>3</v>
      </c>
      <c r="BX28" s="185" t="s">
        <v>2</v>
      </c>
      <c r="BY28" s="185" t="s">
        <v>2</v>
      </c>
      <c r="BZ28" s="185" t="s">
        <v>2</v>
      </c>
      <c r="CA28" s="185" t="s">
        <v>1092</v>
      </c>
      <c r="CB28" s="185" t="s">
        <v>3</v>
      </c>
      <c r="CC28" s="185" t="s">
        <v>1092</v>
      </c>
      <c r="CD28" s="185" t="s">
        <v>3</v>
      </c>
      <c r="CE28" s="185" t="s">
        <v>2</v>
      </c>
      <c r="CF28" s="185" t="s">
        <v>2</v>
      </c>
      <c r="CG28" s="185" t="s">
        <v>3</v>
      </c>
      <c r="CH28" s="185" t="s">
        <v>1092</v>
      </c>
      <c r="CI28" s="185" t="s">
        <v>3</v>
      </c>
      <c r="CJ28" s="185" t="s">
        <v>1092</v>
      </c>
      <c r="CK28" s="185" t="s">
        <v>1092</v>
      </c>
      <c r="CL28" s="185" t="s">
        <v>1092</v>
      </c>
      <c r="CM28" s="185" t="s">
        <v>1092</v>
      </c>
      <c r="CN28" s="185" t="s">
        <v>1092</v>
      </c>
      <c r="CO28" s="185" t="s">
        <v>1092</v>
      </c>
      <c r="CP28" s="185" t="s">
        <v>1092</v>
      </c>
      <c r="CQ28" s="185" t="s">
        <v>3</v>
      </c>
      <c r="CR28" s="185" t="s">
        <v>2</v>
      </c>
      <c r="CS28" s="185" t="s">
        <v>3</v>
      </c>
      <c r="CT28" s="185" t="s">
        <v>1</v>
      </c>
      <c r="CU28" s="188"/>
    </row>
    <row r="29" spans="1:99" ht="12.75" x14ac:dyDescent="0.2">
      <c r="A29" s="174"/>
      <c r="B29" s="173"/>
      <c r="C29" s="173"/>
      <c r="D29" s="173"/>
      <c r="E29" s="173"/>
      <c r="F29" s="173"/>
      <c r="G29" s="173"/>
      <c r="H29" s="175"/>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row>
    <row r="30" spans="1:99" ht="12.75" x14ac:dyDescent="0.2">
      <c r="A30" s="174"/>
      <c r="B30" s="173"/>
      <c r="C30" s="173"/>
      <c r="D30" s="173"/>
      <c r="E30" s="173"/>
      <c r="F30" s="173"/>
      <c r="G30" s="173"/>
      <c r="H30" s="175"/>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row>
    <row r="31" spans="1:99" ht="12.75" x14ac:dyDescent="0.2">
      <c r="A31" s="174"/>
      <c r="B31" s="173"/>
      <c r="C31" s="173"/>
      <c r="D31" s="173"/>
      <c r="E31" s="173"/>
      <c r="F31" s="173"/>
      <c r="G31" s="173"/>
      <c r="H31" s="175"/>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row>
    <row r="32" spans="1:99" ht="12.75" x14ac:dyDescent="0.2">
      <c r="A32" s="174"/>
      <c r="B32" s="173"/>
      <c r="C32" s="173"/>
      <c r="D32" s="173"/>
      <c r="E32" s="173"/>
      <c r="F32" s="173"/>
      <c r="G32" s="173"/>
      <c r="H32" s="175"/>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c r="CS32" s="173"/>
      <c r="CT32" s="173"/>
    </row>
    <row r="33" spans="1:98" ht="12.75" x14ac:dyDescent="0.2">
      <c r="A33" s="174"/>
      <c r="B33" s="173"/>
      <c r="C33" s="173"/>
      <c r="D33" s="173"/>
      <c r="E33" s="173"/>
      <c r="F33" s="173"/>
      <c r="G33" s="173"/>
      <c r="H33" s="175"/>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c r="CS33" s="173"/>
      <c r="CT33" s="173"/>
    </row>
    <row r="34" spans="1:98" ht="12.75" x14ac:dyDescent="0.2">
      <c r="A34" s="174"/>
      <c r="B34" s="173"/>
      <c r="C34" s="173"/>
      <c r="D34" s="173"/>
      <c r="E34" s="173"/>
      <c r="F34" s="173"/>
      <c r="G34" s="173"/>
      <c r="H34" s="175"/>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c r="CS34" s="173"/>
      <c r="CT34" s="173"/>
    </row>
    <row r="35" spans="1:98" ht="12.75" x14ac:dyDescent="0.2">
      <c r="A35" s="174"/>
      <c r="B35" s="173"/>
      <c r="C35" s="173"/>
      <c r="D35" s="173"/>
      <c r="E35" s="173"/>
      <c r="F35" s="173"/>
      <c r="G35" s="173"/>
      <c r="H35" s="175"/>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row>
    <row r="36" spans="1:98" ht="12.75" x14ac:dyDescent="0.2">
      <c r="A36" s="174"/>
      <c r="B36" s="173"/>
      <c r="C36" s="173"/>
      <c r="D36" s="173"/>
      <c r="E36" s="173"/>
      <c r="F36" s="173"/>
      <c r="G36" s="173"/>
      <c r="H36" s="175"/>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c r="CO36" s="173"/>
      <c r="CP36" s="173"/>
      <c r="CQ36" s="173"/>
      <c r="CR36" s="173"/>
      <c r="CS36" s="173"/>
      <c r="CT36" s="173"/>
    </row>
    <row r="37" spans="1:98" ht="12.75" x14ac:dyDescent="0.2">
      <c r="A37" s="174"/>
      <c r="B37" s="173"/>
      <c r="C37" s="173"/>
      <c r="D37" s="173"/>
      <c r="E37" s="173"/>
      <c r="F37" s="173"/>
      <c r="G37" s="173"/>
      <c r="H37" s="175"/>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c r="CR37" s="173"/>
      <c r="CS37" s="173"/>
      <c r="CT37" s="173"/>
    </row>
    <row r="38" spans="1:98" ht="12.75" x14ac:dyDescent="0.2">
      <c r="A38" s="174"/>
      <c r="B38" s="173"/>
      <c r="C38" s="173"/>
      <c r="D38" s="173"/>
      <c r="E38" s="173"/>
      <c r="F38" s="173"/>
      <c r="G38" s="173"/>
      <c r="H38" s="175"/>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3"/>
      <c r="CN38" s="173"/>
      <c r="CO38" s="173"/>
      <c r="CP38" s="173"/>
      <c r="CQ38" s="173"/>
      <c r="CR38" s="173"/>
      <c r="CS38" s="173"/>
      <c r="CT38" s="173"/>
    </row>
    <row r="39" spans="1:98" ht="12.75" x14ac:dyDescent="0.2">
      <c r="A39" s="174"/>
      <c r="B39" s="173"/>
      <c r="C39" s="173"/>
      <c r="D39" s="173"/>
      <c r="E39" s="173"/>
      <c r="F39" s="173"/>
      <c r="G39" s="173"/>
      <c r="H39" s="175"/>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row>
    <row r="40" spans="1:98" ht="12.75" x14ac:dyDescent="0.2">
      <c r="A40" s="174"/>
      <c r="B40" s="173"/>
      <c r="C40" s="173"/>
      <c r="D40" s="173"/>
      <c r="E40" s="173"/>
      <c r="F40" s="173"/>
      <c r="G40" s="173"/>
      <c r="H40" s="175"/>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row>
    <row r="41" spans="1:98" ht="12.75" x14ac:dyDescent="0.2">
      <c r="A41" s="174"/>
      <c r="B41" s="173"/>
      <c r="C41" s="173"/>
      <c r="D41" s="173"/>
      <c r="E41" s="173"/>
      <c r="F41" s="173"/>
      <c r="G41" s="173"/>
      <c r="H41" s="175"/>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H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row>
    <row r="42" spans="1:98" ht="12.75" x14ac:dyDescent="0.2">
      <c r="A42" s="174"/>
      <c r="B42" s="173"/>
      <c r="C42" s="173"/>
      <c r="D42" s="173"/>
      <c r="E42" s="173"/>
      <c r="F42" s="173"/>
      <c r="G42" s="173"/>
      <c r="H42" s="175"/>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H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57"/>
  <sheetViews>
    <sheetView topLeftCell="A131" zoomScale="85" zoomScaleNormal="85" zoomScalePageLayoutView="85" workbookViewId="0">
      <selection activeCell="F141" sqref="F141"/>
    </sheetView>
  </sheetViews>
  <sheetFormatPr baseColWidth="10" defaultColWidth="11.42578125" defaultRowHeight="12.75" x14ac:dyDescent="0.2"/>
  <cols>
    <col min="1" max="1" width="32.42578125" style="161" customWidth="1"/>
    <col min="2" max="2" width="29.7109375" style="161" customWidth="1"/>
    <col min="3" max="3" width="13.85546875" style="161" customWidth="1"/>
    <col min="4" max="4" width="25.28515625" style="161" customWidth="1"/>
    <col min="5" max="5" width="11" style="161" customWidth="1"/>
    <col min="6" max="6" width="25.140625" style="161" customWidth="1"/>
    <col min="7" max="7" width="11" style="161" customWidth="1"/>
    <col min="8" max="8" width="12.42578125" style="161" customWidth="1"/>
    <col min="9" max="9" width="12.42578125" style="161" bestFit="1" customWidth="1"/>
    <col min="10" max="10" width="4.140625" style="161" customWidth="1"/>
    <col min="11" max="16384" width="11.42578125" style="161"/>
  </cols>
  <sheetData>
    <row r="2" spans="1:9" ht="15" x14ac:dyDescent="0.25">
      <c r="A2"/>
      <c r="B2" s="164" t="s">
        <v>2816</v>
      </c>
      <c r="C2"/>
      <c r="D2"/>
      <c r="E2"/>
    </row>
    <row r="3" spans="1:9" ht="15" x14ac:dyDescent="0.25">
      <c r="A3"/>
      <c r="B3" t="s">
        <v>3</v>
      </c>
      <c r="C3" t="s">
        <v>1092</v>
      </c>
      <c r="D3" t="s">
        <v>1358</v>
      </c>
      <c r="E3" t="s">
        <v>1096</v>
      </c>
    </row>
    <row r="4" spans="1:9" ht="45" x14ac:dyDescent="0.25">
      <c r="A4" s="166" t="s">
        <v>1336</v>
      </c>
      <c r="B4" s="165">
        <v>8</v>
      </c>
      <c r="C4" s="165">
        <v>19</v>
      </c>
      <c r="D4" s="165"/>
      <c r="E4" s="165">
        <v>27</v>
      </c>
    </row>
    <row r="5" spans="1:9" ht="15" x14ac:dyDescent="0.25">
      <c r="A5"/>
      <c r="B5" s="215">
        <f>GETPIVOTDATA("1. Conozco la misión de la Universidad Distrital Francisco José de Caldas.",$A$2,"1. Conozco la misión de la Universidad Distrital Francisco José de Caldas.","De acuerdo")/GETPIVOTDATA("1. Conozco la misión de la Universidad Distrital Francisco José de Caldas.",$A$2)</f>
        <v>0.29629629629629628</v>
      </c>
      <c r="C5" s="217">
        <f>+GETPIVOTDATA("1. Conozco la misión de la Universidad Distrital Francisco José de Caldas.",$A$2,"1. Conozco la misión de la Universidad Distrital Francisco José de Caldas.","Totalmente de acuerdo / SI")/GETPIVOTDATA("1. Conozco la misión de la Universidad Distrital Francisco José de Caldas.",$A$2)</f>
        <v>0.70370370370370372</v>
      </c>
      <c r="D5" s="217"/>
      <c r="E5" s="217"/>
      <c r="F5" s="217"/>
      <c r="G5" s="217"/>
      <c r="H5" s="217"/>
      <c r="I5" s="217">
        <f>SUM(B5:H5)</f>
        <v>1</v>
      </c>
    </row>
    <row r="6" spans="1:9" ht="15" x14ac:dyDescent="0.25">
      <c r="A6"/>
      <c r="B6" s="164" t="s">
        <v>2816</v>
      </c>
      <c r="C6"/>
      <c r="D6"/>
      <c r="E6"/>
      <c r="F6"/>
    </row>
    <row r="7" spans="1:9" ht="15" x14ac:dyDescent="0.25">
      <c r="A7"/>
      <c r="B7" t="s">
        <v>1</v>
      </c>
      <c r="C7" t="s">
        <v>3</v>
      </c>
      <c r="D7" t="s">
        <v>1092</v>
      </c>
      <c r="E7" t="s">
        <v>1358</v>
      </c>
      <c r="F7" t="s">
        <v>1096</v>
      </c>
    </row>
    <row r="8" spans="1:9" ht="60" x14ac:dyDescent="0.25">
      <c r="A8" s="166" t="s">
        <v>1337</v>
      </c>
      <c r="B8" s="165">
        <v>1</v>
      </c>
      <c r="C8" s="165">
        <v>7</v>
      </c>
      <c r="D8" s="165">
        <v>19</v>
      </c>
      <c r="E8" s="165"/>
      <c r="F8" s="165">
        <v>27</v>
      </c>
    </row>
    <row r="9" spans="1:9" ht="15" x14ac:dyDescent="0.25">
      <c r="A9"/>
      <c r="B9" s="215">
        <f>+GETPIVOTDATA("2. Me siento identificado con la misión de la Universidad Distrital Francisco José de Caldas.",$A$6,"2. Me siento identificado con la misión de la Universidad Distrital Francisco José de Caldas.","En desacuerdo")/GETPIVOTDATA("2. Me siento identificado con la misión de la Universidad Distrital Francisco José de Caldas.",$A$6)</f>
        <v>3.7037037037037035E-2</v>
      </c>
      <c r="C9" s="217">
        <f>+GETPIVOTDATA("2. Me siento identificado con la misión de la Universidad Distrital Francisco José de Caldas.",$A$6,"2. Me siento identificado con la misión de la Universidad Distrital Francisco José de Caldas.","De acuerdo")/GETPIVOTDATA("2. Me siento identificado con la misión de la Universidad Distrital Francisco José de Caldas.",$A$6)</f>
        <v>0.25925925925925924</v>
      </c>
      <c r="D9" s="217">
        <f>+GETPIVOTDATA("2. Me siento identificado con la misión de la Universidad Distrital Francisco José de Caldas.",$A$6,"2. Me siento identificado con la misión de la Universidad Distrital Francisco José de Caldas.","Totalmente de acuerdo / SI")/GETPIVOTDATA("2. Me siento identificado con la misión de la Universidad Distrital Francisco José de Caldas.",$A$6)</f>
        <v>0.70370370370370372</v>
      </c>
      <c r="I9" s="217">
        <f>SUM(B9:H9)</f>
        <v>1</v>
      </c>
    </row>
    <row r="10" spans="1:9" ht="15" x14ac:dyDescent="0.25">
      <c r="A10"/>
      <c r="B10" s="164" t="s">
        <v>2816</v>
      </c>
      <c r="C10"/>
      <c r="D10"/>
      <c r="E10"/>
      <c r="F10"/>
      <c r="G10"/>
    </row>
    <row r="11" spans="1:9" ht="15" x14ac:dyDescent="0.25">
      <c r="A11"/>
      <c r="B11" t="s">
        <v>1</v>
      </c>
      <c r="C11" t="s">
        <v>2</v>
      </c>
      <c r="D11" t="s">
        <v>3</v>
      </c>
      <c r="E11" t="s">
        <v>1092</v>
      </c>
      <c r="F11" t="s">
        <v>1358</v>
      </c>
      <c r="G11" t="s">
        <v>1096</v>
      </c>
    </row>
    <row r="12" spans="1:9" ht="90" x14ac:dyDescent="0.25">
      <c r="A12" s="166" t="s">
        <v>1338</v>
      </c>
      <c r="B12" s="165">
        <v>1</v>
      </c>
      <c r="C12" s="165">
        <v>1</v>
      </c>
      <c r="D12" s="165">
        <v>4</v>
      </c>
      <c r="E12" s="165">
        <v>21</v>
      </c>
      <c r="F12" s="165"/>
      <c r="G12" s="165">
        <v>27</v>
      </c>
    </row>
    <row r="13" spans="1:9" ht="15" x14ac:dyDescent="0.25">
      <c r="A13"/>
      <c r="B13" s="214">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ingresos.","En desacuerdo")/GETPIVOTDATA("3. Considero que la Universidad Distrital Francisco José de Caldas es una alternativa real para acceder al conocimiento por parte de la población bogotana de menores ingresos.",$A$10)</f>
        <v>3.7037037037037035E-2</v>
      </c>
      <c r="C13" s="218">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ingresos.","Medianamente de acuerdo")/GETPIVOTDATA("3. Considero que la Universidad Distrital Francisco José de Caldas es una alternativa real para acceder al conocimiento por parte de la población bogotana de menores ingresos.",$A$10)</f>
        <v>3.7037037037037035E-2</v>
      </c>
      <c r="D13" s="218">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ingresos.","De acuerdo")/GETPIVOTDATA("3. Considero que la Universidad Distrital Francisco José de Caldas es una alternativa real para acceder al conocimiento por parte de la población bogotana de menores ingresos.",$A$10)</f>
        <v>0.14814814814814814</v>
      </c>
      <c r="E13" s="218">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ingresos.","Totalmente de acuerdo / SI")/GETPIVOTDATA("3. Considero que la Universidad Distrital Francisco José de Caldas es una alternativa real para acceder al conocimiento por parte de la población bogotana de menores ingresos.",$A$10)</f>
        <v>0.77777777777777779</v>
      </c>
      <c r="I13" s="217">
        <f>SUM(B13:H13)</f>
        <v>1</v>
      </c>
    </row>
    <row r="14" spans="1:9" ht="15" x14ac:dyDescent="0.25">
      <c r="A14"/>
      <c r="B14" s="164" t="s">
        <v>2816</v>
      </c>
      <c r="C14"/>
      <c r="D14"/>
      <c r="E14"/>
      <c r="F14"/>
      <c r="G14"/>
    </row>
    <row r="15" spans="1:9" ht="15" x14ac:dyDescent="0.25">
      <c r="A15"/>
      <c r="B15" t="s">
        <v>1</v>
      </c>
      <c r="C15" t="s">
        <v>2</v>
      </c>
      <c r="D15" t="s">
        <v>3</v>
      </c>
      <c r="E15" t="s">
        <v>1092</v>
      </c>
      <c r="F15" t="s">
        <v>1358</v>
      </c>
      <c r="G15" t="s">
        <v>1096</v>
      </c>
    </row>
    <row r="16" spans="1:9" ht="90" x14ac:dyDescent="0.25">
      <c r="A16" s="166" t="s">
        <v>1339</v>
      </c>
      <c r="B16" s="165">
        <v>2</v>
      </c>
      <c r="C16" s="165">
        <v>1</v>
      </c>
      <c r="D16" s="165">
        <v>10</v>
      </c>
      <c r="E16" s="165">
        <v>14</v>
      </c>
      <c r="F16" s="165"/>
      <c r="G16" s="165">
        <v>27</v>
      </c>
    </row>
    <row r="17" spans="1:9" ht="15" x14ac:dyDescent="0.25">
      <c r="A17"/>
      <c r="B17" s="215">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país.","En desacuerdo")/GETPIVOTDATA("4. Considero que la Universidad Distrital Francisco José de Caldas desarrolla una educación de alta calidad con capacidad de responder a los retos del Distrito Capital y del país.",$A$14)</f>
        <v>7.407407407407407E-2</v>
      </c>
      <c r="C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país.","Medianamente de acuerdo")/GETPIVOTDATA("4. Considero que la Universidad Distrital Francisco José de Caldas desarrolla una educación de alta calidad con capacidad de responder a los retos del Distrito Capital y del país.",$A$14)</f>
        <v>3.7037037037037035E-2</v>
      </c>
      <c r="D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país.","De acuerdo")/GETPIVOTDATA("4. Considero que la Universidad Distrital Francisco José de Caldas desarrolla una educación de alta calidad con capacidad de responder a los retos del Distrito Capital y del país.",$A$14)</f>
        <v>0.37037037037037035</v>
      </c>
      <c r="E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país.","Totalmente de acuerdo / SI")/GETPIVOTDATA("4. Considero que la Universidad Distrital Francisco José de Caldas desarrolla una educación de alta calidad con capacidad de responder a los retos del Distrito Capital y del país.",$A$14)</f>
        <v>0.51851851851851849</v>
      </c>
      <c r="I17" s="217">
        <f>SUM(B17:H17)</f>
        <v>1</v>
      </c>
    </row>
    <row r="18" spans="1:9" ht="15" x14ac:dyDescent="0.25">
      <c r="A18"/>
      <c r="B18" s="164" t="s">
        <v>2816</v>
      </c>
      <c r="C18"/>
      <c r="D18"/>
      <c r="E18"/>
      <c r="F18"/>
      <c r="G18"/>
    </row>
    <row r="19" spans="1:9" ht="15" x14ac:dyDescent="0.25">
      <c r="A19"/>
      <c r="B19" t="s">
        <v>1093</v>
      </c>
      <c r="C19" t="s">
        <v>2</v>
      </c>
      <c r="D19" t="s">
        <v>3</v>
      </c>
      <c r="E19" t="s">
        <v>1092</v>
      </c>
      <c r="F19" t="s">
        <v>1358</v>
      </c>
      <c r="G19" t="s">
        <v>1096</v>
      </c>
    </row>
    <row r="20" spans="1:9" ht="45" x14ac:dyDescent="0.25">
      <c r="A20" s="166" t="s">
        <v>1340</v>
      </c>
      <c r="B20" s="165">
        <v>1</v>
      </c>
      <c r="C20" s="165">
        <v>5</v>
      </c>
      <c r="D20" s="165">
        <v>9</v>
      </c>
      <c r="E20" s="165">
        <v>12</v>
      </c>
      <c r="F20" s="165"/>
      <c r="G20" s="165">
        <v>27</v>
      </c>
    </row>
    <row r="21" spans="1:9" ht="15" x14ac:dyDescent="0.25">
      <c r="A21"/>
      <c r="B21" s="215">
        <f>+GETPIVOTDATA("5. Conozco el proyecto educativo (PEP) del programa académico al cual pertenezco.",$A$18,"5. Conozco el proyecto educativo (PEP) del programa académico al cual pertenezco.","Totalmente en desacuerdo / NO")/GETPIVOTDATA("5. Conozco el proyecto educativo (PEP) del programa académico al cual pertenezco.",$A$18)</f>
        <v>3.7037037037037035E-2</v>
      </c>
      <c r="C21" s="217">
        <f>+GETPIVOTDATA("5. Conozco el proyecto educativo (PEP) del programa académico al cual pertenezco.",$A$18,"5. Conozco el proyecto educativo (PEP) del programa académico al cual pertenezco.","Medianamente de acuerdo")/GETPIVOTDATA("5. Conozco el proyecto educativo (PEP) del programa académico al cual pertenezco.",$A$18)</f>
        <v>0.18518518518518517</v>
      </c>
      <c r="D21" s="217">
        <f>+GETPIVOTDATA("5. Conozco el proyecto educativo (PEP) del programa académico al cual pertenezco.",$A$18,"5. Conozco el proyecto educativo (PEP) del programa académico al cual pertenezco.","De acuerdo")/GETPIVOTDATA("5. Conozco el proyecto educativo (PEP) del programa académico al cual pertenezco.",$A$18)</f>
        <v>0.33333333333333331</v>
      </c>
      <c r="E21" s="217">
        <f>+GETPIVOTDATA("5. Conozco el proyecto educativo (PEP) del programa académico al cual pertenezco.",$A$18,"5. Conozco el proyecto educativo (PEP) del programa académico al cual pertenezco.","Totalmente de acuerdo / SI")/GETPIVOTDATA("5. Conozco el proyecto educativo (PEP) del programa académico al cual pertenezco.",$A$18)</f>
        <v>0.44444444444444442</v>
      </c>
      <c r="I21" s="217">
        <f>SUM(B21:H21)</f>
        <v>1</v>
      </c>
    </row>
    <row r="22" spans="1:9" ht="15" x14ac:dyDescent="0.25">
      <c r="A22"/>
      <c r="B22" s="164" t="s">
        <v>2816</v>
      </c>
      <c r="C22"/>
      <c r="D22"/>
      <c r="E22"/>
      <c r="F22"/>
      <c r="G22"/>
      <c r="H22"/>
    </row>
    <row r="23" spans="1:9" ht="15" x14ac:dyDescent="0.25">
      <c r="A23"/>
      <c r="B23" t="s">
        <v>1093</v>
      </c>
      <c r="C23" t="s">
        <v>2</v>
      </c>
      <c r="D23" t="s">
        <v>3</v>
      </c>
      <c r="E23" t="s">
        <v>1092</v>
      </c>
      <c r="F23" t="s">
        <v>5</v>
      </c>
      <c r="G23" t="s">
        <v>1358</v>
      </c>
      <c r="H23" t="s">
        <v>1096</v>
      </c>
    </row>
    <row r="24" spans="1:9" ht="60" x14ac:dyDescent="0.25">
      <c r="A24" s="166" t="s">
        <v>1341</v>
      </c>
      <c r="B24" s="165">
        <v>4</v>
      </c>
      <c r="C24" s="165">
        <v>5</v>
      </c>
      <c r="D24" s="165">
        <v>3</v>
      </c>
      <c r="E24" s="165">
        <v>14</v>
      </c>
      <c r="F24" s="165">
        <v>1</v>
      </c>
      <c r="G24" s="165"/>
      <c r="H24" s="165">
        <v>27</v>
      </c>
    </row>
    <row r="25" spans="1:9" ht="15" x14ac:dyDescent="0.25">
      <c r="A25"/>
      <c r="B25" s="215">
        <f>+GETPIVOTDATA("6. He participado en la elaboración, discusión y actualización del Proyecto Educativo de Programa.",$A$22,"6. He participado en la elaboración, discusión y actualización del Proyecto Educativo de Programa.","Totalmente en desacuerdo / NO")/GETPIVOTDATA("6. He participado en la elaboración, discusión y actualización del Proyecto Educativo de Programa.",$A$22)</f>
        <v>0.14814814814814814</v>
      </c>
      <c r="C25" s="217">
        <f>+GETPIVOTDATA("6. He participado en la elaboración, discusión y actualización del Proyecto Educativo de Programa.",$A$22,"6. He participado en la elaboración, discusión y actualización del Proyecto Educativo de Programa.","Medianamente de acuerdo")/GETPIVOTDATA("6. He participado en la elaboración, discusión y actualización del Proyecto Educativo de Programa.",$A$22)</f>
        <v>0.18518518518518517</v>
      </c>
      <c r="D25" s="217">
        <f>+GETPIVOTDATA("6. He participado en la elaboración, discusión y actualización del Proyecto Educativo de Programa.",$A$22,"6. He participado en la elaboración, discusión y actualización del Proyecto Educativo de Programa.","De acuerdo")/GETPIVOTDATA("6. He participado en la elaboración, discusión y actualización del Proyecto Educativo de Programa.",$A$22)</f>
        <v>0.1111111111111111</v>
      </c>
      <c r="E25" s="217">
        <f>+GETPIVOTDATA("6. He participado en la elaboración, discusión y actualización del Proyecto Educativo de Programa.",$A$22,"6. He participado en la elaboración, discusión y actualización del Proyecto Educativo de Programa.","Totalmente de acuerdo / SI")/GETPIVOTDATA("6. He participado en la elaboración, discusión y actualización del Proyecto Educativo de Programa.",$A$22)</f>
        <v>0.51851851851851849</v>
      </c>
      <c r="F25" s="217">
        <f>+GETPIVOTDATA("6. He participado en la elaboración, discusión y actualización del Proyecto Educativo de Programa.",$A$22,"6. He participado en la elaboración, discusión y actualización del Proyecto Educativo de Programa.","No sabe / No puede opinar al respecto")/GETPIVOTDATA("6. He participado en la elaboración, discusión y actualización del Proyecto Educativo de Programa.",$A$22)</f>
        <v>3.7037037037037035E-2</v>
      </c>
      <c r="I25" s="217">
        <f>SUM(B25:H25)</f>
        <v>1</v>
      </c>
    </row>
    <row r="26" spans="1:9" ht="15" x14ac:dyDescent="0.25">
      <c r="A26"/>
      <c r="B26" s="164" t="s">
        <v>2816</v>
      </c>
      <c r="C26"/>
      <c r="D26"/>
      <c r="E26"/>
      <c r="F26"/>
      <c r="G26"/>
    </row>
    <row r="27" spans="1:9" ht="15" x14ac:dyDescent="0.25">
      <c r="A27"/>
      <c r="B27" t="s">
        <v>1</v>
      </c>
      <c r="C27" t="s">
        <v>2</v>
      </c>
      <c r="D27" t="s">
        <v>3</v>
      </c>
      <c r="E27" t="s">
        <v>1092</v>
      </c>
      <c r="F27" t="s">
        <v>1358</v>
      </c>
      <c r="G27" t="s">
        <v>1096</v>
      </c>
    </row>
    <row r="28" spans="1:9" ht="75" x14ac:dyDescent="0.25">
      <c r="A28" s="166" t="s">
        <v>1342</v>
      </c>
      <c r="B28" s="165">
        <v>4</v>
      </c>
      <c r="C28" s="165">
        <v>4</v>
      </c>
      <c r="D28" s="165">
        <v>10</v>
      </c>
      <c r="E28" s="165">
        <v>9</v>
      </c>
      <c r="F28" s="165"/>
      <c r="G28" s="165">
        <v>27</v>
      </c>
    </row>
    <row r="29" spans="1:9" ht="15" x14ac:dyDescent="0.25">
      <c r="A29"/>
      <c r="B29" s="215">
        <f>+GETPIVOTDATA("7. Considero que el proceso de admisión a cada uno de los niveles de formación de los programas académicos por ciclos es el apropiado.",$A$26,"7. Considero que el proceso de admisión a cada uno de los niveles de formación de los programas académicos por ciclos es el apropiado.","En desacuerdo")/GETPIVOTDATA("7. Considero que el proceso de admisión a cada uno de los niveles de formación de los programas académicos por ciclos es el apropiado.",$A$26)</f>
        <v>0.14814814814814814</v>
      </c>
      <c r="C29" s="217">
        <f>+GETPIVOTDATA("7. Considero que el proceso de admisión a cada uno de los niveles de formación de los programas académicos por ciclos es el apropiado.",$A$26,"7. Considero que el proceso de admisión a cada uno de los niveles de formación de los programas académicos por ciclos es el apropiado.","Medianamente de acuerdo")/GETPIVOTDATA("7. Considero que el proceso de admisión a cada uno de los niveles de formación de los programas académicos por ciclos es el apropiado.",$A$26)</f>
        <v>0.14814814814814814</v>
      </c>
      <c r="D29" s="217">
        <f>+GETPIVOTDATA("7. Considero que el proceso de admisión a cada uno de los niveles de formación de los programas académicos por ciclos es el apropiado.",$A$26,"7. Considero que el proceso de admisión a cada uno de los niveles de formación de los programas académicos por ciclos es el apropiado.","De acuerdo")/GETPIVOTDATA("7. Considero que el proceso de admisión a cada uno de los niveles de formación de los programas académicos por ciclos es el apropiado.",$A$26)</f>
        <v>0.37037037037037035</v>
      </c>
      <c r="E29" s="217">
        <f>+GETPIVOTDATA("7. Considero que el proceso de admisión a cada uno de los niveles de formación de los programas académicos por ciclos es el apropiado.",$A$26,"7. Considero que el proceso de admisión a cada uno de los niveles de formación de los programas académicos por ciclos es el apropiado.","Totalmente de acuerdo / SI")/GETPIVOTDATA("7. Considero que el proceso de admisión a cada uno de los niveles de formación de los programas académicos por ciclos es el apropiado.",$A$26)</f>
        <v>0.33333333333333331</v>
      </c>
      <c r="I29" s="217">
        <f>SUM(B29:H29)</f>
        <v>1</v>
      </c>
    </row>
    <row r="30" spans="1:9" ht="15" x14ac:dyDescent="0.25">
      <c r="A30"/>
      <c r="B30" s="164" t="s">
        <v>2816</v>
      </c>
      <c r="C30"/>
      <c r="D30"/>
      <c r="E30"/>
      <c r="F30"/>
      <c r="G30"/>
    </row>
    <row r="31" spans="1:9" ht="15" x14ac:dyDescent="0.25">
      <c r="A31"/>
      <c r="B31" t="s">
        <v>1</v>
      </c>
      <c r="C31" t="s">
        <v>2</v>
      </c>
      <c r="D31" t="s">
        <v>3</v>
      </c>
      <c r="E31" t="s">
        <v>1092</v>
      </c>
      <c r="F31" t="s">
        <v>1358</v>
      </c>
      <c r="G31" t="s">
        <v>1096</v>
      </c>
    </row>
    <row r="32" spans="1:9" ht="75" x14ac:dyDescent="0.25">
      <c r="A32" s="166" t="s">
        <v>1343</v>
      </c>
      <c r="B32" s="165">
        <v>1</v>
      </c>
      <c r="C32" s="165">
        <v>1</v>
      </c>
      <c r="D32" s="165">
        <v>7</v>
      </c>
      <c r="E32" s="165">
        <v>18</v>
      </c>
      <c r="F32" s="165"/>
      <c r="G32" s="165">
        <v>27</v>
      </c>
    </row>
    <row r="33" spans="1:9" ht="15" x14ac:dyDescent="0.25">
      <c r="A33"/>
      <c r="B33" s="215">
        <f>+GETPIVOTDATA("8. Considero que el proceso de admisión de estudiantes a los programas de la Facultad Tecnológica es transparente y equitativo.",$A$30,"8. Considero que el proceso de admisión de estudiantes a los programas de la Facultad Tecnológica es transparente y equitativo.","En desacuerdo")/GETPIVOTDATA("8. Considero que el proceso de admisión de estudiantes a los programas de la Facultad Tecnológica es transparente y equitativo.",$A$30)</f>
        <v>3.7037037037037035E-2</v>
      </c>
      <c r="C33" s="217">
        <f>+GETPIVOTDATA("8. Considero que el proceso de admisión de estudiantes a los programas de la Facultad Tecnológica es transparente y equitativo.",$A$30,"8. Considero que el proceso de admisión de estudiantes a los programas de la Facultad Tecnológica es transparente y equitativo.","Medianamente de acuerdo")/GETPIVOTDATA("8. Considero que el proceso de admisión de estudiantes a los programas de la Facultad Tecnológica es transparente y equitativo.",$A$30)</f>
        <v>3.7037037037037035E-2</v>
      </c>
      <c r="D33" s="217">
        <f>+GETPIVOTDATA("8. Considero que el proceso de admisión de estudiantes a los programas de la Facultad Tecnológica es transparente y equitativo.",$A$30,"8. Considero que el proceso de admisión de estudiantes a los programas de la Facultad Tecnológica es transparente y equitativo.","De acuerdo")/GETPIVOTDATA("8. Considero que el proceso de admisión de estudiantes a los programas de la Facultad Tecnológica es transparente y equitativo.",$A$30)</f>
        <v>0.25925925925925924</v>
      </c>
      <c r="E33" s="217">
        <f>+GETPIVOTDATA("8. Considero que el proceso de admisión de estudiantes a los programas de la Facultad Tecnológica es transparente y equitativo.",$A$30,"8. Considero que el proceso de admisión de estudiantes a los programas de la Facultad Tecnológica es transparente y equitativo.","Totalmente de acuerdo / SI")/GETPIVOTDATA("8. Considero que el proceso de admisión de estudiantes a los programas de la Facultad Tecnológica es transparente y equitativo.",$A$30)</f>
        <v>0.66666666666666663</v>
      </c>
      <c r="I33" s="217">
        <f>SUM(B33:H33)</f>
        <v>1</v>
      </c>
    </row>
    <row r="34" spans="1:9" ht="15" x14ac:dyDescent="0.25">
      <c r="A34"/>
      <c r="B34" s="164" t="s">
        <v>2816</v>
      </c>
      <c r="C34"/>
      <c r="D34"/>
      <c r="E34"/>
      <c r="F34"/>
      <c r="G34"/>
      <c r="H34"/>
    </row>
    <row r="35" spans="1:9" ht="15" x14ac:dyDescent="0.25">
      <c r="A35"/>
      <c r="B35" t="s">
        <v>1093</v>
      </c>
      <c r="C35" t="s">
        <v>1</v>
      </c>
      <c r="D35" t="s">
        <v>2</v>
      </c>
      <c r="E35" t="s">
        <v>3</v>
      </c>
      <c r="F35" t="s">
        <v>1092</v>
      </c>
      <c r="G35" t="s">
        <v>1358</v>
      </c>
      <c r="H35" t="s">
        <v>1096</v>
      </c>
    </row>
    <row r="36" spans="1:9" ht="60" x14ac:dyDescent="0.25">
      <c r="A36" s="166" t="s">
        <v>1344</v>
      </c>
      <c r="B36" s="165">
        <v>1</v>
      </c>
      <c r="C36" s="165">
        <v>2</v>
      </c>
      <c r="D36" s="165">
        <v>3</v>
      </c>
      <c r="E36" s="165">
        <v>10</v>
      </c>
      <c r="F36" s="165">
        <v>11</v>
      </c>
      <c r="G36" s="165"/>
      <c r="H36" s="165">
        <v>27</v>
      </c>
    </row>
    <row r="37" spans="1:9" ht="15" x14ac:dyDescent="0.25">
      <c r="A37"/>
      <c r="B37" s="215">
        <f>+GETPIVOTDATA("9. Me siento cómodo con el número de estudiantes que se inscriben en los diferentes espacios académicos que lidero.",$A$34,"9. Me siento cómodo con el número de estudiantes que se inscriben en los diferentes espacios académicos que lidero.","Totalmente en desacuerdo / NO")/GETPIVOTDATA("9. Me siento cómodo con el número de estudiantes que se inscriben en los diferentes espacios académicos que lidero.",$A$34)</f>
        <v>3.7037037037037035E-2</v>
      </c>
      <c r="C37" s="217">
        <f>+GETPIVOTDATA("9. Me siento cómodo con el número de estudiantes que se inscriben en los diferentes espacios académicos que lidero.",$A$34,"9. Me siento cómodo con el número de estudiantes que se inscriben en los diferentes espacios académicos que lidero.","En desacuerdo")/GETPIVOTDATA("9. Me siento cómodo con el número de estudiantes que se inscriben en los diferentes espacios académicos que lidero.",$A$34)</f>
        <v>7.407407407407407E-2</v>
      </c>
      <c r="D37" s="217">
        <f>+GETPIVOTDATA("9. Me siento cómodo con el número de estudiantes que se inscriben en los diferentes espacios académicos que lidero.",$A$34,"9. Me siento cómodo con el número de estudiantes que se inscriben en los diferentes espacios académicos que lidero.","Medianamente de acuerdo")/GETPIVOTDATA("9. Me siento cómodo con el número de estudiantes que se inscriben en los diferentes espacios académicos que lidero.",$A$34)</f>
        <v>0.1111111111111111</v>
      </c>
      <c r="E37" s="217">
        <f>+GETPIVOTDATA("9. Me siento cómodo con el número de estudiantes que se inscriben en los diferentes espacios académicos que lidero.",$A$34,"9. Me siento cómodo con el número de estudiantes que se inscriben en los diferentes espacios académicos que lidero.","De acuerdo")/GETPIVOTDATA("9. Me siento cómodo con el número de estudiantes que se inscriben en los diferentes espacios académicos que lidero.",$A$34)</f>
        <v>0.37037037037037035</v>
      </c>
      <c r="F37" s="217">
        <f>+GETPIVOTDATA("9. Me siento cómodo con el número de estudiantes que se inscriben en los diferentes espacios académicos que lidero.",$A$34,"9. Me siento cómodo con el número de estudiantes que se inscriben en los diferentes espacios académicos que lidero.","Totalmente de acuerdo / SI")/GETPIVOTDATA("9. Me siento cómodo con el número de estudiantes que se inscriben en los diferentes espacios académicos que lidero.",$A$34)</f>
        <v>0.40740740740740738</v>
      </c>
      <c r="I37" s="217">
        <f>SUM(B37:H37)</f>
        <v>1</v>
      </c>
    </row>
    <row r="38" spans="1:9" ht="15" x14ac:dyDescent="0.25">
      <c r="A38"/>
      <c r="B38" s="164" t="s">
        <v>2816</v>
      </c>
      <c r="C38"/>
      <c r="D38"/>
      <c r="E38"/>
      <c r="F38"/>
      <c r="G38"/>
    </row>
    <row r="39" spans="1:9" ht="15" x14ac:dyDescent="0.25">
      <c r="A39"/>
      <c r="B39" t="s">
        <v>1093</v>
      </c>
      <c r="C39" t="s">
        <v>2</v>
      </c>
      <c r="D39" t="s">
        <v>3</v>
      </c>
      <c r="E39" t="s">
        <v>1092</v>
      </c>
      <c r="F39" t="s">
        <v>1358</v>
      </c>
      <c r="G39" t="s">
        <v>1096</v>
      </c>
    </row>
    <row r="40" spans="1:9" ht="60" x14ac:dyDescent="0.25">
      <c r="A40" s="166" t="s">
        <v>1345</v>
      </c>
      <c r="B40" s="165">
        <v>1</v>
      </c>
      <c r="C40" s="165">
        <v>8</v>
      </c>
      <c r="D40" s="165">
        <v>11</v>
      </c>
      <c r="E40" s="165">
        <v>7</v>
      </c>
      <c r="F40" s="165"/>
      <c r="G40" s="165">
        <v>27</v>
      </c>
    </row>
    <row r="41" spans="1:9" ht="15" x14ac:dyDescent="0.25">
      <c r="A41"/>
      <c r="B41" s="215">
        <f>+GETPIVOTDATA("10. Considero que los principales reglamentos de la Universidad Distrital son apropiados.",$A$38,"10. Considero que los principales reglamentos de la Universidad Distrital son apropiados.","Totalmente en desacuerdo / NO")/GETPIVOTDATA("10. Considero que los principales reglamentos de la Universidad Distrital son apropiados.",$A$38)</f>
        <v>3.7037037037037035E-2</v>
      </c>
      <c r="C41" s="217">
        <f>+GETPIVOTDATA("10. Considero que los principales reglamentos de la Universidad Distrital son apropiados.",$A$38,"10. Considero que los principales reglamentos de la Universidad Distrital son apropiados.","Medianamente de acuerdo")/GETPIVOTDATA("10. Considero que los principales reglamentos de la Universidad Distrital son apropiados.",$A$38)</f>
        <v>0.29629629629629628</v>
      </c>
      <c r="D41" s="217">
        <f>+GETPIVOTDATA("10. Considero que los principales reglamentos de la Universidad Distrital son apropiados.",$A$38,"10. Considero que los principales reglamentos de la Universidad Distrital son apropiados.","De acuerdo")/GETPIVOTDATA("10. Considero que los principales reglamentos de la Universidad Distrital son apropiados.",$A$38)</f>
        <v>0.40740740740740738</v>
      </c>
      <c r="E41" s="217">
        <f>+GETPIVOTDATA("10. Considero que los principales reglamentos de la Universidad Distrital son apropiados.",$A$38,"10. Considero que los principales reglamentos de la Universidad Distrital son apropiados.","Totalmente de acuerdo / SI")/GETPIVOTDATA("10. Considero que los principales reglamentos de la Universidad Distrital son apropiados.",$A$38)</f>
        <v>0.25925925925925924</v>
      </c>
      <c r="I41" s="217">
        <f>SUM(B41:H41)</f>
        <v>1</v>
      </c>
    </row>
    <row r="42" spans="1:9" ht="15" x14ac:dyDescent="0.25">
      <c r="A42"/>
      <c r="B42" s="164" t="s">
        <v>2816</v>
      </c>
      <c r="C42"/>
      <c r="D42"/>
      <c r="E42"/>
      <c r="F42"/>
    </row>
    <row r="43" spans="1:9" ht="15" x14ac:dyDescent="0.25">
      <c r="A43"/>
      <c r="B43" t="s">
        <v>2</v>
      </c>
      <c r="C43" t="s">
        <v>3</v>
      </c>
      <c r="D43" t="s">
        <v>1092</v>
      </c>
      <c r="E43" t="s">
        <v>1358</v>
      </c>
      <c r="F43" t="s">
        <v>1096</v>
      </c>
    </row>
    <row r="44" spans="1:9" ht="90" x14ac:dyDescent="0.25">
      <c r="A44" s="166" t="s">
        <v>1346</v>
      </c>
      <c r="B44" s="165">
        <v>3</v>
      </c>
      <c r="C44" s="165">
        <v>8</v>
      </c>
      <c r="D44" s="165">
        <v>16</v>
      </c>
      <c r="E44" s="165"/>
      <c r="F44" s="165">
        <v>27</v>
      </c>
    </row>
    <row r="45" spans="1:9" ht="15" x14ac:dyDescent="0.25">
      <c r="A45"/>
      <c r="B45" s="215">
        <f>+GETPIVOTDATA("11. Considero que en el programa académico al cual pertenezco se aplican debidamente las normas establecidas en los reglamentos estudiantil y académico.",$A$42,"11. Considero que en el programa académico al cual pertenezco se aplican debidamente las normas establecidas en los reglamentos estudiantil y académico.","Medianamente de acuerdo")/GETPIVOTDATA("11. Considero que en el programa académico al cual pertenezco se aplican debidamente las normas establecidas en los reglamentos estudiantil y académico.",$A$42)</f>
        <v>0.1111111111111111</v>
      </c>
      <c r="C45" s="217">
        <f>+GETPIVOTDATA("11. Considero que en el programa académico al cual pertenezco se aplican debidamente las normas establecidas en los reglamentos estudiantil y académico.",$A$42,"11. Considero que en el programa académico al cual pertenezco se aplican debidamente las normas establecidas en los reglamentos estudiantil y académico.","De acuerdo")/GETPIVOTDATA("11. Considero que en el programa académico al cual pertenezco se aplican debidamente las normas establecidas en los reglamentos estudiantil y académico.",$A$42)</f>
        <v>0.29629629629629628</v>
      </c>
      <c r="D45" s="217">
        <f>+GETPIVOTDATA("11. Considero que en el programa académico al cual pertenezco se aplican debidamente las normas establecidas en los reglamentos estudiantil y académico.",$A$42,"11. Considero que en el programa académico al cual pertenezco se aplican debidamente las normas establecidas en los reglamentos estudiantil y académico.","Totalmente de acuerdo / SI")/GETPIVOTDATA("11. Considero que en el programa académico al cual pertenezco se aplican debidamente las normas establecidas en los reglamentos estudiantil y académico.",$A$42)</f>
        <v>0.59259259259259256</v>
      </c>
      <c r="I45" s="217">
        <f>SUM(B45:H45)</f>
        <v>1</v>
      </c>
    </row>
    <row r="46" spans="1:9" ht="15" x14ac:dyDescent="0.25">
      <c r="A46"/>
      <c r="B46" s="164" t="s">
        <v>2816</v>
      </c>
      <c r="C46"/>
      <c r="D46"/>
      <c r="E46"/>
      <c r="F46"/>
      <c r="G46"/>
      <c r="H46"/>
      <c r="I46"/>
    </row>
    <row r="47" spans="1:9" ht="15" x14ac:dyDescent="0.25">
      <c r="A47"/>
      <c r="B47" t="s">
        <v>1093</v>
      </c>
      <c r="C47" t="s">
        <v>1</v>
      </c>
      <c r="D47" t="s">
        <v>2</v>
      </c>
      <c r="E47" t="s">
        <v>3</v>
      </c>
      <c r="F47" t="s">
        <v>1092</v>
      </c>
      <c r="G47" t="s">
        <v>5</v>
      </c>
      <c r="H47" t="s">
        <v>1358</v>
      </c>
      <c r="I47" t="s">
        <v>1096</v>
      </c>
    </row>
    <row r="48" spans="1:9" ht="90" x14ac:dyDescent="0.25">
      <c r="A48" s="166" t="s">
        <v>1347</v>
      </c>
      <c r="B48" s="165">
        <v>3</v>
      </c>
      <c r="C48" s="165">
        <v>3</v>
      </c>
      <c r="D48" s="165">
        <v>2</v>
      </c>
      <c r="E48" s="165">
        <v>9</v>
      </c>
      <c r="F48" s="165">
        <v>9</v>
      </c>
      <c r="G48" s="165">
        <v>1</v>
      </c>
      <c r="H48" s="165"/>
      <c r="I48" s="165">
        <v>27</v>
      </c>
    </row>
    <row r="49" spans="1:9" ht="15" x14ac:dyDescent="0.25">
      <c r="A49"/>
      <c r="B49" s="215">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equitativo.","Totalmente en desacuerdo / NO")/GETPIVOTDATA("12. Considero que el proceso de selección y vinculación de docentes DE PLANTA a la Universidad Distrital Francisco José de Caldas es trasparente y equitativo.",$A$46)</f>
        <v>0.1111111111111111</v>
      </c>
      <c r="C49" s="217">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equitativo.","En desacuerdo")/GETPIVOTDATA("12. Considero que el proceso de selección y vinculación de docentes DE PLANTA a la Universidad Distrital Francisco José de Caldas es trasparente y equitativo.",$A$46)</f>
        <v>0.1111111111111111</v>
      </c>
      <c r="D49" s="217">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equitativo.","Medianamente de acuerdo")/GETPIVOTDATA("12. Considero que el proceso de selección y vinculación de docentes DE PLANTA a la Universidad Distrital Francisco José de Caldas es trasparente y equitativo.",$A$46)</f>
        <v>7.407407407407407E-2</v>
      </c>
      <c r="E49" s="217">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equitativo.","De acuerdo")/GETPIVOTDATA("12. Considero que el proceso de selección y vinculación de docentes DE PLANTA a la Universidad Distrital Francisco José de Caldas es trasparente y equitativo.",$A$46)</f>
        <v>0.33333333333333331</v>
      </c>
      <c r="F49" s="217">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equitativo.","Totalmente de acuerdo / SI")/GETPIVOTDATA("12. Considero que el proceso de selección y vinculación de docentes DE PLANTA a la Universidad Distrital Francisco José de Caldas es trasparente y equitativo.",$A$46)</f>
        <v>0.33333333333333331</v>
      </c>
      <c r="G49" s="217">
        <f>+GETPIVOTDATA("12. Considero que el proceso de selección y vinculación de docentes DE PLANTA a la Universidad Distrital Francisco José de Caldas es trasparente y equitativo.",$A$46,"12. Considero que el proceso de selección y vinculación de docentes DE PLANTA a la Universidad Distrital Francisco José de Caldas es trasparente y equitativo.","No sabe / No puede opinar al respecto")/GETPIVOTDATA("12. Considero que el proceso de selección y vinculación de docentes DE PLANTA a la Universidad Distrital Francisco José de Caldas es trasparente y equitativo.",$A$46)</f>
        <v>3.7037037037037035E-2</v>
      </c>
      <c r="H49" s="217"/>
      <c r="I49" s="217">
        <f>SUM(B49:H49)</f>
        <v>0.99999999999999978</v>
      </c>
    </row>
    <row r="50" spans="1:9" ht="15" x14ac:dyDescent="0.25">
      <c r="A50"/>
      <c r="B50" s="164" t="s">
        <v>2816</v>
      </c>
      <c r="C50"/>
      <c r="D50"/>
      <c r="E50"/>
      <c r="F50"/>
      <c r="G50"/>
      <c r="H50"/>
      <c r="I50"/>
    </row>
    <row r="51" spans="1:9" ht="15" x14ac:dyDescent="0.25">
      <c r="A51"/>
      <c r="B51" t="s">
        <v>1093</v>
      </c>
      <c r="C51" t="s">
        <v>1</v>
      </c>
      <c r="D51" t="s">
        <v>2</v>
      </c>
      <c r="E51" t="s">
        <v>3</v>
      </c>
      <c r="F51" t="s">
        <v>1092</v>
      </c>
      <c r="G51" t="s">
        <v>5</v>
      </c>
      <c r="H51" t="s">
        <v>1358</v>
      </c>
      <c r="I51" t="s">
        <v>1096</v>
      </c>
    </row>
    <row r="52" spans="1:9" ht="90" x14ac:dyDescent="0.25">
      <c r="A52" s="166" t="s">
        <v>1348</v>
      </c>
      <c r="B52" s="165">
        <v>1</v>
      </c>
      <c r="C52" s="165">
        <v>3</v>
      </c>
      <c r="D52" s="165">
        <v>3</v>
      </c>
      <c r="E52" s="165">
        <v>11</v>
      </c>
      <c r="F52" s="165">
        <v>8</v>
      </c>
      <c r="G52" s="165">
        <v>1</v>
      </c>
      <c r="H52" s="165"/>
      <c r="I52" s="165">
        <v>27</v>
      </c>
    </row>
    <row r="53" spans="1:9" ht="15" x14ac:dyDescent="0.25">
      <c r="A53"/>
      <c r="B53" s="215">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equitativo.","Totalmente en desacuerdo / NO")/GETPIVOTDATA("13. Considero que el proceso de selección y vinculación de docentes OCASIONALES a la Universidad Distrital Francisco José de Caldas es trasparente y equitativo.",$A$50)</f>
        <v>3.7037037037037035E-2</v>
      </c>
      <c r="C53" s="217">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equitativo.","En desacuerdo")/GETPIVOTDATA("13. Considero que el proceso de selección y vinculación de docentes OCASIONALES a la Universidad Distrital Francisco José de Caldas es trasparente y equitativo.",$A$50)</f>
        <v>0.1111111111111111</v>
      </c>
      <c r="D53" s="217">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equitativo.","Medianamente de acuerdo")/GETPIVOTDATA("13. Considero que el proceso de selección y vinculación de docentes OCASIONALES a la Universidad Distrital Francisco José de Caldas es trasparente y equitativo.",$A$50)</f>
        <v>0.1111111111111111</v>
      </c>
      <c r="E53" s="217">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equitativo.","De acuerdo")/GETPIVOTDATA("13. Considero que el proceso de selección y vinculación de docentes OCASIONALES a la Universidad Distrital Francisco José de Caldas es trasparente y equitativo.",$A$50)</f>
        <v>0.40740740740740738</v>
      </c>
      <c r="F53" s="217">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equitativo.","Totalmente de acuerdo / SI")/GETPIVOTDATA("13. Considero que el proceso de selección y vinculación de docentes OCASIONALES a la Universidad Distrital Francisco José de Caldas es trasparente y equitativo.",$A$50)</f>
        <v>0.29629629629629628</v>
      </c>
      <c r="G53" s="217">
        <f>+GETPIVOTDATA("13. Considero que el proceso de selección y vinculación de docentes OCASIONALES a la Universidad Distrital Francisco José de Caldas es trasparente y equitativo.",$A$50,"13. Considero que el proceso de selección y vinculación de docentes OCASIONALES a la Universidad Distrital Francisco José de Caldas es trasparente y equitativo.","No sabe / No puede opinar al respecto")/GETPIVOTDATA("13. Considero que el proceso de selección y vinculación de docentes OCASIONALES a la Universidad Distrital Francisco José de Caldas es trasparente y equitativo.",$A$50)</f>
        <v>3.7037037037037035E-2</v>
      </c>
      <c r="I53" s="217">
        <f>SUM(B53:H53)</f>
        <v>1</v>
      </c>
    </row>
    <row r="54" spans="1:9" ht="15" x14ac:dyDescent="0.25">
      <c r="A54"/>
      <c r="B54" s="164" t="s">
        <v>2816</v>
      </c>
      <c r="C54"/>
      <c r="D54"/>
      <c r="E54"/>
      <c r="F54"/>
      <c r="G54"/>
      <c r="H54"/>
    </row>
    <row r="55" spans="1:9" ht="15" x14ac:dyDescent="0.25">
      <c r="A55"/>
      <c r="B55" t="s">
        <v>1093</v>
      </c>
      <c r="C55" t="s">
        <v>2</v>
      </c>
      <c r="D55" t="s">
        <v>3</v>
      </c>
      <c r="E55" t="s">
        <v>1092</v>
      </c>
      <c r="F55" t="s">
        <v>5</v>
      </c>
      <c r="G55" t="s">
        <v>1358</v>
      </c>
      <c r="H55" t="s">
        <v>1096</v>
      </c>
    </row>
    <row r="56" spans="1:9" ht="75" x14ac:dyDescent="0.25">
      <c r="A56" s="166" t="s">
        <v>1349</v>
      </c>
      <c r="B56" s="165">
        <v>2</v>
      </c>
      <c r="C56" s="165">
        <v>3</v>
      </c>
      <c r="D56" s="165">
        <v>5</v>
      </c>
      <c r="E56" s="165">
        <v>16</v>
      </c>
      <c r="F56" s="165">
        <v>1</v>
      </c>
      <c r="G56" s="165"/>
      <c r="H56" s="165">
        <v>27</v>
      </c>
    </row>
    <row r="57" spans="1:9" ht="15" x14ac:dyDescent="0.25">
      <c r="A57"/>
      <c r="B57" s="215">
        <f>+GETPIVOTDATA("14. Conozco los criterios académicos establecidos para definir la permanencia de los docentes en la Universidad Distrital Francisco José de Caldas.",$A$54,"14. Conozco los criterios académicos establecidos para definir la permanencia de los docentes en la Universidad Distrital Francisco José de Caldas.","Totalmente en desacuerdo / NO")/GETPIVOTDATA("14. Conozco los criterios académicos establecidos para definir la permanencia de los docentes en la Universidad Distrital Francisco José de Caldas.",$A$54)</f>
        <v>7.407407407407407E-2</v>
      </c>
      <c r="C57" s="217">
        <f>+GETPIVOTDATA("14. Conozco los criterios académicos establecidos para definir la permanencia de los docentes en la Universidad Distrital Francisco José de Caldas.",$A$54,"14. Conozco los criterios académicos establecidos para definir la permanencia de los docentes en la Universidad Distrital Francisco José de Caldas.","Medianamente de acuerdo")/GETPIVOTDATA("14. Conozco los criterios académicos establecidos para definir la permanencia de los docentes en la Universidad Distrital Francisco José de Caldas.",$A$54)</f>
        <v>0.1111111111111111</v>
      </c>
      <c r="D57" s="217">
        <f>+GETPIVOTDATA("14. Conozco los criterios académicos establecidos para definir la permanencia de los docentes en la Universidad Distrital Francisco José de Caldas.",$A$54,"14. Conozco los criterios académicos establecidos para definir la permanencia de los docentes en la Universidad Distrital Francisco José de Caldas.","De acuerdo")/GETPIVOTDATA("14. Conozco los criterios académicos establecidos para definir la permanencia de los docentes en la Universidad Distrital Francisco José de Caldas.",$A$54)</f>
        <v>0.18518518518518517</v>
      </c>
      <c r="E57" s="217">
        <f>+GETPIVOTDATA("14. Conozco los criterios académicos establecidos para definir la permanencia de los docentes en la Universidad Distrital Francisco José de Caldas.",$A$54,"14. Conozco los criterios académicos establecidos para definir la permanencia de los docentes en la Universidad Distrital Francisco José de Caldas.","Totalmente de acuerdo / SI")/GETPIVOTDATA("14. Conozco los criterios académicos establecidos para definir la permanencia de los docentes en la Universidad Distrital Francisco José de Caldas.",$A$54)</f>
        <v>0.59259259259259256</v>
      </c>
      <c r="F57" s="217">
        <f>+GETPIVOTDATA("14. Conozco los criterios académicos establecidos para definir la permanencia de los docentes en la Universidad Distrital Francisco José de Caldas.",$A$54,"14. Conozco los criterios académicos establecidos para definir la permanencia de los docentes en la Universidad Distrital Francisco José de Caldas.","No sabe / No puede opinar al respecto")/GETPIVOTDATA("14. Conozco los criterios académicos establecidos para definir la permanencia de los docentes en la Universidad Distrital Francisco José de Caldas.",$A$54)</f>
        <v>3.7037037037037035E-2</v>
      </c>
      <c r="I57" s="217">
        <f>SUM(B57:H57)</f>
        <v>1</v>
      </c>
    </row>
    <row r="58" spans="1:9" ht="15" x14ac:dyDescent="0.25">
      <c r="A58"/>
      <c r="B58" s="164" t="s">
        <v>2816</v>
      </c>
      <c r="C58"/>
      <c r="D58"/>
      <c r="E58"/>
      <c r="F58"/>
      <c r="G58"/>
    </row>
    <row r="59" spans="1:9" ht="15" x14ac:dyDescent="0.25">
      <c r="A59"/>
      <c r="B59" t="s">
        <v>2</v>
      </c>
      <c r="C59" t="s">
        <v>3</v>
      </c>
      <c r="D59" t="s">
        <v>1092</v>
      </c>
      <c r="E59" t="s">
        <v>5</v>
      </c>
      <c r="F59" t="s">
        <v>1358</v>
      </c>
      <c r="G59" t="s">
        <v>1096</v>
      </c>
    </row>
    <row r="60" spans="1:9" ht="90" x14ac:dyDescent="0.25">
      <c r="A60" s="166" t="s">
        <v>1350</v>
      </c>
      <c r="B60" s="165">
        <v>3</v>
      </c>
      <c r="C60" s="165">
        <v>6</v>
      </c>
      <c r="D60" s="165">
        <v>17</v>
      </c>
      <c r="E60" s="165">
        <v>1</v>
      </c>
      <c r="F60" s="165"/>
      <c r="G60" s="165">
        <v>27</v>
      </c>
    </row>
    <row r="61" spans="1:9" ht="15" x14ac:dyDescent="0.25">
      <c r="A61"/>
      <c r="B61" s="215">
        <f>+GETPIVOTDATA("15. Considero que en el programa académico al cual pertenezco se aplican debidamente las normas establecidas en el estatuto docente.",$A$58,"15. Considero que en el programa académico al cual pertenezco se aplican debidamente las normas establecidas en el estatuto docente.","Medianamente de acuerdo")/GETPIVOTDATA("15. Considero que en el programa académico al cual pertenezco se aplican debidamente las normas establecidas en el estatuto docente.",$A$58)</f>
        <v>0.1111111111111111</v>
      </c>
      <c r="C61" s="217">
        <f>+GETPIVOTDATA("15. Considero que en el programa académico al cual pertenezco se aplican debidamente las normas establecidas en el estatuto docente.",$A$58,"15. Considero que en el programa académico al cual pertenezco se aplican debidamente las normas establecidas en el estatuto docente.","De acuerdo")/GETPIVOTDATA("15. Considero que en el programa académico al cual pertenezco se aplican debidamente las normas establecidas en el estatuto docente.",$A$58)</f>
        <v>0.22222222222222221</v>
      </c>
      <c r="D61" s="217">
        <f>+GETPIVOTDATA("15. Considero que en el programa académico al cual pertenezco se aplican debidamente las normas establecidas en el estatuto docente.",$A$58,"15. Considero que en el programa académico al cual pertenezco se aplican debidamente las normas establecidas en el estatuto docente.","Totalmente de acuerdo / SI")/GETPIVOTDATA("15. Considero que en el programa académico al cual pertenezco se aplican debidamente las normas establecidas en el estatuto docente.",$A$58)</f>
        <v>0.62962962962962965</v>
      </c>
      <c r="E61" s="217">
        <f>+GETPIVOTDATA("15. Considero que en el programa académico al cual pertenezco se aplican debidamente las normas establecidas en el estatuto docente.",$A$58,"15. Considero que en el programa académico al cual pertenezco se aplican debidamente las normas establecidas en el estatuto docente.","No sabe / No puede opinar al respecto")/GETPIVOTDATA("15. Considero que en el programa académico al cual pertenezco se aplican debidamente las normas establecidas en el estatuto docente.",$A$58)</f>
        <v>3.7037037037037035E-2</v>
      </c>
      <c r="I61" s="217">
        <f>SUM(B61:H61)</f>
        <v>1</v>
      </c>
    </row>
    <row r="62" spans="1:9" ht="15" x14ac:dyDescent="0.25">
      <c r="A62"/>
      <c r="B62" s="164" t="s">
        <v>2816</v>
      </c>
      <c r="C62"/>
      <c r="D62"/>
      <c r="E62"/>
      <c r="F62"/>
      <c r="G62"/>
      <c r="H62"/>
    </row>
    <row r="63" spans="1:9" ht="15" x14ac:dyDescent="0.25">
      <c r="A63"/>
      <c r="B63" t="s">
        <v>1093</v>
      </c>
      <c r="C63" t="s">
        <v>1</v>
      </c>
      <c r="D63" t="s">
        <v>2</v>
      </c>
      <c r="E63" t="s">
        <v>3</v>
      </c>
      <c r="F63" t="s">
        <v>1092</v>
      </c>
      <c r="G63" t="s">
        <v>1358</v>
      </c>
      <c r="H63" t="s">
        <v>1096</v>
      </c>
    </row>
    <row r="64" spans="1:9" ht="45" x14ac:dyDescent="0.25">
      <c r="A64" s="166" t="s">
        <v>1351</v>
      </c>
      <c r="B64" s="165">
        <v>2</v>
      </c>
      <c r="C64" s="165">
        <v>5</v>
      </c>
      <c r="D64" s="165">
        <v>5</v>
      </c>
      <c r="E64" s="165">
        <v>10</v>
      </c>
      <c r="F64" s="165">
        <v>5</v>
      </c>
      <c r="G64" s="165"/>
      <c r="H64" s="165">
        <v>27</v>
      </c>
    </row>
    <row r="65" spans="1:9" ht="15" x14ac:dyDescent="0.25">
      <c r="A65"/>
      <c r="B65" s="215">
        <f>+GETPIVOTDATA("16. Considero que el estatuto docente es pertinente y es vigente.",$A$62,"16. Considero que el estatuto docente es pertinente y es vigente.","Totalmente en desacuerdo / NO")/GETPIVOTDATA("16. Considero que el estatuto docente es pertinente y es vigente.",$A$62)</f>
        <v>7.407407407407407E-2</v>
      </c>
      <c r="C65" s="217">
        <f>+GETPIVOTDATA("16. Considero que el estatuto docente es pertinente y es vigente.",$A$62,"16. Considero que el estatuto docente es pertinente y es vigente.","En desacuerdo")/GETPIVOTDATA("16. Considero que el estatuto docente es pertinente y es vigente.",$A$62)</f>
        <v>0.18518518518518517</v>
      </c>
      <c r="D65" s="217">
        <f>+GETPIVOTDATA("16. Considero que el estatuto docente es pertinente y es vigente.",$A$62,"16. Considero que el estatuto docente es pertinente y es vigente.","Medianamente de acuerdo")/GETPIVOTDATA("16. Considero que el estatuto docente es pertinente y es vigente.",$A$62)</f>
        <v>0.18518518518518517</v>
      </c>
      <c r="E65" s="217">
        <f>+GETPIVOTDATA("16. Considero que el estatuto docente es pertinente y es vigente.",$A$62,"16. Considero que el estatuto docente es pertinente y es vigente.","De acuerdo")/GETPIVOTDATA("16. Considero que el estatuto docente es pertinente y es vigente.",$A$62)</f>
        <v>0.37037037037037035</v>
      </c>
      <c r="F65" s="217">
        <f>+GETPIVOTDATA("16. Considero que el estatuto docente es pertinente y es vigente.",$A$62,"16. Considero que el estatuto docente es pertinente y es vigente.","Totalmente de acuerdo / SI")/GETPIVOTDATA("16. Considero que el estatuto docente es pertinente y es vigente.",$A$62)</f>
        <v>0.18518518518518517</v>
      </c>
      <c r="I65" s="217">
        <f>SUM(B65:H65)</f>
        <v>1</v>
      </c>
    </row>
    <row r="66" spans="1:9" ht="15" x14ac:dyDescent="0.25">
      <c r="A66"/>
      <c r="B66" s="164" t="s">
        <v>2816</v>
      </c>
      <c r="C66"/>
      <c r="D66"/>
      <c r="E66"/>
      <c r="F66"/>
      <c r="G66"/>
    </row>
    <row r="67" spans="1:9" ht="15" x14ac:dyDescent="0.25">
      <c r="A67"/>
      <c r="B67" t="s">
        <v>1093</v>
      </c>
      <c r="C67" t="s">
        <v>2</v>
      </c>
      <c r="D67" t="s">
        <v>3</v>
      </c>
      <c r="E67" t="s">
        <v>1092</v>
      </c>
      <c r="F67" t="s">
        <v>1358</v>
      </c>
      <c r="G67" t="s">
        <v>1096</v>
      </c>
    </row>
    <row r="68" spans="1:9" ht="105" x14ac:dyDescent="0.25">
      <c r="A68" s="166" t="s">
        <v>1352</v>
      </c>
      <c r="B68" s="165">
        <v>3</v>
      </c>
      <c r="C68" s="165">
        <v>6</v>
      </c>
      <c r="D68" s="165">
        <v>6</v>
      </c>
      <c r="E68" s="165">
        <v>12</v>
      </c>
      <c r="F68" s="165"/>
      <c r="G68" s="165">
        <v>27</v>
      </c>
    </row>
    <row r="69" spans="1:9" ht="15" x14ac:dyDescent="0.25">
      <c r="A69"/>
      <c r="B69" s="215">
        <f>+GETPIVOTDATA("17. Conozco los procedimientos para hacer parte de los órganos de dirección del programa académico al cual pertenezco, de la Facultad Tecnológica y de la Universidad Distrital Francisco José de Caldas.",$A$66,"17. Conozco los procedimientos para hacer parte de los órganos de dirección del programa académico al cual pertenezco, de la Facultad Tecnológica y de la Universidad Distrital Francisco José de Caldas.","Totalmente en desacuerdo / NO")/GETPIVOTDATA("17. Conozco los procedimientos para hacer parte de los órganos de dirección del programa académico al cual pertenezco, de la Facultad Tecnológica y de la Universidad Distrital Francisco José de Caldas.",$A$66)</f>
        <v>0.1111111111111111</v>
      </c>
      <c r="C69" s="217">
        <f>+GETPIVOTDATA("17. Conozco los procedimientos para hacer parte de los órganos de dirección del programa académico al cual pertenezco, de la Facultad Tecnológica y de la Universidad Distrital Francisco José de Caldas.",$A$66,"17. Conozco los procedimientos para hacer parte de los órganos de dirección del programa académico al cual pertenezco, de la Facultad Tecnológica y de la Universidad Distrital Francisco José de Caldas.","Medianamente de acuerdo")/GETPIVOTDATA("17. Conozco los procedimientos para hacer parte de los órganos de dirección del programa académico al cual pertenezco, de la Facultad Tecnológica y de la Universidad Distrital Francisco José de Caldas.",$A$66)</f>
        <v>0.22222222222222221</v>
      </c>
      <c r="D69" s="217">
        <f>+GETPIVOTDATA("17. Conozco los procedimientos para hacer parte de los órganos de dirección del programa académico al cual pertenezco, de la Facultad Tecnológica y de la Universidad Distrital Francisco José de Caldas.",$A$66,"17. Conozco los procedimientos para hacer parte de los órganos de dirección del programa académico al cual pertenezco, de la Facultad Tecnológica y de la Universidad Distrital Francisco José de Caldas.","De acuerdo")/GETPIVOTDATA("17. Conozco los procedimientos para hacer parte de los órganos de dirección del programa académico al cual pertenezco, de la Facultad Tecnológica y de la Universidad Distrital Francisco José de Caldas.",$A$66)</f>
        <v>0.22222222222222221</v>
      </c>
      <c r="E69" s="217">
        <f>+GETPIVOTDATA("17. Conozco los procedimientos para hacer parte de los órganos de dirección del programa académico al cual pertenezco, de la Facultad Tecnológica y de la Universidad Distrital Francisco José de Caldas.",$A$66,"17. Conozco los procedimientos para hacer parte de los órganos de dirección del programa académico al cual pertenezco, de la Facultad Tecnológica y de la Universidad Distrital Francisco José de Caldas.","Totalmente de acuerdo / SI")/GETPIVOTDATA("17. Conozco los procedimientos para hacer parte de los órganos de dirección del programa académico al cual pertenezco, de la Facultad Tecnológica y de la Universidad Distrital Francisco José de Caldas.",$A$66)</f>
        <v>0.44444444444444442</v>
      </c>
      <c r="I69" s="217">
        <f>SUM(B69:H69)</f>
        <v>1</v>
      </c>
    </row>
    <row r="70" spans="1:9" ht="15" x14ac:dyDescent="0.25">
      <c r="A70"/>
      <c r="B70" s="164" t="s">
        <v>2816</v>
      </c>
      <c r="C70"/>
      <c r="D70"/>
      <c r="E70"/>
      <c r="F70"/>
      <c r="G70"/>
      <c r="H70"/>
    </row>
    <row r="71" spans="1:9" ht="15" x14ac:dyDescent="0.25">
      <c r="A71"/>
      <c r="B71" t="s">
        <v>1093</v>
      </c>
      <c r="C71" t="s">
        <v>1</v>
      </c>
      <c r="D71" t="s">
        <v>2</v>
      </c>
      <c r="E71" t="s">
        <v>3</v>
      </c>
      <c r="F71" t="s">
        <v>1092</v>
      </c>
      <c r="G71" t="s">
        <v>1358</v>
      </c>
      <c r="H71" t="s">
        <v>1096</v>
      </c>
    </row>
    <row r="72" spans="1:9" ht="75" x14ac:dyDescent="0.25">
      <c r="A72" s="166" t="s">
        <v>1353</v>
      </c>
      <c r="B72" s="165">
        <v>9</v>
      </c>
      <c r="C72" s="165">
        <v>5</v>
      </c>
      <c r="D72" s="165">
        <v>10</v>
      </c>
      <c r="E72" s="165">
        <v>1</v>
      </c>
      <c r="F72" s="165">
        <v>2</v>
      </c>
      <c r="G72" s="165"/>
      <c r="H72" s="165">
        <v>27</v>
      </c>
    </row>
    <row r="73" spans="1:9" ht="15" x14ac:dyDescent="0.25">
      <c r="A73"/>
      <c r="B73" s="215">
        <f>+GETPIVOTDATA("18. Considero que el número de docentes de tiempo completo al servicio del programa académico al cual pertenezco es suficiente.",$A$70,"18. Considero que el número de docentes de tiempo completo al servicio del programa académico al cual pertenezco es suficiente.","Totalmente en desacuerdo / NO")/GETPIVOTDATA("18. Considero que el número de docentes de tiempo completo al servicio del programa académico al cual pertenezco es suficiente.",$A$70)</f>
        <v>0.33333333333333331</v>
      </c>
      <c r="C73" s="217">
        <f>+GETPIVOTDATA("18. Considero que el número de docentes de tiempo completo al servicio del programa académico al cual pertenezco es suficiente.",$A$70,"18. Considero que el número de docentes de tiempo completo al servicio del programa académico al cual pertenezco es suficiente.","En desacuerdo")/GETPIVOTDATA("18. Considero que el número de docentes de tiempo completo al servicio del programa académico al cual pertenezco es suficiente.",$A$70)</f>
        <v>0.18518518518518517</v>
      </c>
      <c r="D73" s="217">
        <f>+GETPIVOTDATA("18. Considero que el número de docentes de tiempo completo al servicio del programa académico al cual pertenezco es suficiente.",$A$70,"18. Considero que el número de docentes de tiempo completo al servicio del programa académico al cual pertenezco es suficiente.","Medianamente de acuerdo")/GETPIVOTDATA("18. Considero que el número de docentes de tiempo completo al servicio del programa académico al cual pertenezco es suficiente.",$A$70)</f>
        <v>0.37037037037037035</v>
      </c>
      <c r="E73" s="217">
        <f>+GETPIVOTDATA("18. Considero que el número de docentes de tiempo completo al servicio del programa académico al cual pertenezco es suficiente.",$A$70,"18. Considero que el número de docentes de tiempo completo al servicio del programa académico al cual pertenezco es suficiente.","De acuerdo")/GETPIVOTDATA("18. Considero que el número de docentes de tiempo completo al servicio del programa académico al cual pertenezco es suficiente.",$A$70)</f>
        <v>3.7037037037037035E-2</v>
      </c>
      <c r="F73" s="217">
        <f>+GETPIVOTDATA("18. Considero que el número de docentes de tiempo completo al servicio del programa académico al cual pertenezco es suficiente.",$A$70,"18. Considero que el número de docentes de tiempo completo al servicio del programa académico al cual pertenezco es suficiente.","Totalmente de acuerdo / SI")/GETPIVOTDATA("18. Considero que el número de docentes de tiempo completo al servicio del programa académico al cual pertenezco es suficiente.",$A$70)</f>
        <v>7.407407407407407E-2</v>
      </c>
      <c r="I73" s="217">
        <f>SUM(B73:H73)</f>
        <v>0.99999999999999989</v>
      </c>
    </row>
    <row r="74" spans="1:9" ht="15" x14ac:dyDescent="0.25">
      <c r="A74"/>
      <c r="B74" s="164" t="s">
        <v>2816</v>
      </c>
      <c r="C74"/>
      <c r="D74"/>
      <c r="E74"/>
      <c r="F74"/>
      <c r="G74"/>
      <c r="H74"/>
    </row>
    <row r="75" spans="1:9" ht="15" x14ac:dyDescent="0.25">
      <c r="A75"/>
      <c r="B75" t="s">
        <v>1093</v>
      </c>
      <c r="C75" t="s">
        <v>1</v>
      </c>
      <c r="D75" t="s">
        <v>2</v>
      </c>
      <c r="E75" t="s">
        <v>3</v>
      </c>
      <c r="F75" t="s">
        <v>1092</v>
      </c>
      <c r="G75" t="s">
        <v>1358</v>
      </c>
      <c r="H75" t="s">
        <v>1096</v>
      </c>
    </row>
    <row r="76" spans="1:9" ht="60" x14ac:dyDescent="0.25">
      <c r="A76" s="166" t="s">
        <v>1354</v>
      </c>
      <c r="B76" s="165">
        <v>1</v>
      </c>
      <c r="C76" s="165">
        <v>3</v>
      </c>
      <c r="D76" s="165">
        <v>2</v>
      </c>
      <c r="E76" s="165">
        <v>3</v>
      </c>
      <c r="F76" s="165">
        <v>18</v>
      </c>
      <c r="G76" s="165"/>
      <c r="H76" s="165">
        <v>27</v>
      </c>
    </row>
    <row r="77" spans="1:9" ht="15" x14ac:dyDescent="0.25">
      <c r="A77"/>
      <c r="B77" s="215">
        <f>+GETPIVOTDATA("19.1. Considero que el tiempo que dedico a las siguientes actividades es suficiente: A LA DOCENCIA",$A$74,"19.1. Considero que el tiempo que dedico a las siguientes actividades es suficiente: A LA DOCENCIA","Totalmente en desacuerdo / NO")/GETPIVOTDATA("19.1. Considero que el tiempo que dedico a las siguientes actividades es suficiente: A LA DOCENCIA",$A$74)</f>
        <v>3.7037037037037035E-2</v>
      </c>
      <c r="C77" s="217">
        <f>+GETPIVOTDATA("19.1. Considero que el tiempo que dedico a las siguientes actividades es suficiente: A LA DOCENCIA",$A$74,"19.1. Considero que el tiempo que dedico a las siguientes actividades es suficiente: A LA DOCENCIA","En desacuerdo")/GETPIVOTDATA("19.1. Considero que el tiempo que dedico a las siguientes actividades es suficiente: A LA DOCENCIA",$A$74)</f>
        <v>0.1111111111111111</v>
      </c>
      <c r="D77" s="217">
        <f>+GETPIVOTDATA("19.1. Considero que el tiempo que dedico a las siguientes actividades es suficiente: A LA DOCENCIA",$A$74,"19.1. Considero que el tiempo que dedico a las siguientes actividades es suficiente: A LA DOCENCIA","Medianamente de acuerdo")/GETPIVOTDATA("19.1. Considero que el tiempo que dedico a las siguientes actividades es suficiente: A LA DOCENCIA",$A$74)</f>
        <v>7.407407407407407E-2</v>
      </c>
      <c r="E77" s="217">
        <f>+GETPIVOTDATA("19.1. Considero que el tiempo que dedico a las siguientes actividades es suficiente: A LA DOCENCIA",$A$74,"19.1. Considero que el tiempo que dedico a las siguientes actividades es suficiente: A LA DOCENCIA","De acuerdo")/GETPIVOTDATA("19.1. Considero que el tiempo que dedico a las siguientes actividades es suficiente: A LA DOCENCIA",$A$74)</f>
        <v>0.1111111111111111</v>
      </c>
      <c r="F77" s="217">
        <f>+GETPIVOTDATA("19.1. Considero que el tiempo que dedico a las siguientes actividades es suficiente: A LA DOCENCIA",$A$74,"19.1. Considero que el tiempo que dedico a las siguientes actividades es suficiente: A LA DOCENCIA","Totalmente de acuerdo / SI")/GETPIVOTDATA("19.1. Considero que el tiempo que dedico a las siguientes actividades es suficiente: A LA DOCENCIA",$A$74)</f>
        <v>0.66666666666666663</v>
      </c>
      <c r="I77" s="217">
        <f>SUM(B77:H77)</f>
        <v>1</v>
      </c>
    </row>
    <row r="78" spans="1:9" ht="15" x14ac:dyDescent="0.25">
      <c r="A78"/>
      <c r="B78" s="164" t="s">
        <v>2816</v>
      </c>
      <c r="C78"/>
      <c r="D78"/>
      <c r="E78"/>
      <c r="F78"/>
      <c r="G78"/>
      <c r="H78"/>
      <c r="I78"/>
    </row>
    <row r="79" spans="1:9" ht="15" x14ac:dyDescent="0.25">
      <c r="A79"/>
      <c r="B79" t="s">
        <v>1093</v>
      </c>
      <c r="C79" t="s">
        <v>1</v>
      </c>
      <c r="D79" t="s">
        <v>2</v>
      </c>
      <c r="E79" t="s">
        <v>3</v>
      </c>
      <c r="F79" t="s">
        <v>1092</v>
      </c>
      <c r="G79" t="s">
        <v>5</v>
      </c>
      <c r="H79" t="s">
        <v>1358</v>
      </c>
      <c r="I79" t="s">
        <v>1096</v>
      </c>
    </row>
    <row r="80" spans="1:9" ht="60" x14ac:dyDescent="0.25">
      <c r="A80" s="166" t="s">
        <v>1355</v>
      </c>
      <c r="B80" s="165">
        <v>7</v>
      </c>
      <c r="C80" s="165">
        <v>2</v>
      </c>
      <c r="D80" s="165">
        <v>6</v>
      </c>
      <c r="E80" s="165">
        <v>2</v>
      </c>
      <c r="F80" s="165">
        <v>5</v>
      </c>
      <c r="G80" s="165">
        <v>5</v>
      </c>
      <c r="H80" s="165"/>
      <c r="I80" s="165">
        <v>27</v>
      </c>
    </row>
    <row r="81" spans="1:9" ht="15" x14ac:dyDescent="0.25">
      <c r="A81"/>
      <c r="B81" s="215">
        <f>+GETPIVOTDATA("19.2. Considero que el tiempo que dedico a las siguientes actividades es suficiente: A LA INVESTIGACIÓN",$A$78,"19.2. Considero que el tiempo que dedico a las siguientes actividades es suficiente: A LA INVESTIGACIÓN","Totalmente en desacuerdo / NO")/GETPIVOTDATA("19.2. Considero que el tiempo que dedico a las siguientes actividades es suficiente: A LA INVESTIGACIÓN",$A$78)</f>
        <v>0.25925925925925924</v>
      </c>
      <c r="C81" s="217">
        <f>+GETPIVOTDATA("19.2. Considero que el tiempo que dedico a las siguientes actividades es suficiente: A LA INVESTIGACIÓN",$A$78,"19.2. Considero que el tiempo que dedico a las siguientes actividades es suficiente: A LA INVESTIGACIÓN","En desacuerdo")/GETPIVOTDATA("19.2. Considero que el tiempo que dedico a las siguientes actividades es suficiente: A LA INVESTIGACIÓN",$A$78)</f>
        <v>7.407407407407407E-2</v>
      </c>
      <c r="D81" s="217">
        <f>+GETPIVOTDATA("19.2. Considero que el tiempo que dedico a las siguientes actividades es suficiente: A LA INVESTIGACIÓN",$A$78,"19.2. Considero que el tiempo que dedico a las siguientes actividades es suficiente: A LA INVESTIGACIÓN","Medianamente de acuerdo")/GETPIVOTDATA("19.2. Considero que el tiempo que dedico a las siguientes actividades es suficiente: A LA INVESTIGACIÓN",$A$78)</f>
        <v>0.22222222222222221</v>
      </c>
      <c r="E81" s="217">
        <f>+GETPIVOTDATA("19.2. Considero que el tiempo que dedico a las siguientes actividades es suficiente: A LA INVESTIGACIÓN",$A$78,"19.2. Considero que el tiempo que dedico a las siguientes actividades es suficiente: A LA INVESTIGACIÓN","De acuerdo")/GETPIVOTDATA("19.2. Considero que el tiempo que dedico a las siguientes actividades es suficiente: A LA INVESTIGACIÓN",$A$78)</f>
        <v>7.407407407407407E-2</v>
      </c>
      <c r="F81" s="217">
        <f>+GETPIVOTDATA("19.2. Considero que el tiempo que dedico a las siguientes actividades es suficiente: A LA INVESTIGACIÓN",$A$78,"19.2. Considero que el tiempo que dedico a las siguientes actividades es suficiente: A LA INVESTIGACIÓN","Totalmente de acuerdo / SI")/GETPIVOTDATA("19.2. Considero que el tiempo que dedico a las siguientes actividades es suficiente: A LA INVESTIGACIÓN",$A$78)</f>
        <v>0.18518518518518517</v>
      </c>
      <c r="G81" s="217">
        <f>+GETPIVOTDATA("19.2. Considero que el tiempo que dedico a las siguientes actividades es suficiente: A LA INVESTIGACIÓN",$A$78,"19.2. Considero que el tiempo que dedico a las siguientes actividades es suficiente: A LA INVESTIGACIÓN","No sabe / No puede opinar al respecto")/GETPIVOTDATA("19.2. Considero que el tiempo que dedico a las siguientes actividades es suficiente: A LA INVESTIGACIÓN",$A$78)</f>
        <v>0.18518518518518517</v>
      </c>
      <c r="I81" s="217">
        <f>SUM(B81:H81)</f>
        <v>1</v>
      </c>
    </row>
    <row r="82" spans="1:9" ht="15" x14ac:dyDescent="0.25">
      <c r="A82"/>
      <c r="B82" s="164" t="s">
        <v>2816</v>
      </c>
      <c r="C82"/>
      <c r="D82"/>
      <c r="E82"/>
      <c r="F82"/>
      <c r="G82"/>
      <c r="H82"/>
      <c r="I82"/>
    </row>
    <row r="83" spans="1:9" ht="15" x14ac:dyDescent="0.25">
      <c r="A83"/>
      <c r="B83" t="s">
        <v>1093</v>
      </c>
      <c r="C83" t="s">
        <v>1</v>
      </c>
      <c r="D83" t="s">
        <v>2</v>
      </c>
      <c r="E83" t="s">
        <v>3</v>
      </c>
      <c r="F83" t="s">
        <v>1092</v>
      </c>
      <c r="G83" t="s">
        <v>5</v>
      </c>
      <c r="H83" t="s">
        <v>1358</v>
      </c>
      <c r="I83" t="s">
        <v>1096</v>
      </c>
    </row>
    <row r="84" spans="1:9" ht="75" x14ac:dyDescent="0.25">
      <c r="A84" s="166" t="s">
        <v>1356</v>
      </c>
      <c r="B84" s="165">
        <v>10</v>
      </c>
      <c r="C84" s="165">
        <v>2</v>
      </c>
      <c r="D84" s="165">
        <v>7</v>
      </c>
      <c r="E84" s="165">
        <v>1</v>
      </c>
      <c r="F84" s="165">
        <v>1</v>
      </c>
      <c r="G84" s="165">
        <v>6</v>
      </c>
      <c r="H84" s="165"/>
      <c r="I84" s="165">
        <v>27</v>
      </c>
    </row>
    <row r="85" spans="1:9" ht="15" x14ac:dyDescent="0.25">
      <c r="A85"/>
      <c r="B85" s="215">
        <f>+GETPIVOTDATA("19.3. Considero que el tiempo que dedico a las siguientes actividades es suficiente: A LA PARTICIPACIÓN EN PROYECTOS DE EXTENSIÓN.",$A$82,"19.3. Considero que el tiempo que dedico a las siguientes actividades es suficiente: A LA PARTICIPACIÓN EN PROYECTOS DE EXTENSIÓN.","Totalmente en desacuerdo / NO")/GETPIVOTDATA("19.3. Considero que el tiempo que dedico a las siguientes actividades es suficiente: A LA PARTICIPACIÓN EN PROYECTOS DE EXTENSIÓN.",$A$82)</f>
        <v>0.37037037037037035</v>
      </c>
      <c r="C85" s="217">
        <f>+GETPIVOTDATA("19.3. Considero que el tiempo que dedico a las siguientes actividades es suficiente: A LA PARTICIPACIÓN EN PROYECTOS DE EXTENSIÓN.",$A$82,"19.3. Considero que el tiempo que dedico a las siguientes actividades es suficiente: A LA PARTICIPACIÓN EN PROYECTOS DE EXTENSIÓN.","En desacuerdo")/GETPIVOTDATA("19.3. Considero que el tiempo que dedico a las siguientes actividades es suficiente: A LA PARTICIPACIÓN EN PROYECTOS DE EXTENSIÓN.",$A$82)</f>
        <v>7.407407407407407E-2</v>
      </c>
      <c r="D85" s="217">
        <f>+GETPIVOTDATA("19.3. Considero que el tiempo que dedico a las siguientes actividades es suficiente: A LA PARTICIPACIÓN EN PROYECTOS DE EXTENSIÓN.",$A$82,"19.3. Considero que el tiempo que dedico a las siguientes actividades es suficiente: A LA PARTICIPACIÓN EN PROYECTOS DE EXTENSIÓN.","Medianamente de acuerdo")/GETPIVOTDATA("19.3. Considero que el tiempo que dedico a las siguientes actividades es suficiente: A LA PARTICIPACIÓN EN PROYECTOS DE EXTENSIÓN.",$A$82)</f>
        <v>0.25925925925925924</v>
      </c>
      <c r="E85" s="217">
        <f>+GETPIVOTDATA("19.3. Considero que el tiempo que dedico a las siguientes actividades es suficiente: A LA PARTICIPACIÓN EN PROYECTOS DE EXTENSIÓN.",$A$82,"19.3. Considero que el tiempo que dedico a las siguientes actividades es suficiente: A LA PARTICIPACIÓN EN PROYECTOS DE EXTENSIÓN.","De acuerdo")/GETPIVOTDATA("19.3. Considero que el tiempo que dedico a las siguientes actividades es suficiente: A LA PARTICIPACIÓN EN PROYECTOS DE EXTENSIÓN.",$A$82)</f>
        <v>3.7037037037037035E-2</v>
      </c>
      <c r="F85" s="217">
        <f>+GETPIVOTDATA("19.3. Considero que el tiempo que dedico a las siguientes actividades es suficiente: A LA PARTICIPACIÓN EN PROYECTOS DE EXTENSIÓN.",$A$82,"19.3. Considero que el tiempo que dedico a las siguientes actividades es suficiente: A LA PARTICIPACIÓN EN PROYECTOS DE EXTENSIÓN.","Totalmente de acuerdo / SI")/GETPIVOTDATA("19.3. Considero que el tiempo que dedico a las siguientes actividades es suficiente: A LA PARTICIPACIÓN EN PROYECTOS DE EXTENSIÓN.",$A$82)</f>
        <v>3.7037037037037035E-2</v>
      </c>
      <c r="G85" s="217">
        <f>+GETPIVOTDATA("19.3. Considero que el tiempo que dedico a las siguientes actividades es suficiente: A LA PARTICIPACIÓN EN PROYECTOS DE EXTENSIÓN.",$A$82,"19.3. Considero que el tiempo que dedico a las siguientes actividades es suficiente: A LA PARTICIPACIÓN EN PROYECTOS DE EXTENSIÓN.","No sabe / No puede opinar al respecto")/GETPIVOTDATA("19.3. Considero que el tiempo que dedico a las siguientes actividades es suficiente: A LA PARTICIPACIÓN EN PROYECTOS DE EXTENSIÓN.",$A$82)</f>
        <v>0.22222222222222221</v>
      </c>
      <c r="I85" s="217">
        <f>SUM(B85:H85)</f>
        <v>0.99999999999999989</v>
      </c>
    </row>
    <row r="86" spans="1:9" ht="15" x14ac:dyDescent="0.25">
      <c r="A86"/>
      <c r="B86" s="164" t="s">
        <v>2816</v>
      </c>
      <c r="C86"/>
      <c r="D86"/>
      <c r="E86"/>
      <c r="F86"/>
      <c r="G86"/>
      <c r="H86"/>
      <c r="I86"/>
    </row>
    <row r="87" spans="1:9" ht="15" x14ac:dyDescent="0.25">
      <c r="A87"/>
      <c r="B87" t="s">
        <v>1093</v>
      </c>
      <c r="C87" t="s">
        <v>1</v>
      </c>
      <c r="D87" t="s">
        <v>2</v>
      </c>
      <c r="E87" t="s">
        <v>3</v>
      </c>
      <c r="F87" t="s">
        <v>1092</v>
      </c>
      <c r="G87" t="s">
        <v>5</v>
      </c>
      <c r="H87" t="s">
        <v>1358</v>
      </c>
      <c r="I87" t="s">
        <v>1096</v>
      </c>
    </row>
    <row r="88" spans="1:9" ht="105" x14ac:dyDescent="0.25">
      <c r="A88" s="166" t="s">
        <v>1357</v>
      </c>
      <c r="B88" s="165">
        <v>9</v>
      </c>
      <c r="C88" s="165">
        <v>6</v>
      </c>
      <c r="D88" s="165">
        <v>2</v>
      </c>
      <c r="E88" s="165">
        <v>7</v>
      </c>
      <c r="F88" s="165">
        <v>1</v>
      </c>
      <c r="G88" s="165">
        <v>2</v>
      </c>
      <c r="H88" s="165"/>
      <c r="I88" s="165">
        <v>27</v>
      </c>
    </row>
    <row r="89" spans="1:9" ht="15" x14ac:dyDescent="0.25">
      <c r="A89"/>
      <c r="B89" s="215">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adecuado.","Totalmente en desacuerdo / NO")/GETPIVOTDATA("20. Considero que el tiempo de dedicación que los profesores de vinculación especial (TCO, MTO y HC) en actividades de consejería, atención a estudiantes y corrección de trabajos de grado es adecuado.",$A$86)</f>
        <v>0.33333333333333331</v>
      </c>
      <c r="C89" s="217">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adecuado.","En desacuerdo")/GETPIVOTDATA("20. Considero que el tiempo de dedicación que los profesores de vinculación especial (TCO, MTO y HC) en actividades de consejería, atención a estudiantes y corrección de trabajos de grado es adecuado.",$A$86)</f>
        <v>0.22222222222222221</v>
      </c>
      <c r="D89" s="217">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adecuado.","Medianamente de acuerdo")/GETPIVOTDATA("20. Considero que el tiempo de dedicación que los profesores de vinculación especial (TCO, MTO y HC) en actividades de consejería, atención a estudiantes y corrección de trabajos de grado es adecuado.",$A$86)</f>
        <v>7.407407407407407E-2</v>
      </c>
      <c r="E89" s="217">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adecuado.","De acuerdo")/GETPIVOTDATA("20. Considero que el tiempo de dedicación que los profesores de vinculación especial (TCO, MTO y HC) en actividades de consejería, atención a estudiantes y corrección de trabajos de grado es adecuado.",$A$86)</f>
        <v>0.25925925925925924</v>
      </c>
      <c r="F89" s="217">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adecuado.","Totalmente de acuerdo / SI")/GETPIVOTDATA("20. Considero que el tiempo de dedicación que los profesores de vinculación especial (TCO, MTO y HC) en actividades de consejería, atención a estudiantes y corrección de trabajos de grado es adecuado.",$A$86)</f>
        <v>3.7037037037037035E-2</v>
      </c>
      <c r="G89" s="217">
        <f>+GETPIVOTDATA("20. Considero que el tiempo de dedicación que los profesores de vinculación especial (TCO, MTO y HC) en actividades de consejería, atención a estudiantes y corrección de trabajos de grado es adecuado.",$A$86,"20. Considero que el tiempo de dedicación que los profesores de vinculación especial (TCO, MTO y HC) en actividades de consejería, atención a estudiantes y corrección de trabajos de grado es adecuado.","No sabe / No puede opinar al respecto")/GETPIVOTDATA("20. Considero que el tiempo de dedicación que los profesores de vinculación especial (TCO, MTO y HC) en actividades de consejería, atención a estudiantes y corrección de trabajos de grado es adecuado.",$A$86)</f>
        <v>7.407407407407407E-2</v>
      </c>
      <c r="I89" s="217">
        <f>SUM(B89:H89)</f>
        <v>0.99999999999999989</v>
      </c>
    </row>
    <row r="90" spans="1:9" ht="15" x14ac:dyDescent="0.25">
      <c r="A90"/>
      <c r="B90" s="164" t="s">
        <v>2816</v>
      </c>
      <c r="C90"/>
      <c r="D90"/>
      <c r="E90"/>
      <c r="F90"/>
      <c r="G90"/>
    </row>
    <row r="91" spans="1:9" ht="15" x14ac:dyDescent="0.25">
      <c r="A91"/>
      <c r="B91" t="s">
        <v>1093</v>
      </c>
      <c r="C91" t="s">
        <v>2</v>
      </c>
      <c r="D91" t="s">
        <v>3</v>
      </c>
      <c r="E91" t="s">
        <v>1092</v>
      </c>
      <c r="F91" t="s">
        <v>1358</v>
      </c>
      <c r="G91" t="s">
        <v>1096</v>
      </c>
    </row>
    <row r="92" spans="1:9" ht="75" x14ac:dyDescent="0.25">
      <c r="A92" s="166" t="s">
        <v>1359</v>
      </c>
      <c r="B92" s="165">
        <v>5</v>
      </c>
      <c r="C92" s="165">
        <v>2</v>
      </c>
      <c r="D92" s="165">
        <v>5</v>
      </c>
      <c r="E92" s="165">
        <v>6</v>
      </c>
      <c r="F92" s="165"/>
      <c r="G92" s="165">
        <v>18</v>
      </c>
    </row>
    <row r="93" spans="1:9" ht="15" x14ac:dyDescent="0.25">
      <c r="A93"/>
      <c r="B93" s="215">
        <f>+GETPIVOTDATA("21. Conozco los procedimientos para acceder a los apoyos económicos institucionales para participar en actividades de formación o actualización.",$A$90,"21. Conozco los procedimientos para acceder a los apoyos económicos institucionales para participar en actividades de formación o actualización.","Totalmente en desacuerdo / NO")/GETPIVOTDATA("21. Conozco los procedimientos para acceder a los apoyos económicos institucionales para participar en actividades de formación o actualización.",$A$90)</f>
        <v>0.27777777777777779</v>
      </c>
      <c r="C93" s="217">
        <f>+GETPIVOTDATA("21. Conozco los procedimientos para acceder a los apoyos económicos institucionales para participar en actividades de formación o actualización.",$A$90,"21. Conozco los procedimientos para acceder a los apoyos económicos institucionales para participar en actividades de formación o actualización.","Medianamente de acuerdo")/GETPIVOTDATA("21. Conozco los procedimientos para acceder a los apoyos económicos institucionales para participar en actividades de formación o actualización.",$A$90)</f>
        <v>0.1111111111111111</v>
      </c>
      <c r="D93" s="217">
        <f>+GETPIVOTDATA("21. Conozco los procedimientos para acceder a los apoyos económicos institucionales para participar en actividades de formación o actualización.",$A$90,"21. Conozco los procedimientos para acceder a los apoyos económicos institucionales para participar en actividades de formación o actualización.","De acuerdo")/GETPIVOTDATA("21. Conozco los procedimientos para acceder a los apoyos económicos institucionales para participar en actividades de formación o actualización.",$A$90)</f>
        <v>0.27777777777777779</v>
      </c>
      <c r="E93" s="217">
        <f>+GETPIVOTDATA("21. Conozco los procedimientos para acceder a los apoyos económicos institucionales para participar en actividades de formación o actualización.",$A$90,"21. Conozco los procedimientos para acceder a los apoyos económicos institucionales para participar en actividades de formación o actualización.","Totalmente de acuerdo / SI")/GETPIVOTDATA("21. Conozco los procedimientos para acceder a los apoyos económicos institucionales para participar en actividades de formación o actualización.",$A$90)</f>
        <v>0.33333333333333331</v>
      </c>
      <c r="I93" s="217">
        <f>SUM(B93:H93)</f>
        <v>1</v>
      </c>
    </row>
    <row r="94" spans="1:9" ht="15" x14ac:dyDescent="0.25">
      <c r="A94"/>
      <c r="B94" s="164" t="s">
        <v>2816</v>
      </c>
      <c r="C94"/>
      <c r="D94"/>
      <c r="E94"/>
      <c r="F94"/>
      <c r="G94"/>
      <c r="H94"/>
      <c r="I94"/>
    </row>
    <row r="95" spans="1:9" ht="15" x14ac:dyDescent="0.25">
      <c r="A95"/>
      <c r="B95" t="s">
        <v>1093</v>
      </c>
      <c r="C95" t="s">
        <v>1</v>
      </c>
      <c r="D95" t="s">
        <v>2</v>
      </c>
      <c r="E95" t="s">
        <v>3</v>
      </c>
      <c r="F95" t="s">
        <v>1092</v>
      </c>
      <c r="G95" t="s">
        <v>5</v>
      </c>
      <c r="H95" t="s">
        <v>1358</v>
      </c>
      <c r="I95" t="s">
        <v>1096</v>
      </c>
    </row>
    <row r="96" spans="1:9" ht="120" x14ac:dyDescent="0.25">
      <c r="A96" s="166" t="s">
        <v>1360</v>
      </c>
      <c r="B96" s="165">
        <v>4</v>
      </c>
      <c r="C96" s="165">
        <v>3</v>
      </c>
      <c r="D96" s="165">
        <v>4</v>
      </c>
      <c r="E96" s="165">
        <v>6</v>
      </c>
      <c r="F96" s="165">
        <v>6</v>
      </c>
      <c r="G96" s="165">
        <v>4</v>
      </c>
      <c r="H96" s="165"/>
      <c r="I96" s="165">
        <v>27</v>
      </c>
    </row>
    <row r="97" spans="1:9" ht="15" x14ac:dyDescent="0.25">
      <c r="A97"/>
      <c r="B97" s="215">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colectivos.","Totalmente en desacuerdo / NO")/GETPIVOTDATA("22. Considero que el programa académico al cual pertenezco controla la participación de los docentes en actividades de actualización o capacitación acordes con las necesidades y objetivos colectivos.",$A$94)</f>
        <v>0.14814814814814814</v>
      </c>
      <c r="C97" s="217">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colectivos.","En desacuerdo")/GETPIVOTDATA("22. Considero que el programa académico al cual pertenezco controla la participación de los docentes en actividades de actualización o capacitación acordes con las necesidades y objetivos colectivos.",$A$94)</f>
        <v>0.1111111111111111</v>
      </c>
      <c r="D97" s="217">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colectivos.","Medianamente de acuerdo")/GETPIVOTDATA("22. Considero que el programa académico al cual pertenezco controla la participación de los docentes en actividades de actualización o capacitación acordes con las necesidades y objetivos colectivos.",$A$94)</f>
        <v>0.14814814814814814</v>
      </c>
      <c r="E97" s="217">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colectivos.","De acuerdo")/GETPIVOTDATA("22. Considero que el programa académico al cual pertenezco controla la participación de los docentes en actividades de actualización o capacitación acordes con las necesidades y objetivos colectivos.",$A$94)</f>
        <v>0.22222222222222221</v>
      </c>
      <c r="F97" s="217">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colectivos.","Totalmente de acuerdo / SI")/GETPIVOTDATA("22. Considero que el programa académico al cual pertenezco controla la participación de los docentes en actividades de actualización o capacitación acordes con las necesidades y objetivos colectivos.",$A$94)</f>
        <v>0.22222222222222221</v>
      </c>
      <c r="G97" s="217">
        <f>+GETPIVOTDATA("22. Considero que el programa académico al cual pertenezco controla la participación de los docentes en actividades de actualización o capacitación acordes con las necesidades y objetivos colectivos.",$A$94,"22. Considero que el programa académico al cual pertenezco controla la participación de los docentes en actividades de actualización o capacitación acordes con las necesidades y objetivos colectivos.","No sabe / No puede opinar al respecto")/GETPIVOTDATA("22. Considero que el programa académico al cual pertenezco controla la participación de los docentes en actividades de actualización o capacitación acordes con las necesidades y objetivos colectivos.",$A$94)</f>
        <v>0.14814814814814814</v>
      </c>
      <c r="I97" s="217">
        <f>SUM(B97:H97)</f>
        <v>0.99999999999999989</v>
      </c>
    </row>
    <row r="98" spans="1:9" ht="15" x14ac:dyDescent="0.25">
      <c r="A98"/>
      <c r="B98" s="164" t="s">
        <v>2816</v>
      </c>
      <c r="C98"/>
      <c r="D98"/>
      <c r="E98"/>
      <c r="F98"/>
      <c r="G98"/>
      <c r="H98"/>
      <c r="I98"/>
    </row>
    <row r="99" spans="1:9" ht="15" x14ac:dyDescent="0.25">
      <c r="A99"/>
      <c r="B99" t="s">
        <v>1093</v>
      </c>
      <c r="C99" t="s">
        <v>1</v>
      </c>
      <c r="D99" t="s">
        <v>2</v>
      </c>
      <c r="E99" t="s">
        <v>3</v>
      </c>
      <c r="F99" t="s">
        <v>1092</v>
      </c>
      <c r="G99" t="s">
        <v>5</v>
      </c>
      <c r="H99" t="s">
        <v>1358</v>
      </c>
      <c r="I99" t="s">
        <v>1096</v>
      </c>
    </row>
    <row r="100" spans="1:9" ht="75" x14ac:dyDescent="0.25">
      <c r="A100" s="166" t="s">
        <v>1361</v>
      </c>
      <c r="B100" s="165">
        <v>2</v>
      </c>
      <c r="C100" s="165">
        <v>1</v>
      </c>
      <c r="D100" s="165">
        <v>2</v>
      </c>
      <c r="E100" s="165">
        <v>7</v>
      </c>
      <c r="F100" s="165">
        <v>2</v>
      </c>
      <c r="G100" s="165">
        <v>4</v>
      </c>
      <c r="H100" s="165"/>
      <c r="I100" s="165">
        <v>18</v>
      </c>
    </row>
    <row r="101" spans="1:9" ht="15" x14ac:dyDescent="0.25">
      <c r="A101"/>
      <c r="B101" s="215">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transparente.","Totalmente en desacuerdo / NO")/GETPIVOTDATA("23. Considero que el sistema de bonificaciones y el de asignación de puntos salariales para los profesores de planta es transparente.",$A$98)</f>
        <v>0.1111111111111111</v>
      </c>
      <c r="C101" s="217">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transparente.","En desacuerdo")/GETPIVOTDATA("23. Considero que el sistema de bonificaciones y el de asignación de puntos salariales para los profesores de planta es transparente.",$A$98)</f>
        <v>5.5555555555555552E-2</v>
      </c>
      <c r="D101" s="217">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transparente.","Medianamente de acuerdo")/GETPIVOTDATA("23. Considero que el sistema de bonificaciones y el de asignación de puntos salariales para los profesores de planta es transparente.",$A$98)</f>
        <v>0.1111111111111111</v>
      </c>
      <c r="E101" s="217">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transparente.","De acuerdo")/GETPIVOTDATA("23. Considero que el sistema de bonificaciones y el de asignación de puntos salariales para los profesores de planta es transparente.",$A$98)</f>
        <v>0.3888888888888889</v>
      </c>
      <c r="F101" s="217">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transparente.","Totalmente de acuerdo / SI")/GETPIVOTDATA("23. Considero que el sistema de bonificaciones y el de asignación de puntos salariales para los profesores de planta es transparente.",$A$98)</f>
        <v>0.1111111111111111</v>
      </c>
      <c r="G101" s="217">
        <f>+GETPIVOTDATA("23. Considero que el sistema de bonificaciones y el de asignación de puntos salariales para los profesores de planta es transparente.",$A$98,"23. Considero que el sistema de bonificaciones y el de asignación de puntos salariales para los profesores de planta es transparente.","No sabe / No puede opinar al respecto")/GETPIVOTDATA("23. Considero que el sistema de bonificaciones y el de asignación de puntos salariales para los profesores de planta es transparente.",$A$98)</f>
        <v>0.22222222222222221</v>
      </c>
      <c r="I101" s="217">
        <f>SUM(B101:H101)</f>
        <v>1</v>
      </c>
    </row>
    <row r="102" spans="1:9" ht="15" x14ac:dyDescent="0.25">
      <c r="A102"/>
      <c r="B102" s="164" t="s">
        <v>2816</v>
      </c>
      <c r="C102"/>
      <c r="D102"/>
      <c r="E102"/>
      <c r="F102"/>
      <c r="G102"/>
      <c r="H102"/>
      <c r="I102"/>
    </row>
    <row r="103" spans="1:9" ht="15" x14ac:dyDescent="0.25">
      <c r="A103"/>
      <c r="B103" t="s">
        <v>1093</v>
      </c>
      <c r="C103" t="s">
        <v>1</v>
      </c>
      <c r="D103" t="s">
        <v>2</v>
      </c>
      <c r="E103" t="s">
        <v>3</v>
      </c>
      <c r="F103" t="s">
        <v>1092</v>
      </c>
      <c r="G103" t="s">
        <v>5</v>
      </c>
      <c r="H103" t="s">
        <v>1358</v>
      </c>
      <c r="I103" t="s">
        <v>1096</v>
      </c>
    </row>
    <row r="104" spans="1:9" ht="120" x14ac:dyDescent="0.25">
      <c r="A104" s="166" t="s">
        <v>1362</v>
      </c>
      <c r="B104" s="165">
        <v>5</v>
      </c>
      <c r="C104" s="165">
        <v>4</v>
      </c>
      <c r="D104" s="165">
        <v>6</v>
      </c>
      <c r="E104" s="165">
        <v>6</v>
      </c>
      <c r="F104" s="165">
        <v>5</v>
      </c>
      <c r="G104" s="165">
        <v>1</v>
      </c>
      <c r="H104" s="165"/>
      <c r="I104" s="165">
        <v>27</v>
      </c>
    </row>
    <row r="105" spans="1:9" ht="15" x14ac:dyDescent="0.25">
      <c r="A105"/>
      <c r="B105" s="215">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didáctico).","Totalmente en desacuerdo / NO")/GETPIVOTDATA("24. Considero que la Universidad Distrital Francisco José de Caldas y el programa académico al cual pertenezco incentivan la producción de material de enseñanza (libros de texto, objetos de aprendizaje, material didáctico).",$A$102)</f>
        <v>0.18518518518518517</v>
      </c>
      <c r="C105" s="217">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didáctico).","En desacuerdo")/GETPIVOTDATA("24. Considero que la Universidad Distrital Francisco José de Caldas y el programa académico al cual pertenezco incentivan la producción de material de enseñanza (libros de texto, objetos de aprendizaje, material didáctico).",$A$102)</f>
        <v>0.14814814814814814</v>
      </c>
      <c r="D105" s="217">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didáctico).","Medianamente de acuerdo")/GETPIVOTDATA("24. Considero que la Universidad Distrital Francisco José de Caldas y el programa académico al cual pertenezco incentivan la producción de material de enseñanza (libros de texto, objetos de aprendizaje, material didáctico).",$A$102)</f>
        <v>0.22222222222222221</v>
      </c>
      <c r="E105" s="217">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didáctico).","De acuerdo")/GETPIVOTDATA("24. Considero que la Universidad Distrital Francisco José de Caldas y el programa académico al cual pertenezco incentivan la producción de material de enseñanza (libros de texto, objetos de aprendizaje, material didáctico).",$A$102)</f>
        <v>0.22222222222222221</v>
      </c>
      <c r="F105" s="217">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didáctico).","Totalmente de acuerdo / SI")/GETPIVOTDATA("24. Considero que la Universidad Distrital Francisco José de Caldas y el programa académico al cual pertenezco incentivan la producción de material de enseñanza (libros de texto, objetos de aprendizaje, material didáctico).",$A$102)</f>
        <v>0.18518518518518517</v>
      </c>
      <c r="G105" s="217">
        <f>+GETPIVOTDATA("24. Considero que la Universidad Distrital Francisco José de Caldas y el programa académico al cual pertenezco incentivan la producción de material de enseñanza (libros de texto, objetos de aprendizaje, material didáctico).",$A$102,"24. Considero que la Universidad Distrital Francisco José de Caldas y el programa académico al cual pertenezco incentivan la producción de material de enseñanza (libros de texto, objetos de aprendizaje, material didáctico).","No sabe / No puede opinar al respecto")/GETPIVOTDATA("24. Considero que la Universidad Distrital Francisco José de Caldas y el programa académico al cual pertenezco incentivan la producción de material de enseñanza (libros de texto, objetos de aprendizaje, material didáctico).",$A$102)</f>
        <v>3.7037037037037035E-2</v>
      </c>
      <c r="I105" s="217">
        <f>SUM(B105:H105)</f>
        <v>1</v>
      </c>
    </row>
    <row r="106" spans="1:9" ht="15" x14ac:dyDescent="0.25">
      <c r="A106"/>
      <c r="B106" s="164" t="s">
        <v>2816</v>
      </c>
      <c r="C106"/>
      <c r="D106"/>
      <c r="E106"/>
      <c r="F106"/>
      <c r="G106"/>
      <c r="H106"/>
      <c r="I106"/>
    </row>
    <row r="107" spans="1:9" ht="15" x14ac:dyDescent="0.25">
      <c r="A107"/>
      <c r="B107" t="s">
        <v>1093</v>
      </c>
      <c r="C107" t="s">
        <v>1</v>
      </c>
      <c r="D107" t="s">
        <v>2</v>
      </c>
      <c r="E107" t="s">
        <v>3</v>
      </c>
      <c r="F107" t="s">
        <v>1092</v>
      </c>
      <c r="G107" t="s">
        <v>5</v>
      </c>
      <c r="H107" t="s">
        <v>1358</v>
      </c>
      <c r="I107" t="s">
        <v>1096</v>
      </c>
    </row>
    <row r="108" spans="1:9" ht="90" x14ac:dyDescent="0.25">
      <c r="A108" s="166" t="s">
        <v>1363</v>
      </c>
      <c r="B108" s="165">
        <v>2</v>
      </c>
      <c r="C108" s="165">
        <v>2</v>
      </c>
      <c r="D108" s="165">
        <v>9</v>
      </c>
      <c r="E108" s="165">
        <v>7</v>
      </c>
      <c r="F108" s="165">
        <v>6</v>
      </c>
      <c r="G108" s="165">
        <v>1</v>
      </c>
      <c r="H108" s="165"/>
      <c r="I108" s="165">
        <v>27</v>
      </c>
    </row>
    <row r="109" spans="1:9" ht="15" x14ac:dyDescent="0.25">
      <c r="A109"/>
      <c r="B109" s="215">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","Totalmente en desacuerdo / NO")/GETPIVOTDATA("25. Considero que el contenido de la evaluación docente está acorde con los requerimientos del proyecto educativo del programa académico al cual pertenezco. ",$A$106)</f>
        <v>7.407407407407407E-2</v>
      </c>
      <c r="C109" s="217">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","En desacuerdo")/GETPIVOTDATA("25. Considero que el contenido de la evaluación docente está acorde con los requerimientos del proyecto educativo del programa académico al cual pertenezco. ",$A$106)</f>
        <v>7.407407407407407E-2</v>
      </c>
      <c r="D109" s="217">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","Medianamente de acuerdo")/GETPIVOTDATA("25. Considero que el contenido de la evaluación docente está acorde con los requerimientos del proyecto educativo del programa académico al cual pertenezco. ",$A$106)</f>
        <v>0.33333333333333331</v>
      </c>
      <c r="E109" s="217">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","De acuerdo")/GETPIVOTDATA("25. Considero que el contenido de la evaluación docente está acorde con los requerimientos del proyecto educativo del programa académico al cual pertenezco. ",$A$106)</f>
        <v>0.25925925925925924</v>
      </c>
      <c r="F109" s="217">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","Totalmente de acuerdo / SI")/GETPIVOTDATA("25. Considero que el contenido de la evaluación docente está acorde con los requerimientos del proyecto educativo del programa académico al cual pertenezco. ",$A$106)</f>
        <v>0.22222222222222221</v>
      </c>
      <c r="G109" s="217">
        <f>+GETPIVOTDATA("25. Considero que el contenido de la evaluación docente está acorde con los requerimientos del proyecto educativo del programa académico al cual pertenezco. ",$A$106,"25. Considero que el contenido de la evaluación docente está acorde con los requerimientos del proyecto educativo del programa académico al cual pertenezco. ","No sabe / No puede opinar al respecto")/GETPIVOTDATA("25. Considero que el contenido de la evaluación docente está acorde con los requerimientos del proyecto educativo del programa académico al cual pertenezco. ",$A$106)</f>
        <v>3.7037037037037035E-2</v>
      </c>
      <c r="I109" s="217">
        <f>SUM(B109:H109)</f>
        <v>1</v>
      </c>
    </row>
    <row r="110" spans="1:9" ht="15" x14ac:dyDescent="0.25">
      <c r="A110"/>
      <c r="B110" s="164" t="s">
        <v>2816</v>
      </c>
      <c r="C110"/>
      <c r="D110"/>
      <c r="E110"/>
      <c r="F110"/>
      <c r="G110"/>
      <c r="H110"/>
      <c r="I110"/>
    </row>
    <row r="111" spans="1:9" ht="15" x14ac:dyDescent="0.25">
      <c r="A111"/>
      <c r="B111" t="s">
        <v>1093</v>
      </c>
      <c r="C111" t="s">
        <v>1</v>
      </c>
      <c r="D111" t="s">
        <v>2</v>
      </c>
      <c r="E111" t="s">
        <v>3</v>
      </c>
      <c r="F111" t="s">
        <v>1092</v>
      </c>
      <c r="G111" t="s">
        <v>5</v>
      </c>
      <c r="H111" t="s">
        <v>1358</v>
      </c>
      <c r="I111" t="s">
        <v>1096</v>
      </c>
    </row>
    <row r="112" spans="1:9" ht="75" x14ac:dyDescent="0.25">
      <c r="A112" s="166" t="s">
        <v>1364</v>
      </c>
      <c r="B112" s="165">
        <v>2</v>
      </c>
      <c r="C112" s="165">
        <v>1</v>
      </c>
      <c r="D112" s="165">
        <v>5</v>
      </c>
      <c r="E112" s="165">
        <v>3</v>
      </c>
      <c r="F112" s="165">
        <v>15</v>
      </c>
      <c r="G112" s="165">
        <v>1</v>
      </c>
      <c r="H112" s="165"/>
      <c r="I112" s="165">
        <v>27</v>
      </c>
    </row>
    <row r="113" spans="1:9" ht="15" x14ac:dyDescent="0.25">
      <c r="A113"/>
      <c r="B113" s="215">
        <f>+GETPIVOTDATA("26. El programa académico al cual pertenezco me da a conocer los resultados de la evaluación docente de cada periodo académico.",$A$110,"26. El programa académico al cual pertenezco me da a conocer los resultados de la evaluación docente de cada periodo académico.","Totalmente en desacuerdo / NO")/GETPIVOTDATA("26. El programa académico al cual pertenezco me da a conocer los resultados de la evaluación docente de cada periodo académico.",$A$110)</f>
        <v>7.407407407407407E-2</v>
      </c>
      <c r="C113" s="217">
        <f>+GETPIVOTDATA("26. El programa académico al cual pertenezco me da a conocer los resultados de la evaluación docente de cada periodo académico.",$A$110,"26. El programa académico al cual pertenezco me da a conocer los resultados de la evaluación docente de cada periodo académico.","En desacuerdo")/GETPIVOTDATA("26. El programa académico al cual pertenezco me da a conocer los resultados de la evaluación docente de cada periodo académico.",$A$110)</f>
        <v>3.7037037037037035E-2</v>
      </c>
      <c r="D113" s="217">
        <f>+GETPIVOTDATA("26. El programa académico al cual pertenezco me da a conocer los resultados de la evaluación docente de cada periodo académico.",$A$110,"26. El programa académico al cual pertenezco me da a conocer los resultados de la evaluación docente de cada periodo académico.","Medianamente de acuerdo")/GETPIVOTDATA("26. El programa académico al cual pertenezco me da a conocer los resultados de la evaluación docente de cada periodo académico.",$A$110)</f>
        <v>0.18518518518518517</v>
      </c>
      <c r="E113" s="217">
        <f>+GETPIVOTDATA("26. El programa académico al cual pertenezco me da a conocer los resultados de la evaluación docente de cada periodo académico.",$A$110,"26. El programa académico al cual pertenezco me da a conocer los resultados de la evaluación docente de cada periodo académico.","De acuerdo")/GETPIVOTDATA("26. El programa académico al cual pertenezco me da a conocer los resultados de la evaluación docente de cada periodo académico.",$A$110)</f>
        <v>0.1111111111111111</v>
      </c>
      <c r="F113" s="217">
        <f>+GETPIVOTDATA("26. El programa académico al cual pertenezco me da a conocer los resultados de la evaluación docente de cada periodo académico.",$A$110,"26. El programa académico al cual pertenezco me da a conocer los resultados de la evaluación docente de cada periodo académico.","Totalmente de acuerdo / SI")/GETPIVOTDATA("26. El programa académico al cual pertenezco me da a conocer los resultados de la evaluación docente de cada periodo académico.",$A$110)</f>
        <v>0.55555555555555558</v>
      </c>
      <c r="G113" s="217">
        <f>+GETPIVOTDATA("26. El programa académico al cual pertenezco me da a conocer los resultados de la evaluación docente de cada periodo académico.",$A$110,"26. El programa académico al cual pertenezco me da a conocer los resultados de la evaluación docente de cada periodo académico.","No sabe / No puede opinar al respecto")/GETPIVOTDATA("26. El programa académico al cual pertenezco me da a conocer los resultados de la evaluación docente de cada periodo académico.",$A$110)</f>
        <v>3.7037037037037035E-2</v>
      </c>
      <c r="I113" s="217">
        <f>SUM(B113:H113)</f>
        <v>1</v>
      </c>
    </row>
    <row r="114" spans="1:9" ht="15" x14ac:dyDescent="0.25">
      <c r="A114"/>
      <c r="B114" s="164" t="s">
        <v>2816</v>
      </c>
      <c r="C114"/>
      <c r="D114"/>
      <c r="E114"/>
      <c r="F114"/>
      <c r="G114"/>
      <c r="H114"/>
      <c r="I114"/>
    </row>
    <row r="115" spans="1:9" ht="15" x14ac:dyDescent="0.25">
      <c r="A115"/>
      <c r="B115" t="s">
        <v>1093</v>
      </c>
      <c r="C115" t="s">
        <v>1</v>
      </c>
      <c r="D115" t="s">
        <v>2</v>
      </c>
      <c r="E115" t="s">
        <v>3</v>
      </c>
      <c r="F115" t="s">
        <v>1092</v>
      </c>
      <c r="G115" t="s">
        <v>5</v>
      </c>
      <c r="H115" t="s">
        <v>1358</v>
      </c>
      <c r="I115" t="s">
        <v>1096</v>
      </c>
    </row>
    <row r="116" spans="1:9" ht="75" x14ac:dyDescent="0.25">
      <c r="A116" s="166" t="s">
        <v>1365</v>
      </c>
      <c r="B116" s="165">
        <v>2</v>
      </c>
      <c r="C116" s="165">
        <v>2</v>
      </c>
      <c r="D116" s="165">
        <v>9</v>
      </c>
      <c r="E116" s="165">
        <v>7</v>
      </c>
      <c r="F116" s="165">
        <v>3</v>
      </c>
      <c r="G116" s="165">
        <v>4</v>
      </c>
      <c r="H116" s="165"/>
      <c r="I116" s="165">
        <v>27</v>
      </c>
    </row>
    <row r="117" spans="1:9" ht="15" x14ac:dyDescent="0.25">
      <c r="A117"/>
      <c r="B117" s="215">
        <f>+GETPIVOTDATA("27. El programa académico al cual pertenezco utiliza los resultados de la evaluación docente para implementar acciones de mejora. ",$A$114,"27. El programa académico al cual pertenezco utiliza los resultados de la evaluación docente para implementar acciones de mejora. ","Totalmente en desacuerdo / NO")/GETPIVOTDATA("27. El programa académico al cual pertenezco utiliza los resultados de la evaluación docente para implementar acciones de mejora. ",$A$114)</f>
        <v>7.407407407407407E-2</v>
      </c>
      <c r="C117" s="217">
        <f>+GETPIVOTDATA("27. El programa académico al cual pertenezco utiliza los resultados de la evaluación docente para implementar acciones de mejora. ",$A$114,"27. El programa académico al cual pertenezco utiliza los resultados de la evaluación docente para implementar acciones de mejora. ","En desacuerdo")/GETPIVOTDATA("27. El programa académico al cual pertenezco utiliza los resultados de la evaluación docente para implementar acciones de mejora. ",$A$114)</f>
        <v>7.407407407407407E-2</v>
      </c>
      <c r="D117" s="217">
        <f>+GETPIVOTDATA("27. El programa académico al cual pertenezco utiliza los resultados de la evaluación docente para implementar acciones de mejora. ",$A$114,"27. El programa académico al cual pertenezco utiliza los resultados de la evaluación docente para implementar acciones de mejora. ","Medianamente de acuerdo")/GETPIVOTDATA("27. El programa académico al cual pertenezco utiliza los resultados de la evaluación docente para implementar acciones de mejora. ",$A$114)</f>
        <v>0.33333333333333331</v>
      </c>
      <c r="E117" s="217">
        <f>+GETPIVOTDATA("27. El programa académico al cual pertenezco utiliza los resultados de la evaluación docente para implementar acciones de mejora. ",$A$114,"27. El programa académico al cual pertenezco utiliza los resultados de la evaluación docente para implementar acciones de mejora. ","De acuerdo")/GETPIVOTDATA("27. El programa académico al cual pertenezco utiliza los resultados de la evaluación docente para implementar acciones de mejora. ",$A$114)</f>
        <v>0.25925925925925924</v>
      </c>
      <c r="F117" s="217">
        <f>+GETPIVOTDATA("27. El programa académico al cual pertenezco utiliza los resultados de la evaluación docente para implementar acciones de mejora. ",$A$114,"27. El programa académico al cual pertenezco utiliza los resultados de la evaluación docente para implementar acciones de mejora. ","Totalmente de acuerdo / SI")/GETPIVOTDATA("27. El programa académico al cual pertenezco utiliza los resultados de la evaluación docente para implementar acciones de mejora. ",$A$114)</f>
        <v>0.1111111111111111</v>
      </c>
      <c r="G117" s="217">
        <f>+GETPIVOTDATA("27. El programa académico al cual pertenezco utiliza los resultados de la evaluación docente para implementar acciones de mejora. ",$A$114,"27. El programa académico al cual pertenezco utiliza los resultados de la evaluación docente para implementar acciones de mejora. ","No sabe / No puede opinar al respecto")/GETPIVOTDATA("27. El programa académico al cual pertenezco utiliza los resultados de la evaluación docente para implementar acciones de mejora. ",$A$114)</f>
        <v>0.14814814814814814</v>
      </c>
      <c r="I117" s="217">
        <f>SUM(B117:H117)</f>
        <v>1</v>
      </c>
    </row>
    <row r="118" spans="1:9" ht="15" x14ac:dyDescent="0.25">
      <c r="A118"/>
      <c r="B118" s="164" t="s">
        <v>2816</v>
      </c>
      <c r="C118"/>
      <c r="D118"/>
      <c r="E118"/>
      <c r="F118"/>
      <c r="G118"/>
    </row>
    <row r="119" spans="1:9" ht="15" x14ac:dyDescent="0.25">
      <c r="A119"/>
      <c r="B119" t="s">
        <v>1</v>
      </c>
      <c r="C119" t="s">
        <v>2</v>
      </c>
      <c r="D119" t="s">
        <v>3</v>
      </c>
      <c r="E119" t="s">
        <v>1092</v>
      </c>
      <c r="F119" t="s">
        <v>1358</v>
      </c>
      <c r="G119" t="s">
        <v>1096</v>
      </c>
    </row>
    <row r="120" spans="1:9" ht="75" x14ac:dyDescent="0.25">
      <c r="A120" s="166" t="s">
        <v>1366</v>
      </c>
      <c r="B120" s="165">
        <v>1</v>
      </c>
      <c r="C120" s="165">
        <v>2</v>
      </c>
      <c r="D120" s="165">
        <v>8</v>
      </c>
      <c r="E120" s="165">
        <v>16</v>
      </c>
      <c r="F120" s="165"/>
      <c r="G120" s="165">
        <v>27</v>
      </c>
    </row>
    <row r="121" spans="1:9" ht="15" x14ac:dyDescent="0.25">
      <c r="A121"/>
      <c r="B121" s="215">
        <f>+GETPIVOTDATA("28. El plan de estudios del programa académico al cual pertenezco es coherente con el perfil profesional y ocupacional que se espera alcanzar.",$A$118,"28. El plan de estudios del programa académico al cual pertenezco es coherente con el perfil profesional y ocupacional que se espera alcanzar.","En desacuerdo")/GETPIVOTDATA("28. El plan de estudios del programa académico al cual pertenezco es coherente con el perfil profesional y ocupacional que se espera alcanzar.",$A$118)</f>
        <v>3.7037037037037035E-2</v>
      </c>
      <c r="C121" s="217">
        <f>+GETPIVOTDATA("28. El plan de estudios del programa académico al cual pertenezco es coherente con el perfil profesional y ocupacional que se espera alcanzar.",$A$118,"28. El plan de estudios del programa académico al cual pertenezco es coherente con el perfil profesional y ocupacional que se espera alcanzar.","Medianamente de acuerdo")/GETPIVOTDATA("28. El plan de estudios del programa académico al cual pertenezco es coherente con el perfil profesional y ocupacional que se espera alcanzar.",$A$118)</f>
        <v>7.407407407407407E-2</v>
      </c>
      <c r="D121" s="217">
        <f>+GETPIVOTDATA("28. El plan de estudios del programa académico al cual pertenezco es coherente con el perfil profesional y ocupacional que se espera alcanzar.",$A$118,"28. El plan de estudios del programa académico al cual pertenezco es coherente con el perfil profesional y ocupacional que se espera alcanzar.","De acuerdo")/GETPIVOTDATA("28. El plan de estudios del programa académico al cual pertenezco es coherente con el perfil profesional y ocupacional que se espera alcanzar.",$A$118)</f>
        <v>0.29629629629629628</v>
      </c>
      <c r="E121" s="217">
        <f>+GETPIVOTDATA("28. El plan de estudios del programa académico al cual pertenezco es coherente con el perfil profesional y ocupacional que se espera alcanzar.",$A$118,"28. El plan de estudios del programa académico al cual pertenezco es coherente con el perfil profesional y ocupacional que se espera alcanzar.","Totalmente de acuerdo / SI")/GETPIVOTDATA("28. El plan de estudios del programa académico al cual pertenezco es coherente con el perfil profesional y ocupacional que se espera alcanzar.",$A$118)</f>
        <v>0.59259259259259256</v>
      </c>
      <c r="I121" s="217">
        <f>SUM(B121:H121)</f>
        <v>1</v>
      </c>
    </row>
    <row r="122" spans="1:9" ht="15" x14ac:dyDescent="0.25">
      <c r="A122"/>
      <c r="B122" s="164" t="s">
        <v>2816</v>
      </c>
      <c r="C122"/>
      <c r="D122"/>
      <c r="E122"/>
      <c r="F122"/>
      <c r="G122"/>
      <c r="H122"/>
    </row>
    <row r="123" spans="1:9" ht="15" x14ac:dyDescent="0.25">
      <c r="A123"/>
      <c r="B123" t="s">
        <v>1093</v>
      </c>
      <c r="C123" t="s">
        <v>1</v>
      </c>
      <c r="D123" t="s">
        <v>2</v>
      </c>
      <c r="E123" t="s">
        <v>3</v>
      </c>
      <c r="F123" t="s">
        <v>1092</v>
      </c>
      <c r="G123" t="s">
        <v>1358</v>
      </c>
      <c r="H123" t="s">
        <v>1096</v>
      </c>
    </row>
    <row r="124" spans="1:9" ht="75" x14ac:dyDescent="0.25">
      <c r="A124" s="166" t="s">
        <v>1367</v>
      </c>
      <c r="B124" s="165">
        <v>2</v>
      </c>
      <c r="C124" s="165">
        <v>2</v>
      </c>
      <c r="D124" s="165">
        <v>4</v>
      </c>
      <c r="E124" s="165">
        <v>9</v>
      </c>
      <c r="F124" s="165">
        <v>10</v>
      </c>
      <c r="G124" s="165"/>
      <c r="H124" s="165">
        <v>27</v>
      </c>
    </row>
    <row r="125" spans="1:9" ht="15" x14ac:dyDescent="0.25">
      <c r="A125"/>
      <c r="B125" s="215">
        <f>+GETPIVOTDATA("29. El plan de estudios del programa académico al cual pertenezco permite desarrollar en los estudiantes competencias investigativas. ",$A$122,"29. El plan de estudios del programa académico al cual pertenezco permite desarrollar en los estudiantes competencias investigativas. ","Totalmente en desacuerdo / NO")/GETPIVOTDATA("29. El plan de estudios del programa académico al cual pertenezco permite desarrollar en los estudiantes competencias investigativas. ",$A$122)</f>
        <v>7.407407407407407E-2</v>
      </c>
      <c r="C125" s="217">
        <f>+GETPIVOTDATA("29. El plan de estudios del programa académico al cual pertenezco permite desarrollar en los estudiantes competencias investigativas. ",$A$122,"29. El plan de estudios del programa académico al cual pertenezco permite desarrollar en los estudiantes competencias investigativas. ","En desacuerdo")/GETPIVOTDATA("29. El plan de estudios del programa académico al cual pertenezco permite desarrollar en los estudiantes competencias investigativas. ",$A$122)</f>
        <v>7.407407407407407E-2</v>
      </c>
      <c r="D125" s="217">
        <f>+GETPIVOTDATA("29. El plan de estudios del programa académico al cual pertenezco permite desarrollar en los estudiantes competencias investigativas. ",$A$122,"29. El plan de estudios del programa académico al cual pertenezco permite desarrollar en los estudiantes competencias investigativas. ","Medianamente de acuerdo")/GETPIVOTDATA("29. El plan de estudios del programa académico al cual pertenezco permite desarrollar en los estudiantes competencias investigativas. ",$A$122)</f>
        <v>0.14814814814814814</v>
      </c>
      <c r="E125" s="217">
        <f>+GETPIVOTDATA("29. El plan de estudios del programa académico al cual pertenezco permite desarrollar en los estudiantes competencias investigativas. ",$A$122,"29. El plan de estudios del programa académico al cual pertenezco permite desarrollar en los estudiantes competencias investigativas. ","De acuerdo")/GETPIVOTDATA("29. El plan de estudios del programa académico al cual pertenezco permite desarrollar en los estudiantes competencias investigativas. ",$A$122)</f>
        <v>0.33333333333333331</v>
      </c>
      <c r="F125" s="217">
        <f>+GETPIVOTDATA("29. El plan de estudios del programa académico al cual pertenezco permite desarrollar en los estudiantes competencias investigativas. ",$A$122,"29. El plan de estudios del programa académico al cual pertenezco permite desarrollar en los estudiantes competencias investigativas. ","Totalmente de acuerdo / SI")/GETPIVOTDATA("29. El plan de estudios del programa académico al cual pertenezco permite desarrollar en los estudiantes competencias investigativas. ",$A$122)</f>
        <v>0.37037037037037035</v>
      </c>
      <c r="I125" s="217">
        <f>SUM(B125:H125)</f>
        <v>0.99999999999999989</v>
      </c>
    </row>
    <row r="126" spans="1:9" ht="15" x14ac:dyDescent="0.25">
      <c r="A126"/>
      <c r="B126" s="164" t="s">
        <v>2816</v>
      </c>
      <c r="C126"/>
      <c r="D126"/>
      <c r="E126"/>
      <c r="F126"/>
      <c r="G126"/>
      <c r="H126"/>
    </row>
    <row r="127" spans="1:9" ht="15" x14ac:dyDescent="0.25">
      <c r="A127"/>
      <c r="B127" t="s">
        <v>1</v>
      </c>
      <c r="C127" t="s">
        <v>2</v>
      </c>
      <c r="D127" t="s">
        <v>3</v>
      </c>
      <c r="E127" t="s">
        <v>1092</v>
      </c>
      <c r="F127" t="s">
        <v>5</v>
      </c>
      <c r="G127" t="s">
        <v>1358</v>
      </c>
      <c r="H127" t="s">
        <v>1096</v>
      </c>
    </row>
    <row r="128" spans="1:9" ht="75" x14ac:dyDescent="0.25">
      <c r="A128" s="166" t="s">
        <v>1368</v>
      </c>
      <c r="B128" s="165">
        <v>3</v>
      </c>
      <c r="C128" s="165">
        <v>3</v>
      </c>
      <c r="D128" s="165">
        <v>9</v>
      </c>
      <c r="E128" s="165">
        <v>11</v>
      </c>
      <c r="F128" s="165">
        <v>1</v>
      </c>
      <c r="G128" s="165"/>
      <c r="H128" s="165">
        <v>27</v>
      </c>
    </row>
    <row r="129" spans="1:9" ht="15" x14ac:dyDescent="0.25">
      <c r="A129"/>
      <c r="B129" s="215">
        <f>+GETPIVOTDATA("30. El plan de estudios del programa académico al cual pertenezco permite desarrollar en los estudiantes competencias para la comprensión del contexto. ",$A$126,"30. El plan de estudios del programa académico al cual pertenezco permite desarrollar en los estudiantes competencias para la comprensión del contexto. ","En desacuerdo")/GETPIVOTDATA("30. El plan de estudios del programa académico al cual pertenezco permite desarrollar en los estudiantes competencias para la comprensión del contexto. ",$A$126)</f>
        <v>0.1111111111111111</v>
      </c>
      <c r="C129" s="217">
        <f>+GETPIVOTDATA("30. El plan de estudios del programa académico al cual pertenezco permite desarrollar en los estudiantes competencias para la comprensión del contexto. ",$A$126,"30. El plan de estudios del programa académico al cual pertenezco permite desarrollar en los estudiantes competencias para la comprensión del contexto. ","Medianamente de acuerdo")/GETPIVOTDATA("30. El plan de estudios del programa académico al cual pertenezco permite desarrollar en los estudiantes competencias para la comprensión del contexto. ",$A$126)</f>
        <v>0.1111111111111111</v>
      </c>
      <c r="D129" s="217">
        <f>+GETPIVOTDATA("30. El plan de estudios del programa académico al cual pertenezco permite desarrollar en los estudiantes competencias para la comprensión del contexto. ",$A$126,"30. El plan de estudios del programa académico al cual pertenezco permite desarrollar en los estudiantes competencias para la comprensión del contexto. ","De acuerdo")/GETPIVOTDATA("30. El plan de estudios del programa académico al cual pertenezco permite desarrollar en los estudiantes competencias para la comprensión del contexto. ",$A$126)</f>
        <v>0.33333333333333331</v>
      </c>
      <c r="E129" s="217">
        <f>+GETPIVOTDATA("30. El plan de estudios del programa académico al cual pertenezco permite desarrollar en los estudiantes competencias para la comprensión del contexto. ",$A$126,"30. El plan de estudios del programa académico al cual pertenezco permite desarrollar en los estudiantes competencias para la comprensión del contexto. ","Totalmente de acuerdo / SI")/GETPIVOTDATA("30. El plan de estudios del programa académico al cual pertenezco permite desarrollar en los estudiantes competencias para la comprensión del contexto. ",$A$126)</f>
        <v>0.40740740740740738</v>
      </c>
      <c r="F129" s="217">
        <f>+GETPIVOTDATA("30. El plan de estudios del programa académico al cual pertenezco permite desarrollar en los estudiantes competencias para la comprensión del contexto. ",$A$126,"30. El plan de estudios del programa académico al cual pertenezco permite desarrollar en los estudiantes competencias para la comprensión del contexto. ","No sabe / No puede opinar al respecto")/GETPIVOTDATA("30. El plan de estudios del programa académico al cual pertenezco permite desarrollar en los estudiantes competencias para la comprensión del contexto. ",$A$126)</f>
        <v>3.7037037037037035E-2</v>
      </c>
      <c r="I129" s="217">
        <f>SUM(B129:H129)</f>
        <v>1</v>
      </c>
    </row>
    <row r="130" spans="1:9" ht="15" x14ac:dyDescent="0.25">
      <c r="A130"/>
      <c r="B130" s="164" t="s">
        <v>2816</v>
      </c>
      <c r="C130"/>
      <c r="D130"/>
      <c r="E130"/>
      <c r="F130"/>
      <c r="G130"/>
      <c r="H130"/>
    </row>
    <row r="131" spans="1:9" ht="15" x14ac:dyDescent="0.25">
      <c r="A131"/>
      <c r="B131" t="s">
        <v>1093</v>
      </c>
      <c r="C131" t="s">
        <v>1</v>
      </c>
      <c r="D131" t="s">
        <v>2</v>
      </c>
      <c r="E131" t="s">
        <v>3</v>
      </c>
      <c r="F131" t="s">
        <v>1092</v>
      </c>
      <c r="G131" t="s">
        <v>1358</v>
      </c>
      <c r="H131" t="s">
        <v>1096</v>
      </c>
    </row>
    <row r="132" spans="1:9" ht="75" x14ac:dyDescent="0.25">
      <c r="A132" s="166" t="s">
        <v>1369</v>
      </c>
      <c r="B132" s="165">
        <v>4</v>
      </c>
      <c r="C132" s="165">
        <v>2</v>
      </c>
      <c r="D132" s="165">
        <v>7</v>
      </c>
      <c r="E132" s="165">
        <v>8</v>
      </c>
      <c r="F132" s="165">
        <v>6</v>
      </c>
      <c r="G132" s="165"/>
      <c r="H132" s="165">
        <v>27</v>
      </c>
    </row>
    <row r="133" spans="1:9" ht="15" x14ac:dyDescent="0.25">
      <c r="A133"/>
      <c r="B133" s="215">
        <f>+GETPIVOTDATA("31. El programa académico al cual pertenezco incentiva el desarrollo de proyectos de investigación con participación interdisciplinaria.",$A$130,"31. El programa académico al cual pertenezco incentiva el desarrollo de proyectos de investigación con participación interdisciplinaria.","Totalmente en desacuerdo / NO")/GETPIVOTDATA("31. El programa académico al cual pertenezco incentiva el desarrollo de proyectos de investigación con participación interdisciplinaria.",$A$130)</f>
        <v>0.14814814814814814</v>
      </c>
      <c r="C133" s="217">
        <f>+GETPIVOTDATA("31. El programa académico al cual pertenezco incentiva el desarrollo de proyectos de investigación con participación interdisciplinaria.",$A$130,"31. El programa académico al cual pertenezco incentiva el desarrollo de proyectos de investigación con participación interdisciplinaria.","En desacuerdo")/GETPIVOTDATA("31. El programa académico al cual pertenezco incentiva el desarrollo de proyectos de investigación con participación interdisciplinaria.",$A$130)</f>
        <v>7.407407407407407E-2</v>
      </c>
      <c r="D133" s="217">
        <f>+GETPIVOTDATA("31. El programa académico al cual pertenezco incentiva el desarrollo de proyectos de investigación con participación interdisciplinaria.",$A$130,"31. El programa académico al cual pertenezco incentiva el desarrollo de proyectos de investigación con participación interdisciplinaria.","Medianamente de acuerdo")/GETPIVOTDATA("31. El programa académico al cual pertenezco incentiva el desarrollo de proyectos de investigación con participación interdisciplinaria.",$A$130)</f>
        <v>0.25925925925925924</v>
      </c>
      <c r="E133" s="217">
        <f>+GETPIVOTDATA("31. El programa académico al cual pertenezco incentiva el desarrollo de proyectos de investigación con participación interdisciplinaria.",$A$130,"31. El programa académico al cual pertenezco incentiva el desarrollo de proyectos de investigación con participación interdisciplinaria.","De acuerdo")/GETPIVOTDATA("31. El programa académico al cual pertenezco incentiva el desarrollo de proyectos de investigación con participación interdisciplinaria.",$A$130)</f>
        <v>0.29629629629629628</v>
      </c>
      <c r="F133" s="217">
        <f>+GETPIVOTDATA("31. El programa académico al cual pertenezco incentiva el desarrollo de proyectos de investigación con participación interdisciplinaria.",$A$130,"31. El programa académico al cual pertenezco incentiva el desarrollo de proyectos de investigación con participación interdisciplinaria.","Totalmente de acuerdo / SI")/GETPIVOTDATA("31. El programa académico al cual pertenezco incentiva el desarrollo de proyectos de investigación con participación interdisciplinaria.",$A$130)</f>
        <v>0.22222222222222221</v>
      </c>
      <c r="I133" s="217">
        <f>SUM(B133:H133)</f>
        <v>0.99999999999999989</v>
      </c>
    </row>
    <row r="134" spans="1:9" ht="15" x14ac:dyDescent="0.25">
      <c r="A134"/>
      <c r="B134" s="164" t="s">
        <v>2816</v>
      </c>
      <c r="C134"/>
      <c r="D134"/>
      <c r="E134"/>
      <c r="F134"/>
      <c r="G134"/>
      <c r="H134"/>
    </row>
    <row r="135" spans="1:9" ht="15" x14ac:dyDescent="0.25">
      <c r="A135"/>
      <c r="B135" t="s">
        <v>1093</v>
      </c>
      <c r="C135" t="s">
        <v>1</v>
      </c>
      <c r="D135" t="s">
        <v>2</v>
      </c>
      <c r="E135" t="s">
        <v>3</v>
      </c>
      <c r="F135" t="s">
        <v>1092</v>
      </c>
      <c r="G135" t="s">
        <v>1358</v>
      </c>
      <c r="H135" t="s">
        <v>1096</v>
      </c>
    </row>
    <row r="136" spans="1:9" ht="75" x14ac:dyDescent="0.25">
      <c r="A136" s="166" t="s">
        <v>1370</v>
      </c>
      <c r="B136" s="165">
        <v>4</v>
      </c>
      <c r="C136" s="165">
        <v>2</v>
      </c>
      <c r="D136" s="165">
        <v>5</v>
      </c>
      <c r="E136" s="165">
        <v>10</v>
      </c>
      <c r="F136" s="165">
        <v>6</v>
      </c>
      <c r="G136" s="165"/>
      <c r="H136" s="165">
        <v>27</v>
      </c>
    </row>
    <row r="137" spans="1:9" ht="15" x14ac:dyDescent="0.25">
      <c r="A137"/>
      <c r="B137" s="215">
        <f>+GETPIVOTDATA("32. El programa académico al cual pertenezco incentiva el desarrollo de proyectos de grado con participación interdisciplinaria.",$A$134,"32. El programa académico al cual pertenezco incentiva el desarrollo de proyectos de grado con participación interdisciplinaria.","Totalmente en desacuerdo / NO")/GETPIVOTDATA("32. El programa académico al cual pertenezco incentiva el desarrollo de proyectos de grado con participación interdisciplinaria.",$A$134)</f>
        <v>0.14814814814814814</v>
      </c>
      <c r="C137" s="217">
        <f>+GETPIVOTDATA("32. El programa académico al cual pertenezco incentiva el desarrollo de proyectos de grado con participación interdisciplinaria.",$A$134,"32. El programa académico al cual pertenezco incentiva el desarrollo de proyectos de grado con participación interdisciplinaria.","En desacuerdo")/GETPIVOTDATA("32. El programa académico al cual pertenezco incentiva el desarrollo de proyectos de grado con participación interdisciplinaria.",$A$134)</f>
        <v>7.407407407407407E-2</v>
      </c>
      <c r="D137" s="217">
        <f>+GETPIVOTDATA("32. El programa académico al cual pertenezco incentiva el desarrollo de proyectos de grado con participación interdisciplinaria.",$A$134,"32. El programa académico al cual pertenezco incentiva el desarrollo de proyectos de grado con participación interdisciplinaria.","Medianamente de acuerdo")/GETPIVOTDATA("32. El programa académico al cual pertenezco incentiva el desarrollo de proyectos de grado con participación interdisciplinaria.",$A$134)</f>
        <v>0.18518518518518517</v>
      </c>
      <c r="E137" s="217">
        <f>+GETPIVOTDATA("32. El programa académico al cual pertenezco incentiva el desarrollo de proyectos de grado con participación interdisciplinaria.",$A$134,"32. El programa académico al cual pertenezco incentiva el desarrollo de proyectos de grado con participación interdisciplinaria.","De acuerdo")/GETPIVOTDATA("32. El programa académico al cual pertenezco incentiva el desarrollo de proyectos de grado con participación interdisciplinaria.",$A$134)</f>
        <v>0.37037037037037035</v>
      </c>
      <c r="F137" s="217">
        <f>+GETPIVOTDATA("32. El programa académico al cual pertenezco incentiva el desarrollo de proyectos de grado con participación interdisciplinaria.",$A$134,"32. El programa académico al cual pertenezco incentiva el desarrollo de proyectos de grado con participación interdisciplinaria.","Totalmente de acuerdo / SI")/GETPIVOTDATA("32. El programa académico al cual pertenezco incentiva el desarrollo de proyectos de grado con participación interdisciplinaria.",$A$134)</f>
        <v>0.22222222222222221</v>
      </c>
      <c r="I137" s="217">
        <f>SUM(B137:H137)</f>
        <v>0.99999999999999989</v>
      </c>
    </row>
    <row r="138" spans="1:9" ht="15" x14ac:dyDescent="0.25">
      <c r="A138"/>
      <c r="B138" s="164" t="s">
        <v>2816</v>
      </c>
      <c r="C138"/>
      <c r="D138"/>
      <c r="E138"/>
      <c r="F138"/>
      <c r="G138"/>
      <c r="H138"/>
    </row>
    <row r="139" spans="1:9" ht="15" x14ac:dyDescent="0.25">
      <c r="A139"/>
      <c r="B139" t="s">
        <v>1093</v>
      </c>
      <c r="C139" t="s">
        <v>2</v>
      </c>
      <c r="D139" t="s">
        <v>3</v>
      </c>
      <c r="E139" t="s">
        <v>1092</v>
      </c>
      <c r="F139" t="s">
        <v>5</v>
      </c>
      <c r="G139" t="s">
        <v>1358</v>
      </c>
      <c r="H139" t="s">
        <v>1096</v>
      </c>
    </row>
    <row r="140" spans="1:9" ht="75" x14ac:dyDescent="0.25">
      <c r="A140" s="166" t="s">
        <v>1371</v>
      </c>
      <c r="B140" s="165">
        <v>1</v>
      </c>
      <c r="C140" s="165">
        <v>4</v>
      </c>
      <c r="D140" s="165">
        <v>14</v>
      </c>
      <c r="E140" s="165">
        <v>7</v>
      </c>
      <c r="F140" s="165">
        <v>1</v>
      </c>
      <c r="G140" s="165"/>
      <c r="H140" s="165">
        <v>27</v>
      </c>
    </row>
    <row r="141" spans="1:9" ht="15" x14ac:dyDescent="0.25">
      <c r="A141"/>
      <c r="B141" s="215">
        <f>+GETPIVOTDATA("33. El plan de estudios del programa académico al cual pertenezco ofrece la suficiente variedad de espacios académicos electivos. ",$A$138,"33. El plan de estudios del programa académico al cual pertenezco ofrece la suficiente variedad de espacios académicos electivos. ","Totalmente en desacuerdo / NO")/GETPIVOTDATA("33. El plan de estudios del programa académico al cual pertenezco ofrece la suficiente variedad de espacios académicos electivos. ",$A$138)</f>
        <v>3.7037037037037035E-2</v>
      </c>
      <c r="C141" s="217">
        <f>+GETPIVOTDATA("33. El plan de estudios del programa académico al cual pertenezco ofrece la suficiente variedad de espacios académicos electivos. ",$A$138,"33. El plan de estudios del programa académico al cual pertenezco ofrece la suficiente variedad de espacios académicos electivos. ","Medianamente de acuerdo")/GETPIVOTDATA("33. El plan de estudios del programa académico al cual pertenezco ofrece la suficiente variedad de espacios académicos electivos. ",$A$138)</f>
        <v>0.14814814814814814</v>
      </c>
      <c r="D141" s="217">
        <f>+GETPIVOTDATA("33. El plan de estudios del programa académico al cual pertenezco ofrece la suficiente variedad de espacios académicos electivos. ",$A$138,"33. El plan de estudios del programa académico al cual pertenezco ofrece la suficiente variedad de espacios académicos electivos. ","De acuerdo")/GETPIVOTDATA("33. El plan de estudios del programa académico al cual pertenezco ofrece la suficiente variedad de espacios académicos electivos. ",$A$138)</f>
        <v>0.51851851851851849</v>
      </c>
      <c r="E141" s="217">
        <f>+GETPIVOTDATA("33. El plan de estudios del programa académico al cual pertenezco ofrece la suficiente variedad de espacios académicos electivos. ",$A$138,"33. El plan de estudios del programa académico al cual pertenezco ofrece la suficiente variedad de espacios académicos electivos. ","Totalmente de acuerdo / SI")/GETPIVOTDATA("33. El plan de estudios del programa académico al cual pertenezco ofrece la suficiente variedad de espacios académicos electivos. ",$A$138)</f>
        <v>0.25925925925925924</v>
      </c>
      <c r="F141" s="217">
        <f>+GETPIVOTDATA("33. El plan de estudios del programa académico al cual pertenezco ofrece la suficiente variedad de espacios académicos electivos. ",$A$138,"33. El plan de estudios del programa académico al cual pertenezco ofrece la suficiente variedad de espacios académicos electivos. ","No sabe / No puede opinar al respecto")/GETPIVOTDATA("33. El plan de estudios del programa académico al cual pertenezco ofrece la suficiente variedad de espacios académicos electivos. ",$A$138)</f>
        <v>3.7037037037037035E-2</v>
      </c>
      <c r="I141" s="217">
        <f>SUM(B141:H141)</f>
        <v>1</v>
      </c>
    </row>
    <row r="142" spans="1:9" ht="15" x14ac:dyDescent="0.25">
      <c r="A142"/>
      <c r="B142" s="164" t="s">
        <v>2816</v>
      </c>
      <c r="C142"/>
      <c r="D142"/>
      <c r="E142"/>
      <c r="F142"/>
      <c r="G142"/>
      <c r="H142"/>
      <c r="I142"/>
    </row>
    <row r="143" spans="1:9" ht="15" x14ac:dyDescent="0.25">
      <c r="A143"/>
      <c r="B143" t="s">
        <v>1093</v>
      </c>
      <c r="C143" t="s">
        <v>1</v>
      </c>
      <c r="D143" t="s">
        <v>2</v>
      </c>
      <c r="E143" t="s">
        <v>3</v>
      </c>
      <c r="F143" t="s">
        <v>1092</v>
      </c>
      <c r="G143" t="s">
        <v>5</v>
      </c>
      <c r="H143" t="s">
        <v>1358</v>
      </c>
      <c r="I143" t="s">
        <v>1096</v>
      </c>
    </row>
    <row r="144" spans="1:9" ht="75" x14ac:dyDescent="0.25">
      <c r="A144" s="166" t="s">
        <v>1372</v>
      </c>
      <c r="B144" s="165">
        <v>2</v>
      </c>
      <c r="C144" s="165">
        <v>3</v>
      </c>
      <c r="D144" s="165">
        <v>5</v>
      </c>
      <c r="E144" s="165">
        <v>9</v>
      </c>
      <c r="F144" s="165">
        <v>5</v>
      </c>
      <c r="G144" s="165">
        <v>3</v>
      </c>
      <c r="H144" s="165"/>
      <c r="I144" s="165">
        <v>27</v>
      </c>
    </row>
    <row r="145" spans="1:9" ht="15" x14ac:dyDescent="0.25">
      <c r="A145"/>
      <c r="B145" s="215">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","Totalmente en desacuerdo / NO")/GETPIVOTDATA("34. El programa académico al cual pertenezco incentiva las actividades y proyectos extra clase realizados por docentes y estudiantes. ",$A$142)</f>
        <v>7.407407407407407E-2</v>
      </c>
      <c r="C145" s="217">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","En desacuerdo")/GETPIVOTDATA("34. El programa académico al cual pertenezco incentiva las actividades y proyectos extra clase realizados por docentes y estudiantes. ",$A$142)</f>
        <v>0.1111111111111111</v>
      </c>
      <c r="D145" s="217">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","Medianamente de acuerdo")/GETPIVOTDATA("34. El programa académico al cual pertenezco incentiva las actividades y proyectos extra clase realizados por docentes y estudiantes. ",$A$142)</f>
        <v>0.18518518518518517</v>
      </c>
      <c r="E145" s="217">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","De acuerdo")/GETPIVOTDATA("34. El programa académico al cual pertenezco incentiva las actividades y proyectos extra clase realizados por docentes y estudiantes. ",$A$142)</f>
        <v>0.33333333333333331</v>
      </c>
      <c r="F145" s="217">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","Totalmente de acuerdo / SI")/GETPIVOTDATA("34. El programa académico al cual pertenezco incentiva las actividades y proyectos extra clase realizados por docentes y estudiantes. ",$A$142)</f>
        <v>0.18518518518518517</v>
      </c>
      <c r="G145" s="217">
        <f>+GETPIVOTDATA("34. El programa académico al cual pertenezco incentiva las actividades y proyectos extra clase realizados por docentes y estudiantes. ",$A$142,"34. El programa académico al cual pertenezco incentiva las actividades y proyectos extra clase realizados por docentes y estudiantes. ","No sabe / No puede opinar al respecto")/GETPIVOTDATA("34. El programa académico al cual pertenezco incentiva las actividades y proyectos extra clase realizados por docentes y estudiantes. ",$A$142)</f>
        <v>0.1111111111111111</v>
      </c>
      <c r="I145" s="217">
        <f>SUM(B145:H145)</f>
        <v>1</v>
      </c>
    </row>
    <row r="146" spans="1:9" ht="15" x14ac:dyDescent="0.25">
      <c r="A146"/>
      <c r="B146" s="164" t="s">
        <v>2816</v>
      </c>
      <c r="C146"/>
      <c r="D146"/>
      <c r="E146"/>
      <c r="F146"/>
      <c r="G146"/>
      <c r="H146"/>
      <c r="I146"/>
    </row>
    <row r="147" spans="1:9" ht="15" x14ac:dyDescent="0.25">
      <c r="A147"/>
      <c r="B147" t="s">
        <v>1093</v>
      </c>
      <c r="C147" t="s">
        <v>1</v>
      </c>
      <c r="D147" t="s">
        <v>2</v>
      </c>
      <c r="E147" t="s">
        <v>3</v>
      </c>
      <c r="F147" t="s">
        <v>1092</v>
      </c>
      <c r="G147" t="s">
        <v>5</v>
      </c>
      <c r="H147" t="s">
        <v>1358</v>
      </c>
      <c r="I147" t="s">
        <v>1096</v>
      </c>
    </row>
    <row r="148" spans="1:9" ht="75" x14ac:dyDescent="0.25">
      <c r="A148" s="166" t="s">
        <v>1373</v>
      </c>
      <c r="B148" s="165">
        <v>2</v>
      </c>
      <c r="C148" s="165">
        <v>2</v>
      </c>
      <c r="D148" s="165">
        <v>6</v>
      </c>
      <c r="E148" s="165">
        <v>8</v>
      </c>
      <c r="F148" s="165">
        <v>7</v>
      </c>
      <c r="G148" s="165">
        <v>2</v>
      </c>
      <c r="H148" s="165"/>
      <c r="I148" s="165">
        <v>27</v>
      </c>
    </row>
    <row r="149" spans="1:9" ht="15" x14ac:dyDescent="0.25">
      <c r="A149"/>
      <c r="B149" s="215">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flexibles.","Totalmente en desacuerdo / NO")/GETPIVOTDATA("35. Considero que el programa académico al cual pertenezco se preocupa por evolucionar hacia planes de estudios cada vez más flexibles.",$A$146)</f>
        <v>7.407407407407407E-2</v>
      </c>
      <c r="C149" s="217">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flexibles.","En desacuerdo")/GETPIVOTDATA("35. Considero que el programa académico al cual pertenezco se preocupa por evolucionar hacia planes de estudios cada vez más flexibles.",$A$146)</f>
        <v>7.407407407407407E-2</v>
      </c>
      <c r="D149" s="217">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flexibles.","Medianamente de acuerdo")/GETPIVOTDATA("35. Considero que el programa académico al cual pertenezco se preocupa por evolucionar hacia planes de estudios cada vez más flexibles.",$A$146)</f>
        <v>0.22222222222222221</v>
      </c>
      <c r="E149" s="217">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flexibles.","De acuerdo")/GETPIVOTDATA("35. Considero que el programa académico al cual pertenezco se preocupa por evolucionar hacia planes de estudios cada vez más flexibles.",$A$146)</f>
        <v>0.29629629629629628</v>
      </c>
      <c r="F149" s="217">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flexibles.","Totalmente de acuerdo / SI")/GETPIVOTDATA("35. Considero que el programa académico al cual pertenezco se preocupa por evolucionar hacia planes de estudios cada vez más flexibles.",$A$146)</f>
        <v>0.25925925925925924</v>
      </c>
      <c r="G149" s="217">
        <f>+GETPIVOTDATA("35. Considero que el programa académico al cual pertenezco se preocupa por evolucionar hacia planes de estudios cada vez más flexibles.",$A$146,"35. Considero que el programa académico al cual pertenezco se preocupa por evolucionar hacia planes de estudios cada vez más flexibles.","No sabe / No puede opinar al respecto")/GETPIVOTDATA("35. Considero que el programa académico al cual pertenezco se preocupa por evolucionar hacia planes de estudios cada vez más flexibles.",$A$146)</f>
        <v>7.407407407407407E-2</v>
      </c>
      <c r="I149" s="217">
        <f>SUM(B149:H149)</f>
        <v>0.99999999999999989</v>
      </c>
    </row>
    <row r="150" spans="1:9" ht="15" x14ac:dyDescent="0.25">
      <c r="A150"/>
      <c r="B150" s="164" t="s">
        <v>2816</v>
      </c>
      <c r="C150"/>
      <c r="D150"/>
      <c r="E150"/>
      <c r="F150"/>
      <c r="G150"/>
      <c r="H150"/>
    </row>
    <row r="151" spans="1:9" ht="15" x14ac:dyDescent="0.25">
      <c r="A151"/>
      <c r="B151" t="s">
        <v>1093</v>
      </c>
      <c r="C151" t="s">
        <v>2</v>
      </c>
      <c r="D151" t="s">
        <v>3</v>
      </c>
      <c r="E151" t="s">
        <v>1092</v>
      </c>
      <c r="F151" t="s">
        <v>5</v>
      </c>
      <c r="G151" t="s">
        <v>1358</v>
      </c>
      <c r="H151" t="s">
        <v>1096</v>
      </c>
    </row>
    <row r="152" spans="1:9" ht="105" x14ac:dyDescent="0.25">
      <c r="A152" s="166" t="s">
        <v>1374</v>
      </c>
      <c r="B152" s="165">
        <v>1</v>
      </c>
      <c r="C152" s="165">
        <v>3</v>
      </c>
      <c r="D152" s="165">
        <v>11</v>
      </c>
      <c r="E152" s="165">
        <v>11</v>
      </c>
      <c r="F152" s="165">
        <v>1</v>
      </c>
      <c r="G152" s="165"/>
      <c r="H152" s="165">
        <v>27</v>
      </c>
    </row>
    <row r="153" spans="1:9" ht="15" x14ac:dyDescent="0.25">
      <c r="A153"/>
      <c r="B153" s="215">
        <f>+GETPIVOTDATA("36. Considero que el programa académico al cual pertenezco se preocupa permanentemente por la actualización de los contenidos programáticos de los diferentes espacios académicos.",$A$150,"36. Considero que el programa académico al cual pertenezco se preocupa permanentemente por la actualización de los contenidos programáticos de los diferentes espacios académicos.","Totalmente en desacuerdo / NO")/GETPIVOTDATA("36. Considero que el programa académico al cual pertenezco se preocupa permanentemente por la actualización de los contenidos programáticos de los diferentes espacios académicos.",$A$150)</f>
        <v>3.7037037037037035E-2</v>
      </c>
      <c r="C153" s="217">
        <f>+GETPIVOTDATA("36. Considero que el programa académico al cual pertenezco se preocupa permanentemente por la actualización de los contenidos programáticos de los diferentes espacios académicos.",$A$150,"36. Considero que el programa académico al cual pertenezco se preocupa permanentemente por la actualización de los contenidos programáticos de los diferentes espacios académicos.","Medianamente de acuerdo")/GETPIVOTDATA("36. Considero que el programa académico al cual pertenezco se preocupa permanentemente por la actualización de los contenidos programáticos de los diferentes espacios académicos.",$A$150)</f>
        <v>0.1111111111111111</v>
      </c>
      <c r="D153" s="217">
        <f>+GETPIVOTDATA("36. Considero que el programa académico al cual pertenezco se preocupa permanentemente por la actualización de los contenidos programáticos de los diferentes espacios académicos.",$A$150,"36. Considero que el programa académico al cual pertenezco se preocupa permanentemente por la actualización de los contenidos programáticos de los diferentes espacios académicos.","De acuerdo")/GETPIVOTDATA("36. Considero que el programa académico al cual pertenezco se preocupa permanentemente por la actualización de los contenidos programáticos de los diferentes espacios académicos.",$A$150)</f>
        <v>0.40740740740740738</v>
      </c>
      <c r="E153" s="217">
        <f>+GETPIVOTDATA("36. Considero que el programa académico al cual pertenezco se preocupa permanentemente por la actualización de los contenidos programáticos de los diferentes espacios académicos.",$A$150,"36. Considero que el programa académico al cual pertenezco se preocupa permanentemente por la actualización de los contenidos programáticos de los diferentes espacios académicos.","Totalmente de acuerdo / SI")/GETPIVOTDATA("36. Considero que el programa académico al cual pertenezco se preocupa permanentemente por la actualización de los contenidos programáticos de los diferentes espacios académicos.",$A$150)</f>
        <v>0.40740740740740738</v>
      </c>
      <c r="F153" s="217">
        <f>+GETPIVOTDATA("36. Considero que el programa académico al cual pertenezco se preocupa permanentemente por la actualización de los contenidos programáticos de los diferentes espacios académicos.",$A$150,"36. Considero que el programa académico al cual pertenezco se preocupa permanentemente por la actualización de los contenidos programáticos de los diferentes espacios académicos.","No sabe / No puede opinar al respecto")/GETPIVOTDATA("36. Considero que el programa académico al cual pertenezco se preocupa permanentemente por la actualización de los contenidos programáticos de los diferentes espacios académicos.",$A$150)</f>
        <v>3.7037037037037035E-2</v>
      </c>
      <c r="I153" s="217">
        <f>SUM(B153:H153)</f>
        <v>1</v>
      </c>
    </row>
    <row r="154" spans="1:9" ht="15" x14ac:dyDescent="0.25">
      <c r="A154"/>
      <c r="B154" s="164" t="s">
        <v>2816</v>
      </c>
      <c r="C154"/>
      <c r="D154"/>
      <c r="E154"/>
      <c r="F154"/>
      <c r="G154"/>
      <c r="H154"/>
      <c r="I154"/>
    </row>
    <row r="155" spans="1:9" ht="15" x14ac:dyDescent="0.25">
      <c r="A155"/>
      <c r="B155" t="s">
        <v>1093</v>
      </c>
      <c r="C155" t="s">
        <v>1</v>
      </c>
      <c r="D155" t="s">
        <v>2</v>
      </c>
      <c r="E155" t="s">
        <v>3</v>
      </c>
      <c r="F155" t="s">
        <v>1092</v>
      </c>
      <c r="G155" t="s">
        <v>5</v>
      </c>
      <c r="H155" t="s">
        <v>1358</v>
      </c>
      <c r="I155" t="s">
        <v>1096</v>
      </c>
    </row>
    <row r="156" spans="1:9" ht="90" x14ac:dyDescent="0.25">
      <c r="A156" s="166" t="s">
        <v>1375</v>
      </c>
      <c r="B156" s="165">
        <v>2</v>
      </c>
      <c r="C156" s="165">
        <v>3</v>
      </c>
      <c r="D156" s="165">
        <v>8</v>
      </c>
      <c r="E156" s="165">
        <v>8</v>
      </c>
      <c r="F156" s="165">
        <v>4</v>
      </c>
      <c r="G156" s="165">
        <v>2</v>
      </c>
      <c r="H156" s="165"/>
      <c r="I156" s="165">
        <v>27</v>
      </c>
    </row>
    <row r="157" spans="1:9" ht="15" x14ac:dyDescent="0.25">
      <c r="A157"/>
      <c r="B157" s="215">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","Totalmente en desacuerdo / NO")/GETPIVOTDATA("37. Considero que el programa académico al cual pertenezco reflexiona permanentemente sobre los métodos de enseñanza- aprendizaje empleados. ",$A$154)</f>
        <v>7.407407407407407E-2</v>
      </c>
      <c r="C157" s="217">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","En desacuerdo")/GETPIVOTDATA("37. Considero que el programa académico al cual pertenezco reflexiona permanentemente sobre los métodos de enseñanza- aprendizaje empleados. ",$A$154)</f>
        <v>0.1111111111111111</v>
      </c>
      <c r="D157" s="217">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","Medianamente de acuerdo")/GETPIVOTDATA("37. Considero que el programa académico al cual pertenezco reflexiona permanentemente sobre los métodos de enseñanza- aprendizaje empleados. ",$A$154)</f>
        <v>0.29629629629629628</v>
      </c>
      <c r="E157" s="217">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","De acuerdo")/GETPIVOTDATA("37. Considero que el programa académico al cual pertenezco reflexiona permanentemente sobre los métodos de enseñanza- aprendizaje empleados. ",$A$154)</f>
        <v>0.29629629629629628</v>
      </c>
      <c r="F157" s="217">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","Totalmente de acuerdo / SI")/GETPIVOTDATA("37. Considero que el programa académico al cual pertenezco reflexiona permanentemente sobre los métodos de enseñanza- aprendizaje empleados. ",$A$154)</f>
        <v>0.14814814814814814</v>
      </c>
      <c r="G157" s="217">
        <f>+GETPIVOTDATA("37. Considero que el programa académico al cual pertenezco reflexiona permanentemente sobre los métodos de enseñanza- aprendizaje empleados. ",$A$154,"37. Considero que el programa académico al cual pertenezco reflexiona permanentemente sobre los métodos de enseñanza- aprendizaje empleados. ","No sabe / No puede opinar al respecto")/GETPIVOTDATA("37. Considero que el programa académico al cual pertenezco reflexiona permanentemente sobre los métodos de enseñanza- aprendizaje empleados. ",$A$154)</f>
        <v>7.407407407407407E-2</v>
      </c>
      <c r="I157" s="217">
        <f>SUM(B157:H157)</f>
        <v>0.99999999999999989</v>
      </c>
    </row>
    <row r="158" spans="1:9" ht="15" x14ac:dyDescent="0.25">
      <c r="A158"/>
      <c r="B158" s="164" t="s">
        <v>2816</v>
      </c>
      <c r="C158"/>
      <c r="D158"/>
      <c r="E158"/>
      <c r="F158"/>
      <c r="G158"/>
      <c r="H158"/>
    </row>
    <row r="159" spans="1:9" ht="15" x14ac:dyDescent="0.25">
      <c r="A159"/>
      <c r="B159" t="s">
        <v>1093</v>
      </c>
      <c r="C159" t="s">
        <v>2</v>
      </c>
      <c r="D159" t="s">
        <v>3</v>
      </c>
      <c r="E159" t="s">
        <v>1092</v>
      </c>
      <c r="F159" t="s">
        <v>5</v>
      </c>
      <c r="G159" t="s">
        <v>1358</v>
      </c>
      <c r="H159" t="s">
        <v>1096</v>
      </c>
    </row>
    <row r="160" spans="1:9" ht="75" x14ac:dyDescent="0.25">
      <c r="A160" s="166" t="s">
        <v>1376</v>
      </c>
      <c r="B160" s="165">
        <v>1</v>
      </c>
      <c r="C160" s="165">
        <v>2</v>
      </c>
      <c r="D160" s="165">
        <v>4</v>
      </c>
      <c r="E160" s="165">
        <v>19</v>
      </c>
      <c r="F160" s="165">
        <v>1</v>
      </c>
      <c r="G160" s="165"/>
      <c r="H160" s="165">
        <v>27</v>
      </c>
    </row>
    <row r="161" spans="1:9" ht="15" x14ac:dyDescent="0.25">
      <c r="A161"/>
      <c r="B161" s="215">
        <f>+GETPIVOTDATA("38. Conozco las diferencias entre los programas de formación en ingeniería por ciclos y los programas de ingeniería tradicional.",$A$158,"38. Conozco las diferencias entre los programas de formación en ingeniería por ciclos y los programas de ingeniería tradicional.","Totalmente en desacuerdo / NO")/GETPIVOTDATA("38. Conozco las diferencias entre los programas de formación en ingeniería por ciclos y los programas de ingeniería tradicional.",$A$158)</f>
        <v>3.7037037037037035E-2</v>
      </c>
      <c r="C161" s="217">
        <f>+GETPIVOTDATA("38. Conozco las diferencias entre los programas de formación en ingeniería por ciclos y los programas de ingeniería tradicional.",$A$158,"38. Conozco las diferencias entre los programas de formación en ingeniería por ciclos y los programas de ingeniería tradicional.","Medianamente de acuerdo")/GETPIVOTDATA("38. Conozco las diferencias entre los programas de formación en ingeniería por ciclos y los programas de ingeniería tradicional.",$A$158)</f>
        <v>7.407407407407407E-2</v>
      </c>
      <c r="D161" s="217">
        <f>+GETPIVOTDATA("38. Conozco las diferencias entre los programas de formación en ingeniería por ciclos y los programas de ingeniería tradicional.",$A$158,"38. Conozco las diferencias entre los programas de formación en ingeniería por ciclos y los programas de ingeniería tradicional.","De acuerdo")/GETPIVOTDATA("38. Conozco las diferencias entre los programas de formación en ingeniería por ciclos y los programas de ingeniería tradicional.",$A$158)</f>
        <v>0.14814814814814814</v>
      </c>
      <c r="E161" s="217">
        <f>+GETPIVOTDATA("38. Conozco las diferencias entre los programas de formación en ingeniería por ciclos y los programas de ingeniería tradicional.",$A$158,"38. Conozco las diferencias entre los programas de formación en ingeniería por ciclos y los programas de ingeniería tradicional.","Totalmente de acuerdo / SI")/GETPIVOTDATA("38. Conozco las diferencias entre los programas de formación en ingeniería por ciclos y los programas de ingeniería tradicional.",$A$158)</f>
        <v>0.70370370370370372</v>
      </c>
      <c r="F161" s="217">
        <f>+GETPIVOTDATA("38. Conozco las diferencias entre los programas de formación en ingeniería por ciclos y los programas de ingeniería tradicional.",$A$158,"38. Conozco las diferencias entre los programas de formación en ingeniería por ciclos y los programas de ingeniería tradicional.","No sabe / No puede opinar al respecto")/GETPIVOTDATA("38. Conozco las diferencias entre los programas de formación en ingeniería por ciclos y los programas de ingeniería tradicional.",$A$158)</f>
        <v>3.7037037037037035E-2</v>
      </c>
      <c r="I161" s="217">
        <f>SUM(B161:H161)</f>
        <v>1</v>
      </c>
    </row>
    <row r="162" spans="1:9" ht="15" x14ac:dyDescent="0.25">
      <c r="A162"/>
      <c r="B162" s="164" t="s">
        <v>2816</v>
      </c>
      <c r="C162"/>
      <c r="D162"/>
      <c r="E162"/>
      <c r="F162"/>
      <c r="G162"/>
      <c r="H162"/>
    </row>
    <row r="163" spans="1:9" ht="15" x14ac:dyDescent="0.25">
      <c r="A163"/>
      <c r="B163" t="s">
        <v>1093</v>
      </c>
      <c r="C163" t="s">
        <v>1</v>
      </c>
      <c r="D163" t="s">
        <v>2</v>
      </c>
      <c r="E163" t="s">
        <v>3</v>
      </c>
      <c r="F163" t="s">
        <v>1092</v>
      </c>
      <c r="G163" t="s">
        <v>1358</v>
      </c>
      <c r="H163" t="s">
        <v>1096</v>
      </c>
    </row>
    <row r="164" spans="1:9" ht="60" x14ac:dyDescent="0.25">
      <c r="A164" s="166" t="s">
        <v>1377</v>
      </c>
      <c r="B164" s="165">
        <v>1</v>
      </c>
      <c r="C164" s="165">
        <v>1</v>
      </c>
      <c r="D164" s="165">
        <v>2</v>
      </c>
      <c r="E164" s="165">
        <v>6</v>
      </c>
      <c r="F164" s="165">
        <v>17</v>
      </c>
      <c r="G164" s="165"/>
      <c r="H164" s="165">
        <v>27</v>
      </c>
    </row>
    <row r="165" spans="1:9" ht="15" x14ac:dyDescent="0.25">
      <c r="A165"/>
      <c r="B165" s="215">
        <f>+GETPIVOTDATA("39. Tengo claro qué es y para qué sirve el componente propedéutico en un programa de ingeniería por ciclos.",$A$162,"39. Tengo claro qué es y para qué sirve el componente propedéutico en un programa de ingeniería por ciclos.","Totalmente en desacuerdo / NO")/GETPIVOTDATA("39. Tengo claro qué es y para qué sirve el componente propedéutico en un programa de ingeniería por ciclos.",$A$162)</f>
        <v>3.7037037037037035E-2</v>
      </c>
      <c r="C165" s="217">
        <f>+GETPIVOTDATA("39. Tengo claro qué es y para qué sirve el componente propedéutico en un programa de ingeniería por ciclos.",$A$162,"39. Tengo claro qué es y para qué sirve el componente propedéutico en un programa de ingeniería por ciclos.","En desacuerdo")/GETPIVOTDATA("39. Tengo claro qué es y para qué sirve el componente propedéutico en un programa de ingeniería por ciclos.",$A$162)</f>
        <v>3.7037037037037035E-2</v>
      </c>
      <c r="D165" s="217">
        <f>+GETPIVOTDATA("39. Tengo claro qué es y para qué sirve el componente propedéutico en un programa de ingeniería por ciclos.",$A$162,"39. Tengo claro qué es y para qué sirve el componente propedéutico en un programa de ingeniería por ciclos.","Medianamente de acuerdo")/GETPIVOTDATA("39. Tengo claro qué es y para qué sirve el componente propedéutico en un programa de ingeniería por ciclos.",$A$162)</f>
        <v>7.407407407407407E-2</v>
      </c>
      <c r="E165" s="217">
        <f>+GETPIVOTDATA("39. Tengo claro qué es y para qué sirve el componente propedéutico en un programa de ingeniería por ciclos.",$A$162,"39. Tengo claro qué es y para qué sirve el componente propedéutico en un programa de ingeniería por ciclos.","De acuerdo")/GETPIVOTDATA("39. Tengo claro qué es y para qué sirve el componente propedéutico en un programa de ingeniería por ciclos.",$A$162)</f>
        <v>0.22222222222222221</v>
      </c>
      <c r="F165" s="217">
        <f>+GETPIVOTDATA("39. Tengo claro qué es y para qué sirve el componente propedéutico en un programa de ingeniería por ciclos.",$A$162,"39. Tengo claro qué es y para qué sirve el componente propedéutico en un programa de ingeniería por ciclos.","Totalmente de acuerdo / SI")/GETPIVOTDATA("39. Tengo claro qué es y para qué sirve el componente propedéutico en un programa de ingeniería por ciclos.",$A$162)</f>
        <v>0.62962962962962965</v>
      </c>
      <c r="I165" s="217">
        <f>SUM(B165:H165)</f>
        <v>1</v>
      </c>
    </row>
    <row r="166" spans="1:9" ht="15" x14ac:dyDescent="0.25">
      <c r="A166"/>
      <c r="B166" s="164" t="s">
        <v>2816</v>
      </c>
      <c r="C166"/>
      <c r="D166"/>
      <c r="E166"/>
      <c r="F166"/>
    </row>
    <row r="167" spans="1:9" ht="15" x14ac:dyDescent="0.25">
      <c r="A167"/>
      <c r="B167" t="s">
        <v>3</v>
      </c>
      <c r="C167" t="s">
        <v>1092</v>
      </c>
      <c r="D167" t="s">
        <v>5</v>
      </c>
      <c r="E167" t="s">
        <v>1358</v>
      </c>
      <c r="F167" t="s">
        <v>1096</v>
      </c>
    </row>
    <row r="168" spans="1:9" ht="60" x14ac:dyDescent="0.25">
      <c r="A168" s="166" t="s">
        <v>1378</v>
      </c>
      <c r="B168" s="165">
        <v>5</v>
      </c>
      <c r="C168" s="165">
        <v>21</v>
      </c>
      <c r="D168" s="165">
        <v>1</v>
      </c>
      <c r="E168" s="165"/>
      <c r="F168" s="165">
        <v>27</v>
      </c>
    </row>
    <row r="169" spans="1:9" ht="15" x14ac:dyDescent="0.25">
      <c r="A169"/>
      <c r="B169" s="215">
        <f>+GETPIVOTDATA("40. Considero que ser tecnólogo brinda oportunidades para la vinculación en el mercado laboral.",$A$166,"40. Considero que ser tecnólogo brinda oportunidades para la vinculación en el mercado laboral.","De acuerdo")/GETPIVOTDATA("40. Considero que ser tecnólogo brinda oportunidades para la vinculación en el mercado laboral.",$A$166)</f>
        <v>0.18518518518518517</v>
      </c>
      <c r="C169" s="217">
        <f>+GETPIVOTDATA("40. Considero que ser tecnólogo brinda oportunidades para la vinculación en el mercado laboral.",$A$166,"40. Considero que ser tecnólogo brinda oportunidades para la vinculación en el mercado laboral.","Totalmente de acuerdo / SI")/GETPIVOTDATA("40. Considero que ser tecnólogo brinda oportunidades para la vinculación en el mercado laboral.",$A$166)</f>
        <v>0.77777777777777779</v>
      </c>
      <c r="D169" s="217">
        <f>+GETPIVOTDATA("40. Considero que ser tecnólogo brinda oportunidades para la vinculación en el mercado laboral.",$A$166,"40. Considero que ser tecnólogo brinda oportunidades para la vinculación en el mercado laboral.","No sabe / No puede opinar al respecto")/GETPIVOTDATA("40. Considero que ser tecnólogo brinda oportunidades para la vinculación en el mercado laboral.",$A$166)</f>
        <v>3.7037037037037035E-2</v>
      </c>
      <c r="I169" s="217">
        <f>SUM(B169:H169)</f>
        <v>1</v>
      </c>
    </row>
    <row r="170" spans="1:9" ht="15" x14ac:dyDescent="0.25">
      <c r="A170"/>
      <c r="B170" s="164" t="s">
        <v>2816</v>
      </c>
      <c r="C170"/>
      <c r="D170"/>
      <c r="E170"/>
      <c r="F170"/>
      <c r="G170"/>
      <c r="H170"/>
    </row>
    <row r="171" spans="1:9" ht="15" x14ac:dyDescent="0.25">
      <c r="A171"/>
      <c r="B171" t="s">
        <v>1093</v>
      </c>
      <c r="C171" t="s">
        <v>2</v>
      </c>
      <c r="D171" t="s">
        <v>3</v>
      </c>
      <c r="E171" t="s">
        <v>1092</v>
      </c>
      <c r="F171" t="s">
        <v>5</v>
      </c>
      <c r="G171" t="s">
        <v>1358</v>
      </c>
      <c r="H171" t="s">
        <v>1096</v>
      </c>
    </row>
    <row r="172" spans="1:9" ht="45" x14ac:dyDescent="0.25">
      <c r="A172" s="166" t="s">
        <v>1379</v>
      </c>
      <c r="B172" s="165">
        <v>1</v>
      </c>
      <c r="C172" s="165">
        <v>1</v>
      </c>
      <c r="D172" s="165">
        <v>7</v>
      </c>
      <c r="E172" s="165">
        <v>17</v>
      </c>
      <c r="F172" s="165">
        <v>1</v>
      </c>
      <c r="G172" s="165"/>
      <c r="H172" s="165">
        <v>27</v>
      </c>
    </row>
    <row r="173" spans="1:9" ht="15" x14ac:dyDescent="0.25">
      <c r="A173"/>
      <c r="B173" s="215">
        <f>+GETPIVOTDATA("41. Considero que ser ingeniero mejora las condiciones laborales del tecnólogo. ",$A$170,"41. Considero que ser ingeniero mejora las condiciones laborales del tecnólogo. ","Totalmente en desacuerdo / NO")/GETPIVOTDATA("41. Considero que ser ingeniero mejora las condiciones laborales del tecnólogo. ",$A$170)</f>
        <v>3.7037037037037035E-2</v>
      </c>
      <c r="C173" s="217">
        <f>+GETPIVOTDATA("41. Considero que ser ingeniero mejora las condiciones laborales del tecnólogo. ",$A$170,"41. Considero que ser ingeniero mejora las condiciones laborales del tecnólogo. ","Medianamente de acuerdo")/GETPIVOTDATA("41. Considero que ser ingeniero mejora las condiciones laborales del tecnólogo. ",$A$170)</f>
        <v>3.7037037037037035E-2</v>
      </c>
      <c r="D173" s="217">
        <f>+GETPIVOTDATA("41. Considero que ser ingeniero mejora las condiciones laborales del tecnólogo. ",$A$170,"41. Considero que ser ingeniero mejora las condiciones laborales del tecnólogo. ","De acuerdo")/GETPIVOTDATA("41. Considero que ser ingeniero mejora las condiciones laborales del tecnólogo. ",$A$170)</f>
        <v>0.25925925925925924</v>
      </c>
      <c r="E173" s="217">
        <f>+GETPIVOTDATA("41. Considero que ser ingeniero mejora las condiciones laborales del tecnólogo. ",$A$170,"41. Considero que ser ingeniero mejora las condiciones laborales del tecnólogo. ","Totalmente de acuerdo / SI")/GETPIVOTDATA("41. Considero que ser ingeniero mejora las condiciones laborales del tecnólogo. ",$A$170)</f>
        <v>0.62962962962962965</v>
      </c>
      <c r="F173" s="217">
        <f>+GETPIVOTDATA("41. Considero que ser ingeniero mejora las condiciones laborales del tecnólogo. ",$A$170,"41. Considero que ser ingeniero mejora las condiciones laborales del tecnólogo. ","No sabe / No puede opinar al respecto")/GETPIVOTDATA("41. Considero que ser ingeniero mejora las condiciones laborales del tecnólogo. ",$A$170)</f>
        <v>3.7037037037037035E-2</v>
      </c>
      <c r="I173" s="217">
        <f>SUM(B173:H173)</f>
        <v>1</v>
      </c>
    </row>
    <row r="174" spans="1:9" ht="15" x14ac:dyDescent="0.25">
      <c r="A174"/>
      <c r="B174" s="164" t="s">
        <v>2816</v>
      </c>
      <c r="C174"/>
      <c r="D174"/>
      <c r="E174"/>
      <c r="F174"/>
      <c r="G174"/>
      <c r="H174"/>
      <c r="I174"/>
    </row>
    <row r="175" spans="1:9" ht="15" x14ac:dyDescent="0.25">
      <c r="A175"/>
      <c r="B175" t="s">
        <v>1093</v>
      </c>
      <c r="C175" t="s">
        <v>1</v>
      </c>
      <c r="D175" t="s">
        <v>2</v>
      </c>
      <c r="E175" t="s">
        <v>3</v>
      </c>
      <c r="F175" t="s">
        <v>1092</v>
      </c>
      <c r="G175" t="s">
        <v>5</v>
      </c>
      <c r="H175" t="s">
        <v>1358</v>
      </c>
      <c r="I175" t="s">
        <v>1096</v>
      </c>
    </row>
    <row r="176" spans="1:9" ht="75" x14ac:dyDescent="0.25">
      <c r="A176" s="166" t="s">
        <v>1380</v>
      </c>
      <c r="B176" s="165">
        <v>1</v>
      </c>
      <c r="C176" s="165">
        <v>1</v>
      </c>
      <c r="D176" s="165">
        <v>2</v>
      </c>
      <c r="E176" s="165">
        <v>6</v>
      </c>
      <c r="F176" s="165">
        <v>16</v>
      </c>
      <c r="G176" s="165">
        <v>1</v>
      </c>
      <c r="H176" s="165"/>
      <c r="I176" s="165">
        <v>27</v>
      </c>
    </row>
    <row r="177" spans="1:9" ht="15" x14ac:dyDescent="0.25">
      <c r="A177"/>
      <c r="B177" s="215">
        <f>+GETPIVOTDATA("42. Considero que el paso por el nivel de ingeniería  mejora las competencias que se han desarrollado en el nivel tecnológico. ",$A$174,"42. Considero que el paso por el nivel de ingeniería  mejora las competencias que se han desarrollado en el nivel tecnológico. ","Totalmente en desacuerdo / NO")/GETPIVOTDATA("42. Considero que el paso por el nivel de ingeniería  mejora las competencias que se han desarrollado en el nivel tecnológico. ",$A$174)</f>
        <v>3.7037037037037035E-2</v>
      </c>
      <c r="C177" s="217">
        <f>+GETPIVOTDATA("42. Considero que el paso por el nivel de ingeniería  mejora las competencias que se han desarrollado en el nivel tecnológico. ",$A$174,"42. Considero que el paso por el nivel de ingeniería  mejora las competencias que se han desarrollado en el nivel tecnológico. ","En desacuerdo")/GETPIVOTDATA("42. Considero que el paso por el nivel de ingeniería  mejora las competencias que se han desarrollado en el nivel tecnológico. ",$A$174)</f>
        <v>3.7037037037037035E-2</v>
      </c>
      <c r="D177" s="217">
        <f>+GETPIVOTDATA("42. Considero que el paso por el nivel de ingeniería  mejora las competencias que se han desarrollado en el nivel tecnológico. ",$A$174,"42. Considero que el paso por el nivel de ingeniería  mejora las competencias que se han desarrollado en el nivel tecnológico. ","Medianamente de acuerdo")/GETPIVOTDATA("42. Considero que el paso por el nivel de ingeniería  mejora las competencias que se han desarrollado en el nivel tecnológico. ",$A$174)</f>
        <v>7.407407407407407E-2</v>
      </c>
      <c r="E177" s="217">
        <f>+GETPIVOTDATA("42. Considero que el paso por el nivel de ingeniería  mejora las competencias que se han desarrollado en el nivel tecnológico. ",$A$174,"42. Considero que el paso por el nivel de ingeniería  mejora las competencias que se han desarrollado en el nivel tecnológico. ","De acuerdo")/GETPIVOTDATA("42. Considero que el paso por el nivel de ingeniería  mejora las competencias que se han desarrollado en el nivel tecnológico. ",$A$174)</f>
        <v>0.22222222222222221</v>
      </c>
      <c r="F177" s="217">
        <f>+GETPIVOTDATA("42. Considero que el paso por el nivel de ingeniería  mejora las competencias que se han desarrollado en el nivel tecnológico. ",$A$174,"42. Considero que el paso por el nivel de ingeniería  mejora las competencias que se han desarrollado en el nivel tecnológico. ","Totalmente de acuerdo / SI")/GETPIVOTDATA("42. Considero que el paso por el nivel de ingeniería  mejora las competencias que se han desarrollado en el nivel tecnológico. ",$A$174)</f>
        <v>0.59259259259259256</v>
      </c>
      <c r="G177" s="217">
        <f>+GETPIVOTDATA("42. Considero que el paso por el nivel de ingeniería  mejora las competencias que se han desarrollado en el nivel tecnológico. ",$A$174,"42. Considero que el paso por el nivel de ingeniería  mejora las competencias que se han desarrollado en el nivel tecnológico. ","No sabe / No puede opinar al respecto")/GETPIVOTDATA("42. Considero que el paso por el nivel de ingeniería  mejora las competencias que se han desarrollado en el nivel tecnológico. ",$A$174)</f>
        <v>3.7037037037037035E-2</v>
      </c>
      <c r="I177" s="217">
        <f>SUM(B177:H177)</f>
        <v>1</v>
      </c>
    </row>
    <row r="178" spans="1:9" ht="15" x14ac:dyDescent="0.25">
      <c r="A178"/>
      <c r="B178" s="164" t="s">
        <v>2816</v>
      </c>
      <c r="C178"/>
      <c r="D178"/>
      <c r="E178"/>
      <c r="F178"/>
      <c r="G178"/>
      <c r="H178"/>
    </row>
    <row r="179" spans="1:9" ht="15" x14ac:dyDescent="0.25">
      <c r="A179"/>
      <c r="B179" t="s">
        <v>1093</v>
      </c>
      <c r="C179" t="s">
        <v>2</v>
      </c>
      <c r="D179" t="s">
        <v>3</v>
      </c>
      <c r="E179" t="s">
        <v>1092</v>
      </c>
      <c r="F179" t="s">
        <v>5</v>
      </c>
      <c r="G179" t="s">
        <v>1358</v>
      </c>
      <c r="H179" t="s">
        <v>1096</v>
      </c>
    </row>
    <row r="180" spans="1:9" ht="60" x14ac:dyDescent="0.25">
      <c r="A180" s="166" t="s">
        <v>1381</v>
      </c>
      <c r="B180" s="165">
        <v>1</v>
      </c>
      <c r="C180" s="165">
        <v>2</v>
      </c>
      <c r="D180" s="165">
        <v>10</v>
      </c>
      <c r="E180" s="165">
        <v>12</v>
      </c>
      <c r="F180" s="165">
        <v>2</v>
      </c>
      <c r="G180" s="165"/>
      <c r="H180" s="165">
        <v>27</v>
      </c>
    </row>
    <row r="181" spans="1:9" ht="15" x14ac:dyDescent="0.25">
      <c r="A181"/>
      <c r="B181" s="215">
        <f>+GETPIVOTDATA("43. Conozco cuales son los criterios, políticas y reglamentación de la evaluación académica de los estudiantes.  ",$A$178,"43. Conozco cuales son los criterios, políticas y reglamentación de la evaluación académica de los estudiantes.  ","Totalmente en desacuerdo / NO")/GETPIVOTDATA("43. Conozco cuales son los criterios, políticas y reglamentación de la evaluación académica de los estudiantes.  ",$A$178)</f>
        <v>3.7037037037037035E-2</v>
      </c>
      <c r="C181" s="217">
        <f>+GETPIVOTDATA("43. Conozco cuales son los criterios, políticas y reglamentación de la evaluación académica de los estudiantes.  ",$A$178,"43. Conozco cuales son los criterios, políticas y reglamentación de la evaluación académica de los estudiantes.  ","Medianamente de acuerdo")/GETPIVOTDATA("43. Conozco cuales son los criterios, políticas y reglamentación de la evaluación académica de los estudiantes.  ",$A$178)</f>
        <v>7.407407407407407E-2</v>
      </c>
      <c r="D181" s="217">
        <f>+GETPIVOTDATA("43. Conozco cuales son los criterios, políticas y reglamentación de la evaluación académica de los estudiantes.  ",$A$178,"43. Conozco cuales son los criterios, políticas y reglamentación de la evaluación académica de los estudiantes.  ","De acuerdo")/GETPIVOTDATA("43. Conozco cuales son los criterios, políticas y reglamentación de la evaluación académica de los estudiantes.  ",$A$178)</f>
        <v>0.37037037037037035</v>
      </c>
      <c r="E181" s="217">
        <f>+GETPIVOTDATA("43. Conozco cuales son los criterios, políticas y reglamentación de la evaluación académica de los estudiantes.  ",$A$178,"43. Conozco cuales son los criterios, políticas y reglamentación de la evaluación académica de los estudiantes.  ","Totalmente de acuerdo / SI")/GETPIVOTDATA("43. Conozco cuales son los criterios, políticas y reglamentación de la evaluación académica de los estudiantes.  ",$A$178)</f>
        <v>0.44444444444444442</v>
      </c>
      <c r="F181" s="217">
        <f>+GETPIVOTDATA("43. Conozco cuales son los criterios, políticas y reglamentación de la evaluación académica de los estudiantes.  ",$A$178,"43. Conozco cuales son los criterios, políticas y reglamentación de la evaluación académica de los estudiantes.  ","No sabe / No puede opinar al respecto")/GETPIVOTDATA("43. Conozco cuales son los criterios, políticas y reglamentación de la evaluación académica de los estudiantes.  ",$A$178)</f>
        <v>7.407407407407407E-2</v>
      </c>
      <c r="I181" s="217">
        <f>SUM(B181:H181)</f>
        <v>0.99999999999999989</v>
      </c>
    </row>
    <row r="182" spans="1:9" ht="15" x14ac:dyDescent="0.25">
      <c r="A182"/>
      <c r="B182" s="164" t="s">
        <v>2816</v>
      </c>
      <c r="C182"/>
      <c r="D182"/>
      <c r="E182"/>
      <c r="F182"/>
      <c r="G182"/>
    </row>
    <row r="183" spans="1:9" ht="15" x14ac:dyDescent="0.25">
      <c r="A183"/>
      <c r="B183" t="s">
        <v>1</v>
      </c>
      <c r="C183" t="s">
        <v>2</v>
      </c>
      <c r="D183" t="s">
        <v>3</v>
      </c>
      <c r="E183" t="s">
        <v>1092</v>
      </c>
      <c r="F183" t="s">
        <v>1358</v>
      </c>
      <c r="G183" t="s">
        <v>1096</v>
      </c>
    </row>
    <row r="184" spans="1:9" ht="90" x14ac:dyDescent="0.25">
      <c r="A184" s="166" t="s">
        <v>1382</v>
      </c>
      <c r="B184" s="165">
        <v>2</v>
      </c>
      <c r="C184" s="165">
        <v>6</v>
      </c>
      <c r="D184" s="165">
        <v>12</v>
      </c>
      <c r="E184" s="165">
        <v>7</v>
      </c>
      <c r="F184" s="165"/>
      <c r="G184" s="165">
        <v>27</v>
      </c>
    </row>
    <row r="185" spans="1:9" ht="15" x14ac:dyDescent="0.25">
      <c r="A185"/>
      <c r="B185" s="215">
        <f>+GETPIVOTDATA("44. Considero que los métodos de evaluación empleados en el programa académico al cual pertenezco permiten evaluar la adquisición de competencias profesionales por  los estudiantes. ",$A$182,"44. Considero que los métodos de evaluación empleados en el programa académico al cual pertenezco permiten evaluar la adquisición de competencias profesionales por  los estudiantes. ","En desacuerdo")/GETPIVOTDATA("44. Considero que los métodos de evaluación empleados en el programa académico al cual pertenezco permiten evaluar la adquisición de competencias profesionales por  los estudiantes. ",$A$182)</f>
        <v>7.407407407407407E-2</v>
      </c>
      <c r="C185" s="217">
        <f>+GETPIVOTDATA("44. Considero que los métodos de evaluación empleados en el programa académico al cual pertenezco permiten evaluar la adquisición de competencias profesionales por  los estudiantes. ",$A$182,"44. Considero que los métodos de evaluación empleados en el programa académico al cual pertenezco permiten evaluar la adquisición de competencias profesionales por  los estudiantes. ","Medianamente de acuerdo")/GETPIVOTDATA("44. Considero que los métodos de evaluación empleados en el programa académico al cual pertenezco permiten evaluar la adquisición de competencias profesionales por  los estudiantes. ",$A$182)</f>
        <v>0.22222222222222221</v>
      </c>
      <c r="D185" s="217">
        <f>+GETPIVOTDATA("44. Considero que los métodos de evaluación empleados en el programa académico al cual pertenezco permiten evaluar la adquisición de competencias profesionales por  los estudiantes. ",$A$182,"44. Considero que los métodos de evaluación empleados en el programa académico al cual pertenezco permiten evaluar la adquisición de competencias profesionales por  los estudiantes. ","De acuerdo")/GETPIVOTDATA("44. Considero que los métodos de evaluación empleados en el programa académico al cual pertenezco permiten evaluar la adquisición de competencias profesionales por  los estudiantes. ",$A$182)</f>
        <v>0.44444444444444442</v>
      </c>
      <c r="E185" s="217">
        <f>+GETPIVOTDATA("44. Considero que los métodos de evaluación empleados en el programa académico al cual pertenezco permiten evaluar la adquisición de competencias profesionales por  los estudiantes. ",$A$182,"44. Considero que los métodos de evaluación empleados en el programa académico al cual pertenezco permiten evaluar la adquisición de competencias profesionales por  los estudiantes. ","Totalmente de acuerdo / SI")/GETPIVOTDATA("44. Considero que los métodos de evaluación empleados en el programa académico al cual pertenezco permiten evaluar la adquisición de competencias profesionales por  los estudiantes. ",$A$182)</f>
        <v>0.25925925925925924</v>
      </c>
      <c r="I185" s="217">
        <f>SUM(B185:H185)</f>
        <v>1</v>
      </c>
    </row>
    <row r="186" spans="1:9" ht="15" x14ac:dyDescent="0.25">
      <c r="A186"/>
      <c r="B186" s="164" t="s">
        <v>2816</v>
      </c>
      <c r="C186"/>
      <c r="D186"/>
      <c r="E186"/>
      <c r="F186"/>
      <c r="G186"/>
      <c r="H186"/>
      <c r="I186"/>
    </row>
    <row r="187" spans="1:9" ht="15" x14ac:dyDescent="0.25">
      <c r="A187"/>
      <c r="B187" t="s">
        <v>1093</v>
      </c>
      <c r="C187" t="s">
        <v>1</v>
      </c>
      <c r="D187" t="s">
        <v>2</v>
      </c>
      <c r="E187" t="s">
        <v>3</v>
      </c>
      <c r="F187" t="s">
        <v>1092</v>
      </c>
      <c r="G187" t="s">
        <v>5</v>
      </c>
      <c r="H187" t="s">
        <v>1358</v>
      </c>
      <c r="I187" t="s">
        <v>1096</v>
      </c>
    </row>
    <row r="188" spans="1:9" ht="75" x14ac:dyDescent="0.25">
      <c r="A188" s="166" t="s">
        <v>1383</v>
      </c>
      <c r="B188" s="165">
        <v>1</v>
      </c>
      <c r="C188" s="165">
        <v>1</v>
      </c>
      <c r="D188" s="165">
        <v>3</v>
      </c>
      <c r="E188" s="165">
        <v>16</v>
      </c>
      <c r="F188" s="165">
        <v>5</v>
      </c>
      <c r="G188" s="165">
        <v>1</v>
      </c>
      <c r="H188" s="165"/>
      <c r="I188" s="165">
        <v>27</v>
      </c>
    </row>
    <row r="189" spans="1:9" ht="15" x14ac:dyDescent="0.25">
      <c r="A189"/>
      <c r="B189" s="215">
        <f>+GETPIVOTDATA("45. El programa académico al cual pertenezco incentiva el desarrollo de trabajos de aula con contenido investigativo.",$A$186,"45. El programa académico al cual pertenezco incentiva el desarrollo de trabajos de aula con contenido investigativo.","Totalmente en desacuerdo / NO")/GETPIVOTDATA("45. El programa académico al cual pertenezco incentiva el desarrollo de trabajos de aula con contenido investigativo.",$A$186)</f>
        <v>3.7037037037037035E-2</v>
      </c>
      <c r="C189" s="217">
        <f>+GETPIVOTDATA("45. El programa académico al cual pertenezco incentiva el desarrollo de trabajos de aula con contenido investigativo.",$A$186,"45. El programa académico al cual pertenezco incentiva el desarrollo de trabajos de aula con contenido investigativo.","En desacuerdo")/GETPIVOTDATA("45. El programa académico al cual pertenezco incentiva el desarrollo de trabajos de aula con contenido investigativo.",$A$186)</f>
        <v>3.7037037037037035E-2</v>
      </c>
      <c r="D189" s="217">
        <f>+GETPIVOTDATA("45. El programa académico al cual pertenezco incentiva el desarrollo de trabajos de aula con contenido investigativo.",$A$186,"45. El programa académico al cual pertenezco incentiva el desarrollo de trabajos de aula con contenido investigativo.","Medianamente de acuerdo")/GETPIVOTDATA("45. El programa académico al cual pertenezco incentiva el desarrollo de trabajos de aula con contenido investigativo.",$A$186)</f>
        <v>0.1111111111111111</v>
      </c>
      <c r="E189" s="217">
        <f>+GETPIVOTDATA("45. El programa académico al cual pertenezco incentiva el desarrollo de trabajos de aula con contenido investigativo.",$A$186,"45. El programa académico al cual pertenezco incentiva el desarrollo de trabajos de aula con contenido investigativo.","De acuerdo")/GETPIVOTDATA("45. El programa académico al cual pertenezco incentiva el desarrollo de trabajos de aula con contenido investigativo.",$A$186)</f>
        <v>0.59259259259259256</v>
      </c>
      <c r="F189" s="217">
        <f>+GETPIVOTDATA("45. El programa académico al cual pertenezco incentiva el desarrollo de trabajos de aula con contenido investigativo.",$A$186,"45. El programa académico al cual pertenezco incentiva el desarrollo de trabajos de aula con contenido investigativo.","Totalmente de acuerdo / SI")/GETPIVOTDATA("45. El programa académico al cual pertenezco incentiva el desarrollo de trabajos de aula con contenido investigativo.",$A$186)</f>
        <v>0.18518518518518517</v>
      </c>
      <c r="G189" s="217">
        <f>+GETPIVOTDATA("45. El programa académico al cual pertenezco incentiva el desarrollo de trabajos de aula con contenido investigativo.",$A$186,"45. El programa académico al cual pertenezco incentiva el desarrollo de trabajos de aula con contenido investigativo.","No sabe / No puede opinar al respecto")/GETPIVOTDATA("45. El programa académico al cual pertenezco incentiva el desarrollo de trabajos de aula con contenido investigativo.",$A$186)</f>
        <v>3.7037037037037035E-2</v>
      </c>
      <c r="I189" s="217">
        <f>SUM(B189:H189)</f>
        <v>0.99999999999999978</v>
      </c>
    </row>
    <row r="190" spans="1:9" ht="15" x14ac:dyDescent="0.25">
      <c r="A190"/>
      <c r="B190" s="164" t="s">
        <v>2816</v>
      </c>
      <c r="C190"/>
      <c r="D190"/>
      <c r="E190"/>
      <c r="F190"/>
      <c r="G190"/>
      <c r="H190"/>
      <c r="I190"/>
    </row>
    <row r="191" spans="1:9" ht="15" x14ac:dyDescent="0.25">
      <c r="A191"/>
      <c r="B191" t="s">
        <v>1093</v>
      </c>
      <c r="C191" t="s">
        <v>1</v>
      </c>
      <c r="D191" t="s">
        <v>2</v>
      </c>
      <c r="E191" t="s">
        <v>3</v>
      </c>
      <c r="F191" t="s">
        <v>1092</v>
      </c>
      <c r="G191" t="s">
        <v>5</v>
      </c>
      <c r="H191" t="s">
        <v>1358</v>
      </c>
      <c r="I191" t="s">
        <v>1096</v>
      </c>
    </row>
    <row r="192" spans="1:9" ht="75" x14ac:dyDescent="0.25">
      <c r="A192" s="166" t="s">
        <v>1384</v>
      </c>
      <c r="B192" s="165">
        <v>1</v>
      </c>
      <c r="C192" s="165">
        <v>2</v>
      </c>
      <c r="D192" s="165">
        <v>4</v>
      </c>
      <c r="E192" s="165">
        <v>8</v>
      </c>
      <c r="F192" s="165">
        <v>10</v>
      </c>
      <c r="G192" s="165">
        <v>2</v>
      </c>
      <c r="H192" s="165"/>
      <c r="I192" s="165">
        <v>27</v>
      </c>
    </row>
    <row r="193" spans="1:9" ht="15" x14ac:dyDescent="0.25">
      <c r="A193"/>
      <c r="B193" s="215">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pertenezco.","Totalmente en desacuerdo / NO")/GETPIVOTDATA("46. Conozco los procesos efectuados para la evaluación periódica de la pertinencia y calidad del programa académico al cual pertenezco.",$A$190)</f>
        <v>3.7037037037037035E-2</v>
      </c>
      <c r="C193" s="217">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pertenezco.","En desacuerdo")/GETPIVOTDATA("46. Conozco los procesos efectuados para la evaluación periódica de la pertinencia y calidad del programa académico al cual pertenezco.",$A$190)</f>
        <v>7.407407407407407E-2</v>
      </c>
      <c r="D193" s="217">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pertenezco.","Medianamente de acuerdo")/GETPIVOTDATA("46. Conozco los procesos efectuados para la evaluación periódica de la pertinencia y calidad del programa académico al cual pertenezco.",$A$190)</f>
        <v>0.14814814814814814</v>
      </c>
      <c r="E193" s="217">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pertenezco.","De acuerdo")/GETPIVOTDATA("46. Conozco los procesos efectuados para la evaluación periódica de la pertinencia y calidad del programa académico al cual pertenezco.",$A$190)</f>
        <v>0.29629629629629628</v>
      </c>
      <c r="F193" s="217">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pertenezco.","Totalmente de acuerdo / SI")/GETPIVOTDATA("46. Conozco los procesos efectuados para la evaluación periódica de la pertinencia y calidad del programa académico al cual pertenezco.",$A$190)</f>
        <v>0.37037037037037035</v>
      </c>
      <c r="G193" s="217">
        <f>+GETPIVOTDATA("46. Conozco los procesos efectuados para la evaluación periódica de la pertinencia y calidad del programa académico al cual pertenezco.",$A$190,"46. Conozco los procesos efectuados para la evaluación periódica de la pertinencia y calidad del programa académico al cual pertenezco.","No sabe / No puede opinar al respecto")/GETPIVOTDATA("46. Conozco los procesos efectuados para la evaluación periódica de la pertinencia y calidad del programa académico al cual pertenezco.",$A$190)</f>
        <v>7.407407407407407E-2</v>
      </c>
      <c r="I193" s="217">
        <f>SUM(B193:H193)</f>
        <v>1</v>
      </c>
    </row>
    <row r="194" spans="1:9" ht="15" x14ac:dyDescent="0.25">
      <c r="A194"/>
      <c r="B194" s="164" t="s">
        <v>2816</v>
      </c>
      <c r="C194"/>
      <c r="D194"/>
      <c r="E194"/>
      <c r="F194"/>
      <c r="G194"/>
      <c r="H194"/>
      <c r="I194"/>
    </row>
    <row r="195" spans="1:9" ht="15" x14ac:dyDescent="0.25">
      <c r="A195"/>
      <c r="B195" t="s">
        <v>1093</v>
      </c>
      <c r="C195" t="s">
        <v>1</v>
      </c>
      <c r="D195" t="s">
        <v>2</v>
      </c>
      <c r="E195" t="s">
        <v>3</v>
      </c>
      <c r="F195" t="s">
        <v>1092</v>
      </c>
      <c r="G195" t="s">
        <v>5</v>
      </c>
      <c r="H195" t="s">
        <v>1358</v>
      </c>
      <c r="I195" t="s">
        <v>1096</v>
      </c>
    </row>
    <row r="196" spans="1:9" ht="75" x14ac:dyDescent="0.25">
      <c r="A196" s="166" t="s">
        <v>1385</v>
      </c>
      <c r="B196" s="165">
        <v>3</v>
      </c>
      <c r="C196" s="165">
        <v>1</v>
      </c>
      <c r="D196" s="165">
        <v>6</v>
      </c>
      <c r="E196" s="165">
        <v>8</v>
      </c>
      <c r="F196" s="165">
        <v>8</v>
      </c>
      <c r="G196" s="165">
        <v>1</v>
      </c>
      <c r="H196" s="165"/>
      <c r="I196" s="165">
        <v>27</v>
      </c>
    </row>
    <row r="197" spans="1:9" ht="15" x14ac:dyDescent="0.25">
      <c r="A197"/>
      <c r="B197" s="215">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pertenezco.","Totalmente en desacuerdo / NO")/GETPIVOTDATA("47. He participado en procesos para la evaluación periódica de la pertinencia y calidad del programa académico al cual pertenezco.",$A$194)</f>
        <v>0.1111111111111111</v>
      </c>
      <c r="C197" s="217">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pertenezco.","En desacuerdo")/GETPIVOTDATA("47. He participado en procesos para la evaluación periódica de la pertinencia y calidad del programa académico al cual pertenezco.",$A$194)</f>
        <v>3.7037037037037035E-2</v>
      </c>
      <c r="D197" s="217">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pertenezco.","Medianamente de acuerdo")/GETPIVOTDATA("47. He participado en procesos para la evaluación periódica de la pertinencia y calidad del programa académico al cual pertenezco.",$A$194)</f>
        <v>0.22222222222222221</v>
      </c>
      <c r="E197" s="217">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pertenezco.","De acuerdo")/GETPIVOTDATA("47. He participado en procesos para la evaluación periódica de la pertinencia y calidad del programa académico al cual pertenezco.",$A$194)</f>
        <v>0.29629629629629628</v>
      </c>
      <c r="F197" s="217">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pertenezco.","Totalmente de acuerdo / SI")/GETPIVOTDATA("47. He participado en procesos para la evaluación periódica de la pertinencia y calidad del programa académico al cual pertenezco.",$A$194)</f>
        <v>0.29629629629629628</v>
      </c>
      <c r="G197" s="217">
        <f>+GETPIVOTDATA("47. He participado en procesos para la evaluación periódica de la pertinencia y calidad del programa académico al cual pertenezco.",$A$194,"47. He participado en procesos para la evaluación periódica de la pertinencia y calidad del programa académico al cual pertenezco.","No sabe / No puede opinar al respecto")/GETPIVOTDATA("47. He participado en procesos para la evaluación periódica de la pertinencia y calidad del programa académico al cual pertenezco.",$A$194)</f>
        <v>3.7037037037037035E-2</v>
      </c>
      <c r="I197" s="217">
        <f>SUM(B197:H197)</f>
        <v>1</v>
      </c>
    </row>
    <row r="198" spans="1:9" ht="15" x14ac:dyDescent="0.25">
      <c r="A198"/>
      <c r="B198" s="164" t="s">
        <v>2816</v>
      </c>
      <c r="C198"/>
      <c r="D198"/>
      <c r="E198"/>
      <c r="F198"/>
      <c r="G198"/>
      <c r="H198"/>
    </row>
    <row r="199" spans="1:9" ht="15" x14ac:dyDescent="0.25">
      <c r="A199"/>
      <c r="B199" t="s">
        <v>1093</v>
      </c>
      <c r="C199" t="s">
        <v>2</v>
      </c>
      <c r="D199" t="s">
        <v>3</v>
      </c>
      <c r="E199" t="s">
        <v>1092</v>
      </c>
      <c r="F199" t="s">
        <v>5</v>
      </c>
      <c r="G199" t="s">
        <v>1358</v>
      </c>
      <c r="H199" t="s">
        <v>1096</v>
      </c>
    </row>
    <row r="200" spans="1:9" ht="60" x14ac:dyDescent="0.25">
      <c r="A200" s="166" t="s">
        <v>1386</v>
      </c>
      <c r="B200" s="165">
        <v>2</v>
      </c>
      <c r="C200" s="165">
        <v>5</v>
      </c>
      <c r="D200" s="165">
        <v>7</v>
      </c>
      <c r="E200" s="165">
        <v>12</v>
      </c>
      <c r="F200" s="165">
        <v>1</v>
      </c>
      <c r="G200" s="165"/>
      <c r="H200" s="165">
        <v>27</v>
      </c>
    </row>
    <row r="201" spans="1:9" ht="15" x14ac:dyDescent="0.25">
      <c r="A201"/>
      <c r="B201" s="215">
        <f>+GETPIVOTDATA("48. Puedo identificar mejoras realizadas en el programa académico al cual pertenezco durante el último año.",$A$198,"48. Puedo identificar mejoras realizadas en el programa académico al cual pertenezco durante el último año.","Totalmente en desacuerdo / NO")/GETPIVOTDATA("48. Puedo identificar mejoras realizadas en el programa académico al cual pertenezco durante el último año.",$A$198)</f>
        <v>7.407407407407407E-2</v>
      </c>
      <c r="C201" s="217">
        <f>+GETPIVOTDATA("48. Puedo identificar mejoras realizadas en el programa académico al cual pertenezco durante el último año.",$A$198,"48. Puedo identificar mejoras realizadas en el programa académico al cual pertenezco durante el último año.","Medianamente de acuerdo")/GETPIVOTDATA("48. Puedo identificar mejoras realizadas en el programa académico al cual pertenezco durante el último año.",$A$198)</f>
        <v>0.18518518518518517</v>
      </c>
      <c r="D201" s="217">
        <f>+GETPIVOTDATA("48. Puedo identificar mejoras realizadas en el programa académico al cual pertenezco durante el último año.",$A$198,"48. Puedo identificar mejoras realizadas en el programa académico al cual pertenezco durante el último año.","De acuerdo")/GETPIVOTDATA("48. Puedo identificar mejoras realizadas en el programa académico al cual pertenezco durante el último año.",$A$198)</f>
        <v>0.25925925925925924</v>
      </c>
      <c r="E201" s="217">
        <f>+GETPIVOTDATA("48. Puedo identificar mejoras realizadas en el programa académico al cual pertenezco durante el último año.",$A$198,"48. Puedo identificar mejoras realizadas en el programa académico al cual pertenezco durante el último año.","Totalmente de acuerdo / SI")/GETPIVOTDATA("48. Puedo identificar mejoras realizadas en el programa académico al cual pertenezco durante el último año.",$A$198)</f>
        <v>0.44444444444444442</v>
      </c>
      <c r="F201" s="217">
        <f>+GETPIVOTDATA("48. Puedo identificar mejoras realizadas en el programa académico al cual pertenezco durante el último año.",$A$198,"48. Puedo identificar mejoras realizadas en el programa académico al cual pertenezco durante el último año.","No sabe / No puede opinar al respecto")/GETPIVOTDATA("48. Puedo identificar mejoras realizadas en el programa académico al cual pertenezco durante el último año.",$A$198)</f>
        <v>3.7037037037037035E-2</v>
      </c>
      <c r="I201" s="217">
        <f>SUM(B201:H201)</f>
        <v>1</v>
      </c>
    </row>
    <row r="202" spans="1:9" ht="15" x14ac:dyDescent="0.25">
      <c r="A202"/>
      <c r="B202" s="164" t="s">
        <v>2816</v>
      </c>
      <c r="C202"/>
      <c r="D202"/>
      <c r="E202"/>
      <c r="F202"/>
      <c r="G202"/>
      <c r="H202"/>
      <c r="I202"/>
    </row>
    <row r="203" spans="1:9" ht="15" x14ac:dyDescent="0.25">
      <c r="A203"/>
      <c r="B203" t="s">
        <v>1093</v>
      </c>
      <c r="C203" t="s">
        <v>1</v>
      </c>
      <c r="D203" t="s">
        <v>2</v>
      </c>
      <c r="E203" t="s">
        <v>3</v>
      </c>
      <c r="F203" t="s">
        <v>1092</v>
      </c>
      <c r="G203" t="s">
        <v>5</v>
      </c>
      <c r="H203" t="s">
        <v>1358</v>
      </c>
      <c r="I203" t="s">
        <v>1096</v>
      </c>
    </row>
    <row r="204" spans="1:9" ht="60" x14ac:dyDescent="0.25">
      <c r="A204" s="166" t="s">
        <v>1387</v>
      </c>
      <c r="B204" s="165">
        <v>13</v>
      </c>
      <c r="C204" s="165">
        <v>3</v>
      </c>
      <c r="D204" s="165">
        <v>3</v>
      </c>
      <c r="E204" s="165">
        <v>3</v>
      </c>
      <c r="F204" s="165">
        <v>3</v>
      </c>
      <c r="G204" s="165">
        <v>2</v>
      </c>
      <c r="H204" s="165"/>
      <c r="I204" s="165">
        <v>27</v>
      </c>
    </row>
    <row r="205" spans="1:9" ht="15" x14ac:dyDescent="0.25">
      <c r="A205"/>
      <c r="B205" s="215">
        <f>+GETPIVOTDATA("49. He participado en proyectos dirigidos a la comunidad y liderados por el programa académico al cual pertenezco.",$A$202,"49. He participado en proyectos dirigidos a la comunidad y liderados por el programa académico al cual pertenezco.","Totalmente en desacuerdo / NO")/GETPIVOTDATA("49. He participado en proyectos dirigidos a la comunidad y liderados por el programa académico al cual pertenezco.",$A$202)</f>
        <v>0.48148148148148145</v>
      </c>
      <c r="C205" s="217">
        <f>+GETPIVOTDATA("49. He participado en proyectos dirigidos a la comunidad y liderados por el programa académico al cual pertenezco.",$A$202,"49. He participado en proyectos dirigidos a la comunidad y liderados por el programa académico al cual pertenezco.","En desacuerdo")/GETPIVOTDATA("49. He participado en proyectos dirigidos a la comunidad y liderados por el programa académico al cual pertenezco.",$A$202)</f>
        <v>0.1111111111111111</v>
      </c>
      <c r="D205" s="217">
        <f>+GETPIVOTDATA("49. He participado en proyectos dirigidos a la comunidad y liderados por el programa académico al cual pertenezco.",$A$202,"49. He participado en proyectos dirigidos a la comunidad y liderados por el programa académico al cual pertenezco.","Medianamente de acuerdo")/GETPIVOTDATA("49. He participado en proyectos dirigidos a la comunidad y liderados por el programa académico al cual pertenezco.",$A$202)</f>
        <v>0.1111111111111111</v>
      </c>
      <c r="E205" s="217">
        <f>+GETPIVOTDATA("49. He participado en proyectos dirigidos a la comunidad y liderados por el programa académico al cual pertenezco.",$A$202,"49. He participado en proyectos dirigidos a la comunidad y liderados por el programa académico al cual pertenezco.","De acuerdo")/GETPIVOTDATA("49. He participado en proyectos dirigidos a la comunidad y liderados por el programa académico al cual pertenezco.",$A$202)</f>
        <v>0.1111111111111111</v>
      </c>
      <c r="F205" s="217">
        <f>+GETPIVOTDATA("49. He participado en proyectos dirigidos a la comunidad y liderados por el programa académico al cual pertenezco.",$A$202,"49. He participado en proyectos dirigidos a la comunidad y liderados por el programa académico al cual pertenezco.","Totalmente de acuerdo / SI")/GETPIVOTDATA("49. He participado en proyectos dirigidos a la comunidad y liderados por el programa académico al cual pertenezco.",$A$202)</f>
        <v>0.1111111111111111</v>
      </c>
      <c r="G205" s="217">
        <f>+GETPIVOTDATA("49. He participado en proyectos dirigidos a la comunidad y liderados por el programa académico al cual pertenezco.",$A$202,"49. He participado en proyectos dirigidos a la comunidad y liderados por el programa académico al cual pertenezco.","No sabe / No puede opinar al respecto")/GETPIVOTDATA("49. He participado en proyectos dirigidos a la comunidad y liderados por el programa académico al cual pertenezco.",$A$202)</f>
        <v>7.407407407407407E-2</v>
      </c>
      <c r="I205" s="217">
        <f>SUM(B205:H205)</f>
        <v>1</v>
      </c>
    </row>
    <row r="206" spans="1:9" ht="15" x14ac:dyDescent="0.25">
      <c r="A206"/>
      <c r="B206" s="164" t="s">
        <v>2816</v>
      </c>
      <c r="C206"/>
      <c r="D206"/>
      <c r="E206"/>
      <c r="F206"/>
      <c r="G206"/>
      <c r="H206"/>
      <c r="I206"/>
    </row>
    <row r="207" spans="1:9" ht="15" x14ac:dyDescent="0.25">
      <c r="A207"/>
      <c r="B207" t="s">
        <v>1093</v>
      </c>
      <c r="C207" t="s">
        <v>1</v>
      </c>
      <c r="D207" t="s">
        <v>2</v>
      </c>
      <c r="E207" t="s">
        <v>3</v>
      </c>
      <c r="F207" t="s">
        <v>1092</v>
      </c>
      <c r="G207" t="s">
        <v>5</v>
      </c>
      <c r="H207" t="s">
        <v>1358</v>
      </c>
      <c r="I207" t="s">
        <v>1096</v>
      </c>
    </row>
    <row r="208" spans="1:9" ht="75" x14ac:dyDescent="0.25">
      <c r="A208" s="166" t="s">
        <v>1388</v>
      </c>
      <c r="B208" s="165">
        <v>3</v>
      </c>
      <c r="C208" s="165">
        <v>3</v>
      </c>
      <c r="D208" s="165">
        <v>6</v>
      </c>
      <c r="E208" s="165">
        <v>5</v>
      </c>
      <c r="F208" s="165">
        <v>7</v>
      </c>
      <c r="G208" s="165">
        <v>3</v>
      </c>
      <c r="H208" s="165"/>
      <c r="I208" s="165">
        <v>27</v>
      </c>
    </row>
    <row r="209" spans="1:9" ht="15" x14ac:dyDescent="0.25">
      <c r="A209"/>
      <c r="B209" s="215">
        <f>+GETPIVOTDATA("50. Considero que el programa académico al cual pertenezco ejecuta proyectos y ayuda a resolver problemas del entorno inmediato.",$A$206,"50. Considero que el programa académico al cual pertenezco ejecuta proyectos y ayuda a resolver problemas del entorno inmediato.","Totalmente en desacuerdo / NO")/GETPIVOTDATA("50. Considero que el programa académico al cual pertenezco ejecuta proyectos y ayuda a resolver problemas del entorno inmediato.",$A$206)</f>
        <v>0.1111111111111111</v>
      </c>
      <c r="C209" s="217">
        <f>+GETPIVOTDATA("50. Considero que el programa académico al cual pertenezco ejecuta proyectos y ayuda a resolver problemas del entorno inmediato.",$A$206,"50. Considero que el programa académico al cual pertenezco ejecuta proyectos y ayuda a resolver problemas del entorno inmediato.","En desacuerdo")/GETPIVOTDATA("50. Considero que el programa académico al cual pertenezco ejecuta proyectos y ayuda a resolver problemas del entorno inmediato.",$A$206)</f>
        <v>0.1111111111111111</v>
      </c>
      <c r="D209" s="217">
        <f>+GETPIVOTDATA("50. Considero que el programa académico al cual pertenezco ejecuta proyectos y ayuda a resolver problemas del entorno inmediato.",$A$206,"50. Considero que el programa académico al cual pertenezco ejecuta proyectos y ayuda a resolver problemas del entorno inmediato.","Medianamente de acuerdo")/GETPIVOTDATA("50. Considero que el programa académico al cual pertenezco ejecuta proyectos y ayuda a resolver problemas del entorno inmediato.",$A$206)</f>
        <v>0.22222222222222221</v>
      </c>
      <c r="E209" s="217">
        <f>+GETPIVOTDATA("50. Considero que el programa académico al cual pertenezco ejecuta proyectos y ayuda a resolver problemas del entorno inmediato.",$A$206,"50. Considero que el programa académico al cual pertenezco ejecuta proyectos y ayuda a resolver problemas del entorno inmediato.","De acuerdo")/GETPIVOTDATA("50. Considero que el programa académico al cual pertenezco ejecuta proyectos y ayuda a resolver problemas del entorno inmediato.",$A$206)</f>
        <v>0.18518518518518517</v>
      </c>
      <c r="F209" s="217">
        <f>+GETPIVOTDATA("50. Considero que el programa académico al cual pertenezco ejecuta proyectos y ayuda a resolver problemas del entorno inmediato.",$A$206,"50. Considero que el programa académico al cual pertenezco ejecuta proyectos y ayuda a resolver problemas del entorno inmediato.","Totalmente de acuerdo / SI")/GETPIVOTDATA("50. Considero que el programa académico al cual pertenezco ejecuta proyectos y ayuda a resolver problemas del entorno inmediato.",$A$206)</f>
        <v>0.25925925925925924</v>
      </c>
      <c r="G209" s="217">
        <f>+GETPIVOTDATA("50. Considero que el programa académico al cual pertenezco ejecuta proyectos y ayuda a resolver problemas del entorno inmediato.",$A$206,"50. Considero que el programa académico al cual pertenezco ejecuta proyectos y ayuda a resolver problemas del entorno inmediato.","No sabe / No puede opinar al respecto")/GETPIVOTDATA("50. Considero que el programa académico al cual pertenezco ejecuta proyectos y ayuda a resolver problemas del entorno inmediato.",$A$206)</f>
        <v>0.1111111111111111</v>
      </c>
      <c r="I209" s="217">
        <f>SUM(B209:H209)</f>
        <v>1</v>
      </c>
    </row>
    <row r="210" spans="1:9" ht="15" x14ac:dyDescent="0.25">
      <c r="A210"/>
      <c r="B210" s="164" t="s">
        <v>2816</v>
      </c>
      <c r="C210"/>
      <c r="D210"/>
      <c r="E210"/>
      <c r="F210"/>
      <c r="G210"/>
      <c r="H210"/>
      <c r="I210"/>
    </row>
    <row r="211" spans="1:9" ht="15" x14ac:dyDescent="0.25">
      <c r="A211"/>
      <c r="B211" t="s">
        <v>1093</v>
      </c>
      <c r="C211" t="s">
        <v>1</v>
      </c>
      <c r="D211" t="s">
        <v>2</v>
      </c>
      <c r="E211" t="s">
        <v>3</v>
      </c>
      <c r="F211" t="s">
        <v>1092</v>
      </c>
      <c r="G211" t="s">
        <v>5</v>
      </c>
      <c r="H211" t="s">
        <v>1358</v>
      </c>
      <c r="I211" t="s">
        <v>1096</v>
      </c>
    </row>
    <row r="212" spans="1:9" ht="60" x14ac:dyDescent="0.25">
      <c r="A212" s="166" t="s">
        <v>1389</v>
      </c>
      <c r="B212" s="165">
        <v>2</v>
      </c>
      <c r="C212" s="165">
        <v>5</v>
      </c>
      <c r="D212" s="165">
        <v>5</v>
      </c>
      <c r="E212" s="165">
        <v>9</v>
      </c>
      <c r="F212" s="165">
        <v>4</v>
      </c>
      <c r="G212" s="165">
        <v>2</v>
      </c>
      <c r="H212" s="165"/>
      <c r="I212" s="165">
        <v>27</v>
      </c>
    </row>
    <row r="213" spans="1:9" ht="15" x14ac:dyDescent="0.25">
      <c r="A213"/>
      <c r="B213" s="215">
        <f>+GETPIVOTDATA("51.1. Considero que el material bibliográfico a disposición del programa académico al cual pertenezco es: SUFICIENTE",$A$210,"51.1. Considero que el material bibliográfico a disposición del programa académico al cual pertenezco es: SUFICIENTE","Totalmente en desacuerdo / NO")/GETPIVOTDATA("51.1. Considero que el material bibliográfico a disposición del programa académico al cual pertenezco es: SUFICIENTE",$A$210)</f>
        <v>7.407407407407407E-2</v>
      </c>
      <c r="C213" s="217">
        <f>+GETPIVOTDATA("51.1. Considero que el material bibliográfico a disposición del programa académico al cual pertenezco es: SUFICIENTE",$A$210,"51.1. Considero que el material bibliográfico a disposición del programa académico al cual pertenezco es: SUFICIENTE","En desacuerdo")/GETPIVOTDATA("51.1. Considero que el material bibliográfico a disposición del programa académico al cual pertenezco es: SUFICIENTE",$A$210)</f>
        <v>0.18518518518518517</v>
      </c>
      <c r="D213" s="217">
        <f>+GETPIVOTDATA("51.1. Considero que el material bibliográfico a disposición del programa académico al cual pertenezco es: SUFICIENTE",$A$210,"51.1. Considero que el material bibliográfico a disposición del programa académico al cual pertenezco es: SUFICIENTE","Medianamente de acuerdo")/GETPIVOTDATA("51.1. Considero que el material bibliográfico a disposición del programa académico al cual pertenezco es: SUFICIENTE",$A$210)</f>
        <v>0.18518518518518517</v>
      </c>
      <c r="E213" s="217">
        <f>+GETPIVOTDATA("51.1. Considero que el material bibliográfico a disposición del programa académico al cual pertenezco es: SUFICIENTE",$A$210,"51.1. Considero que el material bibliográfico a disposición del programa académico al cual pertenezco es: SUFICIENTE","De acuerdo")/GETPIVOTDATA("51.1. Considero que el material bibliográfico a disposición del programa académico al cual pertenezco es: SUFICIENTE",$A$210)</f>
        <v>0.33333333333333331</v>
      </c>
      <c r="F213" s="217">
        <f>+GETPIVOTDATA("51.1. Considero que el material bibliográfico a disposición del programa académico al cual pertenezco es: SUFICIENTE",$A$210,"51.1. Considero que el material bibliográfico a disposición del programa académico al cual pertenezco es: SUFICIENTE","Totalmente de acuerdo / SI")/GETPIVOTDATA("51.1. Considero que el material bibliográfico a disposición del programa académico al cual pertenezco es: SUFICIENTE",$A$210)</f>
        <v>0.14814814814814814</v>
      </c>
      <c r="G213" s="217">
        <f>+GETPIVOTDATA("51.1. Considero que el material bibliográfico a disposición del programa académico al cual pertenezco es: SUFICIENTE",$A$210,"51.1. Considero que el material bibliográfico a disposición del programa académico al cual pertenezco es: SUFICIENTE","No sabe / No puede opinar al respecto")/GETPIVOTDATA("51.1. Considero que el material bibliográfico a disposición del programa académico al cual pertenezco es: SUFICIENTE",$A$210)</f>
        <v>7.407407407407407E-2</v>
      </c>
      <c r="I213" s="217">
        <f>SUM(B213:H213)</f>
        <v>0.99999999999999989</v>
      </c>
    </row>
    <row r="214" spans="1:9" ht="15" x14ac:dyDescent="0.25">
      <c r="A214"/>
      <c r="B214" s="164" t="s">
        <v>2816</v>
      </c>
      <c r="C214"/>
      <c r="D214"/>
      <c r="E214"/>
      <c r="F214"/>
      <c r="G214"/>
      <c r="H214"/>
      <c r="I214"/>
    </row>
    <row r="215" spans="1:9" ht="15" x14ac:dyDescent="0.25">
      <c r="A215"/>
      <c r="B215" t="s">
        <v>1093</v>
      </c>
      <c r="C215" t="s">
        <v>1</v>
      </c>
      <c r="D215" t="s">
        <v>2</v>
      </c>
      <c r="E215" t="s">
        <v>3</v>
      </c>
      <c r="F215" t="s">
        <v>1092</v>
      </c>
      <c r="G215" t="s">
        <v>5</v>
      </c>
      <c r="H215" t="s">
        <v>1358</v>
      </c>
      <c r="I215" t="s">
        <v>1096</v>
      </c>
    </row>
    <row r="216" spans="1:9" ht="60" x14ac:dyDescent="0.25">
      <c r="A216" s="166" t="s">
        <v>1390</v>
      </c>
      <c r="B216" s="165">
        <v>1</v>
      </c>
      <c r="C216" s="165">
        <v>4</v>
      </c>
      <c r="D216" s="165">
        <v>7</v>
      </c>
      <c r="E216" s="165">
        <v>8</v>
      </c>
      <c r="F216" s="165">
        <v>5</v>
      </c>
      <c r="G216" s="165">
        <v>2</v>
      </c>
      <c r="H216" s="165"/>
      <c r="I216" s="165">
        <v>27</v>
      </c>
    </row>
    <row r="217" spans="1:9" ht="15" x14ac:dyDescent="0.25">
      <c r="A217"/>
      <c r="B217" s="215">
        <f>+GETPIVOTDATA("51.2. Considero que el material bibliográfico a disposición del programa académico al cual pertenezco es: ADECUADO",$A$214,"51.2. Considero que el material bibliográfico a disposición del programa académico al cual pertenezco es: ADECUADO","Totalmente en desacuerdo / NO")/GETPIVOTDATA("51.2. Considero que el material bibliográfico a disposición del programa académico al cual pertenezco es: ADECUADO",$A$214)</f>
        <v>3.7037037037037035E-2</v>
      </c>
      <c r="C217" s="217">
        <f>+GETPIVOTDATA("51.2. Considero que el material bibliográfico a disposición del programa académico al cual pertenezco es: ADECUADO",$A$214,"51.2. Considero que el material bibliográfico a disposición del programa académico al cual pertenezco es: ADECUADO","En desacuerdo")/GETPIVOTDATA("51.2. Considero que el material bibliográfico a disposición del programa académico al cual pertenezco es: ADECUADO",$A$214)</f>
        <v>0.14814814814814814</v>
      </c>
      <c r="D217" s="217">
        <f>+GETPIVOTDATA("51.2. Considero que el material bibliográfico a disposición del programa académico al cual pertenezco es: ADECUADO",$A$214,"51.2. Considero que el material bibliográfico a disposición del programa académico al cual pertenezco es: ADECUADO","Medianamente de acuerdo")/GETPIVOTDATA("51.2. Considero que el material bibliográfico a disposición del programa académico al cual pertenezco es: ADECUADO",$A$214)</f>
        <v>0.25925925925925924</v>
      </c>
      <c r="E217" s="217">
        <f>+GETPIVOTDATA("51.2. Considero que el material bibliográfico a disposición del programa académico al cual pertenezco es: ADECUADO",$A$214,"51.2. Considero que el material bibliográfico a disposición del programa académico al cual pertenezco es: ADECUADO","De acuerdo")/GETPIVOTDATA("51.2. Considero que el material bibliográfico a disposición del programa académico al cual pertenezco es: ADECUADO",$A$214)</f>
        <v>0.29629629629629628</v>
      </c>
      <c r="F217" s="217">
        <f>+GETPIVOTDATA("51.2. Considero que el material bibliográfico a disposición del programa académico al cual pertenezco es: ADECUADO",$A$214,"51.2. Considero que el material bibliográfico a disposición del programa académico al cual pertenezco es: ADECUADO","Totalmente de acuerdo / SI")/GETPIVOTDATA("51.2. Considero que el material bibliográfico a disposición del programa académico al cual pertenezco es: ADECUADO",$A$214)</f>
        <v>0.18518518518518517</v>
      </c>
      <c r="G217" s="217">
        <f>+GETPIVOTDATA("51.2. Considero que el material bibliográfico a disposición del programa académico al cual pertenezco es: ADECUADO",$A$214,"51.2. Considero que el material bibliográfico a disposición del programa académico al cual pertenezco es: ADECUADO","No sabe / No puede opinar al respecto")/GETPIVOTDATA("51.2. Considero que el material bibliográfico a disposición del programa académico al cual pertenezco es: ADECUADO",$A$214)</f>
        <v>7.407407407407407E-2</v>
      </c>
      <c r="I217" s="217">
        <f>SUM(B217:H217)</f>
        <v>0.99999999999999989</v>
      </c>
    </row>
    <row r="218" spans="1:9" ht="15" x14ac:dyDescent="0.25">
      <c r="A218"/>
      <c r="B218" s="164" t="s">
        <v>2816</v>
      </c>
      <c r="C218"/>
      <c r="D218"/>
      <c r="E218"/>
      <c r="F218"/>
      <c r="G218"/>
      <c r="H218"/>
      <c r="I218"/>
    </row>
    <row r="219" spans="1:9" ht="15" x14ac:dyDescent="0.25">
      <c r="A219"/>
      <c r="B219" t="s">
        <v>1093</v>
      </c>
      <c r="C219" t="s">
        <v>1</v>
      </c>
      <c r="D219" t="s">
        <v>2</v>
      </c>
      <c r="E219" t="s">
        <v>3</v>
      </c>
      <c r="F219" t="s">
        <v>1092</v>
      </c>
      <c r="G219" t="s">
        <v>5</v>
      </c>
      <c r="H219" t="s">
        <v>1358</v>
      </c>
      <c r="I219" t="s">
        <v>1096</v>
      </c>
    </row>
    <row r="220" spans="1:9" ht="60" x14ac:dyDescent="0.25">
      <c r="A220" s="166" t="s">
        <v>1391</v>
      </c>
      <c r="B220" s="165">
        <v>1</v>
      </c>
      <c r="C220" s="165">
        <v>3</v>
      </c>
      <c r="D220" s="165">
        <v>8</v>
      </c>
      <c r="E220" s="165">
        <v>10</v>
      </c>
      <c r="F220" s="165">
        <v>3</v>
      </c>
      <c r="G220" s="165">
        <v>2</v>
      </c>
      <c r="H220" s="165"/>
      <c r="I220" s="165">
        <v>27</v>
      </c>
    </row>
    <row r="221" spans="1:9" ht="15" x14ac:dyDescent="0.25">
      <c r="A221"/>
      <c r="B221" s="215">
        <f>+GETPIVOTDATA("51.3. Considero que el material bibliográfico a disposición del programa académico al cual pertenezco es: ACTUALIZADO",$A$218,"51.3. Considero que el material bibliográfico a disposición del programa académico al cual pertenezco es: ACTUALIZADO","Totalmente en desacuerdo / NO")/GETPIVOTDATA("51.3. Considero que el material bibliográfico a disposición del programa académico al cual pertenezco es: ACTUALIZADO",$A$218)</f>
        <v>3.7037037037037035E-2</v>
      </c>
      <c r="C221" s="217">
        <f>+GETPIVOTDATA("51.3. Considero que el material bibliográfico a disposición del programa académico al cual pertenezco es: ACTUALIZADO",$A$218,"51.3. Considero que el material bibliográfico a disposición del programa académico al cual pertenezco es: ACTUALIZADO","En desacuerdo")/GETPIVOTDATA("51.3. Considero que el material bibliográfico a disposición del programa académico al cual pertenezco es: ACTUALIZADO",$A$218)</f>
        <v>0.1111111111111111</v>
      </c>
      <c r="D221" s="217">
        <f>+GETPIVOTDATA("51.3. Considero que el material bibliográfico a disposición del programa académico al cual pertenezco es: ACTUALIZADO",$A$218,"51.3. Considero que el material bibliográfico a disposición del programa académico al cual pertenezco es: ACTUALIZADO","Medianamente de acuerdo")/GETPIVOTDATA("51.3. Considero que el material bibliográfico a disposición del programa académico al cual pertenezco es: ACTUALIZADO",$A$218)</f>
        <v>0.29629629629629628</v>
      </c>
      <c r="E221" s="217">
        <f>+GETPIVOTDATA("51.3. Considero que el material bibliográfico a disposición del programa académico al cual pertenezco es: ACTUALIZADO",$A$218,"51.3. Considero que el material bibliográfico a disposición del programa académico al cual pertenezco es: ACTUALIZADO","De acuerdo")/GETPIVOTDATA("51.3. Considero que el material bibliográfico a disposición del programa académico al cual pertenezco es: ACTUALIZADO",$A$218)</f>
        <v>0.37037037037037035</v>
      </c>
      <c r="F221" s="217">
        <f>+GETPIVOTDATA("51.3. Considero que el material bibliográfico a disposición del programa académico al cual pertenezco es: ACTUALIZADO",$A$218,"51.3. Considero que el material bibliográfico a disposición del programa académico al cual pertenezco es: ACTUALIZADO","Totalmente de acuerdo / SI")/GETPIVOTDATA("51.3. Considero que el material bibliográfico a disposición del programa académico al cual pertenezco es: ACTUALIZADO",$A$218)</f>
        <v>0.1111111111111111</v>
      </c>
      <c r="G221" s="217">
        <f>+GETPIVOTDATA("51.3. Considero que el material bibliográfico a disposición del programa académico al cual pertenezco es: ACTUALIZADO",$A$218,"51.3. Considero que el material bibliográfico a disposición del programa académico al cual pertenezco es: ACTUALIZADO","No sabe / No puede opinar al respecto")/GETPIVOTDATA("51.3. Considero que el material bibliográfico a disposición del programa académico al cual pertenezco es: ACTUALIZADO",$A$218)</f>
        <v>7.407407407407407E-2</v>
      </c>
      <c r="I221" s="217">
        <f>SUM(B221:H221)</f>
        <v>0.99999999999999989</v>
      </c>
    </row>
    <row r="222" spans="1:9" ht="15" x14ac:dyDescent="0.25">
      <c r="A222"/>
      <c r="B222" s="164" t="s">
        <v>2816</v>
      </c>
      <c r="C222"/>
      <c r="D222"/>
      <c r="E222"/>
      <c r="F222"/>
      <c r="G222"/>
      <c r="H222"/>
      <c r="I222"/>
    </row>
    <row r="223" spans="1:9" ht="15" x14ac:dyDescent="0.25">
      <c r="A223"/>
      <c r="B223" t="s">
        <v>1093</v>
      </c>
      <c r="C223" t="s">
        <v>1</v>
      </c>
      <c r="D223" t="s">
        <v>2</v>
      </c>
      <c r="E223" t="s">
        <v>3</v>
      </c>
      <c r="F223" t="s">
        <v>1092</v>
      </c>
      <c r="G223" t="s">
        <v>5</v>
      </c>
      <c r="H223" t="s">
        <v>1358</v>
      </c>
      <c r="I223" t="s">
        <v>1096</v>
      </c>
    </row>
    <row r="224" spans="1:9" ht="75" x14ac:dyDescent="0.25">
      <c r="A224" s="166" t="s">
        <v>1392</v>
      </c>
      <c r="B224" s="165">
        <v>3</v>
      </c>
      <c r="C224" s="165">
        <v>1</v>
      </c>
      <c r="D224" s="165">
        <v>8</v>
      </c>
      <c r="E224" s="165">
        <v>7</v>
      </c>
      <c r="F224" s="165">
        <v>6</v>
      </c>
      <c r="G224" s="165">
        <v>2</v>
      </c>
      <c r="H224" s="165"/>
      <c r="I224" s="165">
        <v>27</v>
      </c>
    </row>
    <row r="225" spans="1:9" ht="15" x14ac:dyDescent="0.25">
      <c r="A225"/>
      <c r="B225" s="215">
        <f>+GETPIVOTDATA("52.1. Considero que los computadores y software disponibles en el programa académico al cual pertenezco son: SUFICIENTE",$A$222,"52.1. Considero que los computadores y software disponibles en el programa académico al cual pertenezco son: SUFICIENTE","Totalmente en desacuerdo / NO")/GETPIVOTDATA("52.1. Considero que los computadores y software disponibles en el programa académico al cual pertenezco son: SUFICIENTE",$A$222)</f>
        <v>0.1111111111111111</v>
      </c>
      <c r="C225" s="217">
        <f>+GETPIVOTDATA("52.1. Considero que los computadores y software disponibles en el programa académico al cual pertenezco son: SUFICIENTE",$A$222,"52.1. Considero que los computadores y software disponibles en el programa académico al cual pertenezco son: SUFICIENTE","En desacuerdo")/GETPIVOTDATA("52.1. Considero que los computadores y software disponibles en el programa académico al cual pertenezco son: SUFICIENTE",$A$222)</f>
        <v>3.7037037037037035E-2</v>
      </c>
      <c r="D225" s="217">
        <f>+GETPIVOTDATA("52.1. Considero que los computadores y software disponibles en el programa académico al cual pertenezco son: SUFICIENTE",$A$222,"52.1. Considero que los computadores y software disponibles en el programa académico al cual pertenezco son: SUFICIENTE","Medianamente de acuerdo")/GETPIVOTDATA("52.1. Considero que los computadores y software disponibles en el programa académico al cual pertenezco son: SUFICIENTE",$A$222)</f>
        <v>0.29629629629629628</v>
      </c>
      <c r="E225" s="217">
        <f>+GETPIVOTDATA("52.1. Considero que los computadores y software disponibles en el programa académico al cual pertenezco son: SUFICIENTE",$A$222,"52.1. Considero que los computadores y software disponibles en el programa académico al cual pertenezco son: SUFICIENTE","De acuerdo")/GETPIVOTDATA("52.1. Considero que los computadores y software disponibles en el programa académico al cual pertenezco son: SUFICIENTE",$A$222)</f>
        <v>0.25925925925925924</v>
      </c>
      <c r="F225" s="217">
        <f>+GETPIVOTDATA("52.1. Considero que los computadores y software disponibles en el programa académico al cual pertenezco son: SUFICIENTE",$A$222,"52.1. Considero que los computadores y software disponibles en el programa académico al cual pertenezco son: SUFICIENTE","Totalmente de acuerdo / SI")/GETPIVOTDATA("52.1. Considero que los computadores y software disponibles en el programa académico al cual pertenezco son: SUFICIENTE",$A$222)</f>
        <v>0.22222222222222221</v>
      </c>
      <c r="G225" s="217">
        <f>+GETPIVOTDATA("52.1. Considero que los computadores y software disponibles en el programa académico al cual pertenezco son: SUFICIENTE",$A$222,"52.1. Considero que los computadores y software disponibles en el programa académico al cual pertenezco son: SUFICIENTE","No sabe / No puede opinar al respecto")/GETPIVOTDATA("52.1. Considero que los computadores y software disponibles en el programa académico al cual pertenezco son: SUFICIENTE",$A$222)</f>
        <v>7.407407407407407E-2</v>
      </c>
      <c r="I225" s="217">
        <f>SUM(B225:H225)</f>
        <v>1</v>
      </c>
    </row>
    <row r="226" spans="1:9" ht="15" x14ac:dyDescent="0.25">
      <c r="A226"/>
      <c r="B226" s="164" t="s">
        <v>2816</v>
      </c>
      <c r="C226"/>
      <c r="D226"/>
      <c r="E226"/>
      <c r="F226"/>
      <c r="G226"/>
      <c r="H226"/>
      <c r="I226"/>
    </row>
    <row r="227" spans="1:9" ht="15" x14ac:dyDescent="0.25">
      <c r="A227"/>
      <c r="B227" t="s">
        <v>1093</v>
      </c>
      <c r="C227" t="s">
        <v>1</v>
      </c>
      <c r="D227" t="s">
        <v>2</v>
      </c>
      <c r="E227" t="s">
        <v>3</v>
      </c>
      <c r="F227" t="s">
        <v>1092</v>
      </c>
      <c r="G227" t="s">
        <v>5</v>
      </c>
      <c r="H227" t="s">
        <v>1358</v>
      </c>
      <c r="I227" t="s">
        <v>1096</v>
      </c>
    </row>
    <row r="228" spans="1:9" ht="75" x14ac:dyDescent="0.25">
      <c r="A228" s="166" t="s">
        <v>1393</v>
      </c>
      <c r="B228" s="165">
        <v>1</v>
      </c>
      <c r="C228" s="165">
        <v>3</v>
      </c>
      <c r="D228" s="165">
        <v>4</v>
      </c>
      <c r="E228" s="165">
        <v>12</v>
      </c>
      <c r="F228" s="165">
        <v>6</v>
      </c>
      <c r="G228" s="165">
        <v>1</v>
      </c>
      <c r="H228" s="165"/>
      <c r="I228" s="165">
        <v>27</v>
      </c>
    </row>
    <row r="229" spans="1:9" ht="15" x14ac:dyDescent="0.25">
      <c r="A229"/>
      <c r="B229" s="215">
        <f>+GETPIVOTDATA("52.2. Considero que los computadores y software disponibles en el programa académico al cual pertenezco son: ADECUADO",$A$226,"52.2. Considero que los computadores y software disponibles en el programa académico al cual pertenezco son: ADECUADO","Totalmente en desacuerdo / NO")/GETPIVOTDATA("52.2. Considero que los computadores y software disponibles en el programa académico al cual pertenezco son: ADECUADO",$A$226)</f>
        <v>3.7037037037037035E-2</v>
      </c>
      <c r="C229" s="217">
        <f>+GETPIVOTDATA("52.2. Considero que los computadores y software disponibles en el programa académico al cual pertenezco son: ADECUADO",$A$226,"52.2. Considero que los computadores y software disponibles en el programa académico al cual pertenezco son: ADECUADO","En desacuerdo")/GETPIVOTDATA("52.2. Considero que los computadores y software disponibles en el programa académico al cual pertenezco son: ADECUADO",$A$226)</f>
        <v>0.1111111111111111</v>
      </c>
      <c r="D229" s="217">
        <f>+GETPIVOTDATA("52.2. Considero que los computadores y software disponibles en el programa académico al cual pertenezco son: ADECUADO",$A$226,"52.2. Considero que los computadores y software disponibles en el programa académico al cual pertenezco son: ADECUADO","Medianamente de acuerdo")/GETPIVOTDATA("52.2. Considero que los computadores y software disponibles en el programa académico al cual pertenezco son: ADECUADO",$A$226)</f>
        <v>0.14814814814814814</v>
      </c>
      <c r="E229" s="217">
        <f>+GETPIVOTDATA("52.2. Considero que los computadores y software disponibles en el programa académico al cual pertenezco son: ADECUADO",$A$226,"52.2. Considero que los computadores y software disponibles en el programa académico al cual pertenezco son: ADECUADO","De acuerdo")/GETPIVOTDATA("52.2. Considero que los computadores y software disponibles en el programa académico al cual pertenezco son: ADECUADO",$A$226)</f>
        <v>0.44444444444444442</v>
      </c>
      <c r="F229" s="217">
        <f>+GETPIVOTDATA("52.2. Considero que los computadores y software disponibles en el programa académico al cual pertenezco son: ADECUADO",$A$226,"52.2. Considero que los computadores y software disponibles en el programa académico al cual pertenezco son: ADECUADO","Totalmente de acuerdo / SI")/GETPIVOTDATA("52.2. Considero que los computadores y software disponibles en el programa académico al cual pertenezco son: ADECUADO",$A$226)</f>
        <v>0.22222222222222221</v>
      </c>
      <c r="G229" s="217">
        <f>+GETPIVOTDATA("52.2. Considero que los computadores y software disponibles en el programa académico al cual pertenezco son: ADECUADO",$A$226,"52.2. Considero que los computadores y software disponibles en el programa académico al cual pertenezco son: ADECUADO","No sabe / No puede opinar al respecto")/GETPIVOTDATA("52.2. Considero que los computadores y software disponibles en el programa académico al cual pertenezco son: ADECUADO",$A$226)</f>
        <v>3.7037037037037035E-2</v>
      </c>
      <c r="I229" s="217">
        <f>SUM(B229:H229)</f>
        <v>1</v>
      </c>
    </row>
    <row r="230" spans="1:9" ht="15" x14ac:dyDescent="0.25">
      <c r="A230"/>
      <c r="B230" s="164" t="s">
        <v>2816</v>
      </c>
      <c r="C230"/>
      <c r="D230"/>
      <c r="E230"/>
      <c r="F230"/>
      <c r="G230"/>
      <c r="H230"/>
    </row>
    <row r="231" spans="1:9" ht="15" x14ac:dyDescent="0.25">
      <c r="A231"/>
      <c r="B231" t="s">
        <v>1093</v>
      </c>
      <c r="C231" t="s">
        <v>2</v>
      </c>
      <c r="D231" t="s">
        <v>3</v>
      </c>
      <c r="E231" t="s">
        <v>1092</v>
      </c>
      <c r="F231" t="s">
        <v>5</v>
      </c>
      <c r="G231" t="s">
        <v>1358</v>
      </c>
      <c r="H231" t="s">
        <v>1096</v>
      </c>
    </row>
    <row r="232" spans="1:9" ht="75" x14ac:dyDescent="0.25">
      <c r="A232" s="166" t="s">
        <v>1394</v>
      </c>
      <c r="B232" s="165">
        <v>1</v>
      </c>
      <c r="C232" s="165">
        <v>4</v>
      </c>
      <c r="D232" s="165">
        <v>11</v>
      </c>
      <c r="E232" s="165">
        <v>8</v>
      </c>
      <c r="F232" s="165">
        <v>3</v>
      </c>
      <c r="G232" s="165"/>
      <c r="H232" s="165">
        <v>27</v>
      </c>
    </row>
    <row r="233" spans="1:9" ht="15" x14ac:dyDescent="0.25">
      <c r="A233"/>
      <c r="B233" s="215">
        <f>+GETPIVOTDATA("52.3. Considero que los computadores y software disponibles en el programa académico al cual pertenezco son: ACTUALIZADO",$A$230,"52.3. Considero que los computadores y software disponibles en el programa académico al cual pertenezco son: ACTUALIZADO","Totalmente en desacuerdo / NO")/GETPIVOTDATA("52.3. Considero que los computadores y software disponibles en el programa académico al cual pertenezco son: ACTUALIZADO",$A$230)</f>
        <v>3.7037037037037035E-2</v>
      </c>
      <c r="C233" s="217">
        <f>+GETPIVOTDATA("52.3. Considero que los computadores y software disponibles en el programa académico al cual pertenezco son: ACTUALIZADO",$A$230,"52.3. Considero que los computadores y software disponibles en el programa académico al cual pertenezco son: ACTUALIZADO","Medianamente de acuerdo")/GETPIVOTDATA("52.3. Considero que los computadores y software disponibles en el programa académico al cual pertenezco son: ACTUALIZADO",$A$230)</f>
        <v>0.14814814814814814</v>
      </c>
      <c r="D233" s="217">
        <f>+GETPIVOTDATA("52.3. Considero que los computadores y software disponibles en el programa académico al cual pertenezco son: ACTUALIZADO",$A$230,"52.3. Considero que los computadores y software disponibles en el programa académico al cual pertenezco son: ACTUALIZADO","De acuerdo")/GETPIVOTDATA("52.3. Considero que los computadores y software disponibles en el programa académico al cual pertenezco son: ACTUALIZADO",$A$230)</f>
        <v>0.40740740740740738</v>
      </c>
      <c r="E233" s="217">
        <f>+GETPIVOTDATA("52.3. Considero que los computadores y software disponibles en el programa académico al cual pertenezco son: ACTUALIZADO",$A$230,"52.3. Considero que los computadores y software disponibles en el programa académico al cual pertenezco son: ACTUALIZADO","Totalmente de acuerdo / SI")/GETPIVOTDATA("52.3. Considero que los computadores y software disponibles en el programa académico al cual pertenezco son: ACTUALIZADO",$A$230)</f>
        <v>0.29629629629629628</v>
      </c>
      <c r="F233" s="217">
        <f>+GETPIVOTDATA("52.3. Considero que los computadores y software disponibles en el programa académico al cual pertenezco son: ACTUALIZADO",$A$230,"52.3. Considero que los computadores y software disponibles en el programa académico al cual pertenezco son: ACTUALIZADO","No sabe / No puede opinar al respecto")/GETPIVOTDATA("52.3. Considero que los computadores y software disponibles en el programa académico al cual pertenezco son: ACTUALIZADO",$A$230)</f>
        <v>0.1111111111111111</v>
      </c>
      <c r="I233" s="217">
        <f>SUM(B233:H233)</f>
        <v>1</v>
      </c>
    </row>
    <row r="234" spans="1:9" ht="15" x14ac:dyDescent="0.25">
      <c r="A234"/>
      <c r="B234" s="164" t="s">
        <v>2816</v>
      </c>
      <c r="C234"/>
      <c r="D234"/>
      <c r="E234"/>
      <c r="F234"/>
      <c r="G234"/>
      <c r="H234"/>
      <c r="I234"/>
    </row>
    <row r="235" spans="1:9" ht="15" x14ac:dyDescent="0.25">
      <c r="A235"/>
      <c r="B235" t="s">
        <v>1093</v>
      </c>
      <c r="C235" t="s">
        <v>1</v>
      </c>
      <c r="D235" t="s">
        <v>2</v>
      </c>
      <c r="E235" t="s">
        <v>3</v>
      </c>
      <c r="F235" t="s">
        <v>1092</v>
      </c>
      <c r="G235" t="s">
        <v>5</v>
      </c>
      <c r="H235" t="s">
        <v>1358</v>
      </c>
      <c r="I235" t="s">
        <v>1096</v>
      </c>
    </row>
    <row r="236" spans="1:9" ht="60" x14ac:dyDescent="0.25">
      <c r="A236" s="166" t="s">
        <v>1395</v>
      </c>
      <c r="B236" s="165">
        <v>3</v>
      </c>
      <c r="C236" s="165">
        <v>1</v>
      </c>
      <c r="D236" s="165">
        <v>4</v>
      </c>
      <c r="E236" s="165">
        <v>14</v>
      </c>
      <c r="F236" s="165">
        <v>3</v>
      </c>
      <c r="G236" s="165">
        <v>2</v>
      </c>
      <c r="H236" s="165"/>
      <c r="I236" s="165">
        <v>27</v>
      </c>
    </row>
    <row r="237" spans="1:9" ht="15" x14ac:dyDescent="0.25">
      <c r="A237"/>
      <c r="B237" s="215">
        <f>+GETPIVOTDATA("53.1. Considero que los laboratorios y talleres disponibles en el programa académico al cual pertenezco son: SUFICIENTES",$A$234,"53.1. Considero que los laboratorios y talleres disponibles en el programa académico al cual pertenezco son: SUFICIENTES","Totalmente en desacuerdo / NO")/GETPIVOTDATA("53.1. Considero que los laboratorios y talleres disponibles en el programa académico al cual pertenezco son: SUFICIENTES",$A$234)</f>
        <v>0.1111111111111111</v>
      </c>
      <c r="C237" s="217">
        <f>+GETPIVOTDATA("53.1. Considero que los laboratorios y talleres disponibles en el programa académico al cual pertenezco son: SUFICIENTES",$A$234,"53.1. Considero que los laboratorios y talleres disponibles en el programa académico al cual pertenezco son: SUFICIENTES","En desacuerdo")/GETPIVOTDATA("53.1. Considero que los laboratorios y talleres disponibles en el programa académico al cual pertenezco son: SUFICIENTES",$A$234)</f>
        <v>3.7037037037037035E-2</v>
      </c>
      <c r="D237" s="217">
        <f>+GETPIVOTDATA("53.1. Considero que los laboratorios y talleres disponibles en el programa académico al cual pertenezco son: SUFICIENTES",$A$234,"53.1. Considero que los laboratorios y talleres disponibles en el programa académico al cual pertenezco son: SUFICIENTES","Medianamente de acuerdo")/GETPIVOTDATA("53.1. Considero que los laboratorios y talleres disponibles en el programa académico al cual pertenezco son: SUFICIENTES",$A$234)</f>
        <v>0.14814814814814814</v>
      </c>
      <c r="E237" s="217">
        <f>+GETPIVOTDATA("53.1. Considero que los laboratorios y talleres disponibles en el programa académico al cual pertenezco son: SUFICIENTES",$A$234,"53.1. Considero que los laboratorios y talleres disponibles en el programa académico al cual pertenezco son: SUFICIENTES","De acuerdo")/GETPIVOTDATA("53.1. Considero que los laboratorios y talleres disponibles en el programa académico al cual pertenezco son: SUFICIENTES",$A$234)</f>
        <v>0.51851851851851849</v>
      </c>
      <c r="F237" s="217">
        <f>+GETPIVOTDATA("53.1. Considero que los laboratorios y talleres disponibles en el programa académico al cual pertenezco son: SUFICIENTES",$A$234,"53.1. Considero que los laboratorios y talleres disponibles en el programa académico al cual pertenezco son: SUFICIENTES","Totalmente de acuerdo / SI")/GETPIVOTDATA("53.1. Considero que los laboratorios y talleres disponibles en el programa académico al cual pertenezco son: SUFICIENTES",$A$234)</f>
        <v>0.1111111111111111</v>
      </c>
      <c r="G237" s="217">
        <f>+GETPIVOTDATA("53.1. Considero que los laboratorios y talleres disponibles en el programa académico al cual pertenezco son: SUFICIENTES",$A$234,"53.1. Considero que los laboratorios y talleres disponibles en el programa académico al cual pertenezco son: SUFICIENTES","No sabe / No puede opinar al respecto")/GETPIVOTDATA("53.1. Considero que los laboratorios y talleres disponibles en el programa académico al cual pertenezco son: SUFICIENTES",$A$234)</f>
        <v>7.407407407407407E-2</v>
      </c>
      <c r="I237" s="217">
        <f>SUM(B237:H237)</f>
        <v>0.99999999999999989</v>
      </c>
    </row>
    <row r="238" spans="1:9" ht="15" x14ac:dyDescent="0.25">
      <c r="A238"/>
      <c r="B238" s="164" t="s">
        <v>2816</v>
      </c>
      <c r="C238"/>
      <c r="D238"/>
      <c r="E238"/>
      <c r="F238"/>
      <c r="G238"/>
      <c r="H238"/>
    </row>
    <row r="239" spans="1:9" ht="15" x14ac:dyDescent="0.25">
      <c r="A239"/>
      <c r="B239" t="s">
        <v>1</v>
      </c>
      <c r="C239" t="s">
        <v>2</v>
      </c>
      <c r="D239" t="s">
        <v>3</v>
      </c>
      <c r="E239" t="s">
        <v>1092</v>
      </c>
      <c r="F239" t="s">
        <v>5</v>
      </c>
      <c r="G239" t="s">
        <v>1358</v>
      </c>
      <c r="H239" t="s">
        <v>1096</v>
      </c>
    </row>
    <row r="240" spans="1:9" ht="60" x14ac:dyDescent="0.25">
      <c r="A240" s="166" t="s">
        <v>1396</v>
      </c>
      <c r="B240" s="165">
        <v>1</v>
      </c>
      <c r="C240" s="165">
        <v>6</v>
      </c>
      <c r="D240" s="165">
        <v>10</v>
      </c>
      <c r="E240" s="165">
        <v>8</v>
      </c>
      <c r="F240" s="165">
        <v>2</v>
      </c>
      <c r="G240" s="165"/>
      <c r="H240" s="165">
        <v>27</v>
      </c>
    </row>
    <row r="241" spans="1:9" ht="15" x14ac:dyDescent="0.25">
      <c r="A241"/>
      <c r="B241" s="215">
        <f>+GETPIVOTDATA("53.2. Considero que los laboratorios y talleres disponibles en el programa académico al cual pertenezco son: ADECUADOS",$A$238,"53.2. Considero que los laboratorios y talleres disponibles en el programa académico al cual pertenezco son: ADECUADOS","En desacuerdo")/GETPIVOTDATA("53.2. Considero que los laboratorios y talleres disponibles en el programa académico al cual pertenezco son: ADECUADOS",$A$238)</f>
        <v>3.7037037037037035E-2</v>
      </c>
      <c r="C241" s="217">
        <f>+GETPIVOTDATA("53.2. Considero que los laboratorios y talleres disponibles en el programa académico al cual pertenezco son: ADECUADOS",$A$238,"53.2. Considero que los laboratorios y talleres disponibles en el programa académico al cual pertenezco son: ADECUADOS","Medianamente de acuerdo")/GETPIVOTDATA("53.2. Considero que los laboratorios y talleres disponibles en el programa académico al cual pertenezco son: ADECUADOS",$A$238)</f>
        <v>0.22222222222222221</v>
      </c>
      <c r="D241" s="217">
        <f>+GETPIVOTDATA("53.2. Considero que los laboratorios y talleres disponibles en el programa académico al cual pertenezco son: ADECUADOS",$A$238,"53.2. Considero que los laboratorios y talleres disponibles en el programa académico al cual pertenezco son: ADECUADOS","De acuerdo")/GETPIVOTDATA("53.2. Considero que los laboratorios y talleres disponibles en el programa académico al cual pertenezco son: ADECUADOS",$A$238)</f>
        <v>0.37037037037037035</v>
      </c>
      <c r="E241" s="217">
        <f>+GETPIVOTDATA("53.2. Considero que los laboratorios y talleres disponibles en el programa académico al cual pertenezco son: ADECUADOS",$A$238,"53.2. Considero que los laboratorios y talleres disponibles en el programa académico al cual pertenezco son: ADECUADOS","Totalmente de acuerdo / SI")/GETPIVOTDATA("53.2. Considero que los laboratorios y talleres disponibles en el programa académico al cual pertenezco son: ADECUADOS",$A$238)</f>
        <v>0.29629629629629628</v>
      </c>
      <c r="F241" s="217">
        <f>+GETPIVOTDATA("53.2. Considero que los laboratorios y talleres disponibles en el programa académico al cual pertenezco son: ADECUADOS",$A$238,"53.2. Considero que los laboratorios y talleres disponibles en el programa académico al cual pertenezco son: ADECUADOS","No sabe / No puede opinar al respecto")/GETPIVOTDATA("53.2. Considero que los laboratorios y talleres disponibles en el programa académico al cual pertenezco son: ADECUADOS",$A$238)</f>
        <v>7.407407407407407E-2</v>
      </c>
      <c r="I241" s="217">
        <f>SUM(B241:H241)</f>
        <v>0.99999999999999989</v>
      </c>
    </row>
    <row r="242" spans="1:9" ht="15" x14ac:dyDescent="0.25">
      <c r="A242"/>
      <c r="B242" s="164" t="s">
        <v>2816</v>
      </c>
      <c r="C242"/>
      <c r="D242"/>
      <c r="E242"/>
      <c r="F242"/>
      <c r="G242"/>
      <c r="H242"/>
      <c r="I242"/>
    </row>
    <row r="243" spans="1:9" ht="15" x14ac:dyDescent="0.25">
      <c r="A243"/>
      <c r="B243" t="s">
        <v>1093</v>
      </c>
      <c r="C243" t="s">
        <v>1</v>
      </c>
      <c r="D243" t="s">
        <v>2</v>
      </c>
      <c r="E243" t="s">
        <v>3</v>
      </c>
      <c r="F243" t="s">
        <v>1092</v>
      </c>
      <c r="G243" t="s">
        <v>5</v>
      </c>
      <c r="H243" t="s">
        <v>1358</v>
      </c>
      <c r="I243" t="s">
        <v>1096</v>
      </c>
    </row>
    <row r="244" spans="1:9" ht="60" x14ac:dyDescent="0.25">
      <c r="A244" s="166" t="s">
        <v>1397</v>
      </c>
      <c r="B244" s="165">
        <v>1</v>
      </c>
      <c r="C244" s="165">
        <v>1</v>
      </c>
      <c r="D244" s="165">
        <v>6</v>
      </c>
      <c r="E244" s="165">
        <v>9</v>
      </c>
      <c r="F244" s="165">
        <v>7</v>
      </c>
      <c r="G244" s="165">
        <v>3</v>
      </c>
      <c r="H244" s="165"/>
      <c r="I244" s="165">
        <v>27</v>
      </c>
    </row>
    <row r="245" spans="1:9" ht="15" x14ac:dyDescent="0.25">
      <c r="A245"/>
      <c r="B245" s="215">
        <f>+GETPIVOTDATA("53.3. Considero que los laboratorios y talleres disponibles en el programa académico al cual pertenezco son: ACTUALIZADOS",$A$242,"53.3. Considero que los laboratorios y talleres disponibles en el programa académico al cual pertenezco son: ACTUALIZADOS","Totalmente en desacuerdo / NO")/GETPIVOTDATA("53.3. Considero que los laboratorios y talleres disponibles en el programa académico al cual pertenezco son: ACTUALIZADOS",$A$242)</f>
        <v>3.7037037037037035E-2</v>
      </c>
      <c r="C245" s="217">
        <f>+GETPIVOTDATA("53.3. Considero que los laboratorios y talleres disponibles en el programa académico al cual pertenezco son: ACTUALIZADOS",$A$242,"53.3. Considero que los laboratorios y talleres disponibles en el programa académico al cual pertenezco son: ACTUALIZADOS","En desacuerdo")/GETPIVOTDATA("53.3. Considero que los laboratorios y talleres disponibles en el programa académico al cual pertenezco son: ACTUALIZADOS",$A$242)</f>
        <v>3.7037037037037035E-2</v>
      </c>
      <c r="D245" s="217">
        <f>+GETPIVOTDATA("53.3. Considero que los laboratorios y talleres disponibles en el programa académico al cual pertenezco son: ACTUALIZADOS",$A$242,"53.3. Considero que los laboratorios y talleres disponibles en el programa académico al cual pertenezco son: ACTUALIZADOS","Medianamente de acuerdo")/GETPIVOTDATA("53.3. Considero que los laboratorios y talleres disponibles en el programa académico al cual pertenezco son: ACTUALIZADOS",$A$242)</f>
        <v>0.22222222222222221</v>
      </c>
      <c r="E245" s="217">
        <f>+GETPIVOTDATA("53.3. Considero que los laboratorios y talleres disponibles en el programa académico al cual pertenezco son: ACTUALIZADOS",$A$242,"53.3. Considero que los laboratorios y talleres disponibles en el programa académico al cual pertenezco son: ACTUALIZADOS","De acuerdo")/GETPIVOTDATA("53.3. Considero que los laboratorios y talleres disponibles en el programa académico al cual pertenezco son: ACTUALIZADOS",$A$242)</f>
        <v>0.33333333333333331</v>
      </c>
      <c r="F245" s="217">
        <f>+GETPIVOTDATA("53.3. Considero que los laboratorios y talleres disponibles en el programa académico al cual pertenezco son: ACTUALIZADOS",$A$242,"53.3. Considero que los laboratorios y talleres disponibles en el programa académico al cual pertenezco son: ACTUALIZADOS","Totalmente de acuerdo / SI")/GETPIVOTDATA("53.3. Considero que los laboratorios y talleres disponibles en el programa académico al cual pertenezco son: ACTUALIZADOS",$A$242)</f>
        <v>0.25925925925925924</v>
      </c>
      <c r="G245" s="217">
        <f>+GETPIVOTDATA("53.3. Considero que los laboratorios y talleres disponibles en el programa académico al cual pertenezco son: ACTUALIZADOS",$A$242,"53.3. Considero que los laboratorios y talleres disponibles en el programa académico al cual pertenezco son: ACTUALIZADOS","No sabe / No puede opinar al respecto")/GETPIVOTDATA("53.3. Considero que los laboratorios y talleres disponibles en el programa académico al cual pertenezco son: ACTUALIZADOS",$A$242)</f>
        <v>0.1111111111111111</v>
      </c>
      <c r="I245" s="217">
        <f>SUM(B245:H245)</f>
        <v>1</v>
      </c>
    </row>
    <row r="246" spans="1:9" ht="15" x14ac:dyDescent="0.25">
      <c r="A246"/>
      <c r="B246" s="164" t="s">
        <v>2816</v>
      </c>
      <c r="C246"/>
      <c r="D246"/>
      <c r="E246"/>
      <c r="F246"/>
      <c r="G246"/>
    </row>
    <row r="247" spans="1:9" ht="15" x14ac:dyDescent="0.25">
      <c r="A247"/>
      <c r="B247" t="s">
        <v>1093</v>
      </c>
      <c r="C247" t="s">
        <v>3</v>
      </c>
      <c r="D247" t="s">
        <v>1092</v>
      </c>
      <c r="E247" t="s">
        <v>5</v>
      </c>
      <c r="F247" t="s">
        <v>1358</v>
      </c>
      <c r="G247" t="s">
        <v>1096</v>
      </c>
    </row>
    <row r="248" spans="1:9" ht="90" x14ac:dyDescent="0.25">
      <c r="A248" s="166" t="s">
        <v>1398</v>
      </c>
      <c r="B248" s="165">
        <v>1</v>
      </c>
      <c r="C248" s="165">
        <v>5</v>
      </c>
      <c r="D248" s="165">
        <v>19</v>
      </c>
      <c r="E248" s="165">
        <v>2</v>
      </c>
      <c r="F248" s="165"/>
      <c r="G248" s="165">
        <v>27</v>
      </c>
    </row>
    <row r="249" spans="1:9" ht="15" x14ac:dyDescent="0.25">
      <c r="A249"/>
      <c r="B249" s="215">
        <f>+GETPIVOTDATA("53.4. Considero que los laboratorios y talleres disponibles en el programa académico al cual pertenezco son: APOYADOS POR PERSONAL DEBIDAMENTE CAPACITADO",$A$246,"53.4. Considero que los laboratorios y talleres disponibles en el programa académico al cual pertenezco son: APOYADOS POR PERSONAL DEBIDAMENTE CAPACITADO","Totalmente en desacuerdo / NO")/GETPIVOTDATA("53.4. Considero que los laboratorios y talleres disponibles en el programa académico al cual pertenezco son: APOYADOS POR PERSONAL DEBIDAMENTE CAPACITADO",$A$246)</f>
        <v>3.7037037037037035E-2</v>
      </c>
      <c r="C249" s="217">
        <f>+GETPIVOTDATA("53.4. Considero que los laboratorios y talleres disponibles en el programa académico al cual pertenezco son: APOYADOS POR PERSONAL DEBIDAMENTE CAPACITADO",$A$246,"53.4. Considero que los laboratorios y talleres disponibles en el programa académico al cual pertenezco son: APOYADOS POR PERSONAL DEBIDAMENTE CAPACITADO","De acuerdo")/GETPIVOTDATA("53.4. Considero que los laboratorios y talleres disponibles en el programa académico al cual pertenezco son: APOYADOS POR PERSONAL DEBIDAMENTE CAPACITADO",$A$246)</f>
        <v>0.18518518518518517</v>
      </c>
      <c r="D249" s="217">
        <f>+GETPIVOTDATA("53.4. Considero que los laboratorios y talleres disponibles en el programa académico al cual pertenezco son: APOYADOS POR PERSONAL DEBIDAMENTE CAPACITADO",$A$246,"53.4. Considero que los laboratorios y talleres disponibles en el programa académico al cual pertenezco son: APOYADOS POR PERSONAL DEBIDAMENTE CAPACITADO","Totalmente de acuerdo / SI")/GETPIVOTDATA("53.4. Considero que los laboratorios y talleres disponibles en el programa académico al cual pertenezco son: APOYADOS POR PERSONAL DEBIDAMENTE CAPACITADO",$A$246)</f>
        <v>0.70370370370370372</v>
      </c>
      <c r="E249" s="217">
        <f>+GETPIVOTDATA("53.4. Considero que los laboratorios y talleres disponibles en el programa académico al cual pertenezco son: APOYADOS POR PERSONAL DEBIDAMENTE CAPACITADO",$A$246,"53.4. Considero que los laboratorios y talleres disponibles en el programa académico al cual pertenezco son: APOYADOS POR PERSONAL DEBIDAMENTE CAPACITADO","No sabe / No puede opinar al respecto")/GETPIVOTDATA("53.4. Considero que los laboratorios y talleres disponibles en el programa académico al cual pertenezco son: APOYADOS POR PERSONAL DEBIDAMENTE CAPACITADO",$A$246)</f>
        <v>7.407407407407407E-2</v>
      </c>
      <c r="I249" s="217">
        <f>SUM(B249:H249)</f>
        <v>1</v>
      </c>
    </row>
    <row r="250" spans="1:9" ht="15" x14ac:dyDescent="0.25">
      <c r="A250"/>
      <c r="B250" s="164" t="s">
        <v>2816</v>
      </c>
      <c r="C250"/>
      <c r="D250"/>
      <c r="E250"/>
      <c r="F250"/>
      <c r="G250"/>
      <c r="H250"/>
      <c r="I250"/>
    </row>
    <row r="251" spans="1:9" ht="15" x14ac:dyDescent="0.25">
      <c r="A251"/>
      <c r="B251" t="s">
        <v>1093</v>
      </c>
      <c r="C251" t="s">
        <v>1</v>
      </c>
      <c r="D251" t="s">
        <v>2</v>
      </c>
      <c r="E251" t="s">
        <v>3</v>
      </c>
      <c r="F251" t="s">
        <v>1092</v>
      </c>
      <c r="G251" t="s">
        <v>5</v>
      </c>
      <c r="H251" t="s">
        <v>1358</v>
      </c>
      <c r="I251" t="s">
        <v>1096</v>
      </c>
    </row>
    <row r="252" spans="1:9" ht="60" x14ac:dyDescent="0.25">
      <c r="A252" s="166" t="s">
        <v>1399</v>
      </c>
      <c r="B252" s="165">
        <v>2</v>
      </c>
      <c r="C252" s="165">
        <v>1</v>
      </c>
      <c r="D252" s="165">
        <v>5</v>
      </c>
      <c r="E252" s="165">
        <v>13</v>
      </c>
      <c r="F252" s="165">
        <v>4</v>
      </c>
      <c r="G252" s="165">
        <v>2</v>
      </c>
      <c r="H252" s="165"/>
      <c r="I252" s="165">
        <v>27</v>
      </c>
    </row>
    <row r="253" spans="1:9" ht="15" x14ac:dyDescent="0.25">
      <c r="A253"/>
      <c r="B253" s="215">
        <f>+GETPIVOTDATA("53.5. Considero que los laboratorios y talleres disponibles en el programa académico al cual pertenezco son: VENTILADOS",$A$250,"53.5. Considero que los laboratorios y talleres disponibles en el programa académico al cual pertenezco son: VENTILADOS","Totalmente en desacuerdo / NO")/GETPIVOTDATA("53.5. Considero que los laboratorios y talleres disponibles en el programa académico al cual pertenezco son: VENTILADOS",$A$250)</f>
        <v>7.407407407407407E-2</v>
      </c>
      <c r="C253" s="217">
        <f>+GETPIVOTDATA("53.5. Considero que los laboratorios y talleres disponibles en el programa académico al cual pertenezco son: VENTILADOS",$A$250,"53.5. Considero que los laboratorios y talleres disponibles en el programa académico al cual pertenezco son: VENTILADOS","En desacuerdo")/GETPIVOTDATA("53.5. Considero que los laboratorios y talleres disponibles en el programa académico al cual pertenezco son: VENTILADOS",$A$250)</f>
        <v>3.7037037037037035E-2</v>
      </c>
      <c r="D253" s="217">
        <f>+GETPIVOTDATA("53.5. Considero que los laboratorios y talleres disponibles en el programa académico al cual pertenezco son: VENTILADOS",$A$250,"53.5. Considero que los laboratorios y talleres disponibles en el programa académico al cual pertenezco son: VENTILADOS","Medianamente de acuerdo")/GETPIVOTDATA("53.5. Considero que los laboratorios y talleres disponibles en el programa académico al cual pertenezco son: VENTILADOS",$A$250)</f>
        <v>0.18518518518518517</v>
      </c>
      <c r="E253" s="217">
        <f>+GETPIVOTDATA("53.5. Considero que los laboratorios y talleres disponibles en el programa académico al cual pertenezco son: VENTILADOS",$A$250,"53.5. Considero que los laboratorios y talleres disponibles en el programa académico al cual pertenezco son: VENTILADOS","De acuerdo")/GETPIVOTDATA("53.5. Considero que los laboratorios y talleres disponibles en el programa académico al cual pertenezco son: VENTILADOS",$A$250)</f>
        <v>0.48148148148148145</v>
      </c>
      <c r="F253" s="217">
        <f>+GETPIVOTDATA("53.5. Considero que los laboratorios y talleres disponibles en el programa académico al cual pertenezco son: VENTILADOS",$A$250,"53.5. Considero que los laboratorios y talleres disponibles en el programa académico al cual pertenezco son: VENTILADOS","Totalmente de acuerdo / SI")/GETPIVOTDATA("53.5. Considero que los laboratorios y talleres disponibles en el programa académico al cual pertenezco son: VENTILADOS",$A$250)</f>
        <v>0.14814814814814814</v>
      </c>
      <c r="G253" s="217">
        <f>+GETPIVOTDATA("53.5. Considero que los laboratorios y talleres disponibles en el programa académico al cual pertenezco son: VENTILADOS",$A$250,"53.5. Considero que los laboratorios y talleres disponibles en el programa académico al cual pertenezco son: VENTILADOS","No sabe / No puede opinar al respecto")/GETPIVOTDATA("53.5. Considero que los laboratorios y talleres disponibles en el programa académico al cual pertenezco son: VENTILADOS",$A$250)</f>
        <v>7.407407407407407E-2</v>
      </c>
      <c r="I253" s="217">
        <f>SUM(B253:H253)</f>
        <v>0.99999999999999989</v>
      </c>
    </row>
    <row r="254" spans="1:9" ht="15" x14ac:dyDescent="0.25">
      <c r="A254"/>
      <c r="B254" s="164" t="s">
        <v>2816</v>
      </c>
      <c r="C254"/>
      <c r="D254"/>
      <c r="E254"/>
      <c r="F254"/>
      <c r="G254"/>
      <c r="H254"/>
      <c r="I254"/>
    </row>
    <row r="255" spans="1:9" ht="15" x14ac:dyDescent="0.25">
      <c r="A255"/>
      <c r="B255" t="s">
        <v>1093</v>
      </c>
      <c r="C255" t="s">
        <v>1</v>
      </c>
      <c r="D255" t="s">
        <v>2</v>
      </c>
      <c r="E255" t="s">
        <v>3</v>
      </c>
      <c r="F255" t="s">
        <v>1092</v>
      </c>
      <c r="G255" t="s">
        <v>5</v>
      </c>
      <c r="H255" t="s">
        <v>1358</v>
      </c>
      <c r="I255" t="s">
        <v>1096</v>
      </c>
    </row>
    <row r="256" spans="1:9" ht="60" x14ac:dyDescent="0.25">
      <c r="A256" s="166" t="s">
        <v>1400</v>
      </c>
      <c r="B256" s="165">
        <v>1</v>
      </c>
      <c r="C256" s="165">
        <v>2</v>
      </c>
      <c r="D256" s="165">
        <v>4</v>
      </c>
      <c r="E256" s="165">
        <v>11</v>
      </c>
      <c r="F256" s="165">
        <v>7</v>
      </c>
      <c r="G256" s="165">
        <v>2</v>
      </c>
      <c r="H256" s="165"/>
      <c r="I256" s="165">
        <v>27</v>
      </c>
    </row>
    <row r="257" spans="1:9" ht="15" x14ac:dyDescent="0.25">
      <c r="A257"/>
      <c r="B257" s="215">
        <f>+GETPIVOTDATA("53.6. Considero que los laboratorios y talleres disponibles en el programa académico al cual pertenezco son: ILUMINADOS",$A$254,"53.6. Considero que los laboratorios y talleres disponibles en el programa académico al cual pertenezco son: ILUMINADOS","Totalmente en desacuerdo / NO")/GETPIVOTDATA("53.6. Considero que los laboratorios y talleres disponibles en el programa académico al cual pertenezco son: ILUMINADOS",$A$254)</f>
        <v>3.7037037037037035E-2</v>
      </c>
      <c r="C257" s="217">
        <f>+GETPIVOTDATA("53.6. Considero que los laboratorios y talleres disponibles en el programa académico al cual pertenezco son: ILUMINADOS",$A$254,"53.6. Considero que los laboratorios y talleres disponibles en el programa académico al cual pertenezco son: ILUMINADOS","En desacuerdo")/GETPIVOTDATA("53.6. Considero que los laboratorios y talleres disponibles en el programa académico al cual pertenezco son: ILUMINADOS",$A$254)</f>
        <v>7.407407407407407E-2</v>
      </c>
      <c r="D257" s="217">
        <f>+GETPIVOTDATA("53.6. Considero que los laboratorios y talleres disponibles en el programa académico al cual pertenezco son: ILUMINADOS",$A$254,"53.6. Considero que los laboratorios y talleres disponibles en el programa académico al cual pertenezco son: ILUMINADOS","Medianamente de acuerdo")/GETPIVOTDATA("53.6. Considero que los laboratorios y talleres disponibles en el programa académico al cual pertenezco son: ILUMINADOS",$A$254)</f>
        <v>0.14814814814814814</v>
      </c>
      <c r="E257" s="217">
        <f>+GETPIVOTDATA("53.6. Considero que los laboratorios y talleres disponibles en el programa académico al cual pertenezco son: ILUMINADOS",$A$254,"53.6. Considero que los laboratorios y talleres disponibles en el programa académico al cual pertenezco son: ILUMINADOS","De acuerdo")/GETPIVOTDATA("53.6. Considero que los laboratorios y talleres disponibles en el programa académico al cual pertenezco son: ILUMINADOS",$A$254)</f>
        <v>0.40740740740740738</v>
      </c>
      <c r="F257" s="217">
        <f>+GETPIVOTDATA("53.6. Considero que los laboratorios y talleres disponibles en el programa académico al cual pertenezco son: ILUMINADOS",$A$254,"53.6. Considero que los laboratorios y talleres disponibles en el programa académico al cual pertenezco son: ILUMINADOS","Totalmente de acuerdo / SI")/GETPIVOTDATA("53.6. Considero que los laboratorios y talleres disponibles en el programa académico al cual pertenezco son: ILUMINADOS",$A$254)</f>
        <v>0.25925925925925924</v>
      </c>
      <c r="G257" s="217">
        <f>+GETPIVOTDATA("53.6. Considero que los laboratorios y talleres disponibles en el programa académico al cual pertenezco son: ILUMINADOS",$A$254,"53.6. Considero que los laboratorios y talleres disponibles en el programa académico al cual pertenezco son: ILUMINADOS","No sabe / No puede opinar al respecto")/GETPIVOTDATA("53.6. Considero que los laboratorios y talleres disponibles en el programa académico al cual pertenezco son: ILUMINADOS",$A$254)</f>
        <v>7.407407407407407E-2</v>
      </c>
      <c r="I257" s="217">
        <f>SUM(B257:H257)</f>
        <v>0.99999999999999989</v>
      </c>
    </row>
    <row r="258" spans="1:9" ht="15" x14ac:dyDescent="0.25">
      <c r="A258"/>
      <c r="B258" s="164" t="s">
        <v>2816</v>
      </c>
      <c r="C258"/>
      <c r="D258"/>
      <c r="E258"/>
      <c r="F258"/>
      <c r="G258"/>
      <c r="H258"/>
      <c r="I258"/>
    </row>
    <row r="259" spans="1:9" ht="15" x14ac:dyDescent="0.25">
      <c r="A259"/>
      <c r="B259" t="s">
        <v>1093</v>
      </c>
      <c r="C259" t="s">
        <v>1</v>
      </c>
      <c r="D259" t="s">
        <v>2</v>
      </c>
      <c r="E259" t="s">
        <v>3</v>
      </c>
      <c r="F259" t="s">
        <v>1092</v>
      </c>
      <c r="G259" t="s">
        <v>5</v>
      </c>
      <c r="H259" t="s">
        <v>1358</v>
      </c>
      <c r="I259" t="s">
        <v>1096</v>
      </c>
    </row>
    <row r="260" spans="1:9" ht="75" x14ac:dyDescent="0.25">
      <c r="A260" s="166" t="s">
        <v>1401</v>
      </c>
      <c r="B260" s="165">
        <v>3</v>
      </c>
      <c r="C260" s="165">
        <v>1</v>
      </c>
      <c r="D260" s="165">
        <v>8</v>
      </c>
      <c r="E260" s="165">
        <v>8</v>
      </c>
      <c r="F260" s="165">
        <v>5</v>
      </c>
      <c r="G260" s="165">
        <v>2</v>
      </c>
      <c r="H260" s="165"/>
      <c r="I260" s="165">
        <v>27</v>
      </c>
    </row>
    <row r="261" spans="1:9" ht="15" x14ac:dyDescent="0.25">
      <c r="A261"/>
      <c r="B261" s="215">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SEGURIDAD","Totalmente en desacuerdo / NO")/GETPIVOTDATA("53.7. Considero que los laboratorios y talleres disponibles en el programa académico al cual pertenezco son: DISEÑADOS SEGÚN NORMAS DE SEGURIDAD",$A$258)</f>
        <v>0.1111111111111111</v>
      </c>
      <c r="C261" s="217">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SEGURIDAD","En desacuerdo")/GETPIVOTDATA("53.7. Considero que los laboratorios y talleres disponibles en el programa académico al cual pertenezco son: DISEÑADOS SEGÚN NORMAS DE SEGURIDAD",$A$258)</f>
        <v>3.7037037037037035E-2</v>
      </c>
      <c r="D261" s="217">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SEGURIDAD","Medianamente de acuerdo")/GETPIVOTDATA("53.7. Considero que los laboratorios y talleres disponibles en el programa académico al cual pertenezco son: DISEÑADOS SEGÚN NORMAS DE SEGURIDAD",$A$258)</f>
        <v>0.29629629629629628</v>
      </c>
      <c r="E261" s="217">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SEGURIDAD","De acuerdo")/GETPIVOTDATA("53.7. Considero que los laboratorios y talleres disponibles en el programa académico al cual pertenezco son: DISEÑADOS SEGÚN NORMAS DE SEGURIDAD",$A$258)</f>
        <v>0.29629629629629628</v>
      </c>
      <c r="F261" s="217">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SEGURIDAD","Totalmente de acuerdo / SI")/GETPIVOTDATA("53.7. Considero que los laboratorios y talleres disponibles en el programa académico al cual pertenezco son: DISEÑADOS SEGÚN NORMAS DE SEGURIDAD",$A$258)</f>
        <v>0.18518518518518517</v>
      </c>
      <c r="G261" s="217">
        <f>+GETPIVOTDATA("53.7. Considero que los laboratorios y talleres disponibles en el programa académico al cual pertenezco son: DISEÑADOS SEGÚN NORMAS DE SEGURIDAD",$A$258,"53.7. Considero que los laboratorios y talleres disponibles en el programa académico al cual pertenezco son: DISEÑADOS SEGÚN NORMAS DE SEGURIDAD","No sabe / No puede opinar al respecto")/GETPIVOTDATA("53.7. Considero que los laboratorios y talleres disponibles en el programa académico al cual pertenezco son: DISEÑADOS SEGÚN NORMAS DE SEGURIDAD",$A$258)</f>
        <v>7.407407407407407E-2</v>
      </c>
      <c r="I261" s="217">
        <f>SUM(B261:H261)</f>
        <v>0.99999999999999989</v>
      </c>
    </row>
    <row r="262" spans="1:9" ht="15" x14ac:dyDescent="0.25">
      <c r="A262"/>
      <c r="B262" s="164" t="s">
        <v>2816</v>
      </c>
      <c r="C262"/>
      <c r="D262"/>
      <c r="E262"/>
      <c r="F262"/>
      <c r="G262"/>
      <c r="H262"/>
    </row>
    <row r="263" spans="1:9" ht="15" x14ac:dyDescent="0.25">
      <c r="A263"/>
      <c r="B263" t="s">
        <v>1093</v>
      </c>
      <c r="C263" t="s">
        <v>1</v>
      </c>
      <c r="D263" t="s">
        <v>2</v>
      </c>
      <c r="E263" t="s">
        <v>3</v>
      </c>
      <c r="F263" t="s">
        <v>1092</v>
      </c>
      <c r="G263" t="s">
        <v>1358</v>
      </c>
      <c r="H263" t="s">
        <v>1096</v>
      </c>
    </row>
    <row r="264" spans="1:9" ht="75" x14ac:dyDescent="0.25">
      <c r="A264" s="166" t="s">
        <v>1402</v>
      </c>
      <c r="B264" s="165">
        <v>5</v>
      </c>
      <c r="C264" s="165">
        <v>3</v>
      </c>
      <c r="D264" s="165">
        <v>7</v>
      </c>
      <c r="E264" s="165">
        <v>8</v>
      </c>
      <c r="F264" s="165">
        <v>4</v>
      </c>
      <c r="G264" s="165"/>
      <c r="H264" s="165">
        <v>27</v>
      </c>
    </row>
    <row r="265" spans="1:9" ht="15" x14ac:dyDescent="0.25">
      <c r="A265"/>
      <c r="B265" s="215">
        <f>+GETPIVOTDATA("54.1. Considero que los equipos de apoyo audiovisual a disposición del programa académico al cual pertenezco son: SUFICIENTES",$A$262,"54.1. Considero que los equipos de apoyo audiovisual a disposición del programa académico al cual pertenezco son: SUFICIENTES","Totalmente en desacuerdo / NO")/GETPIVOTDATA("54.1. Considero que los equipos de apoyo audiovisual a disposición del programa académico al cual pertenezco son: SUFICIENTES",$A$262)</f>
        <v>0.18518518518518517</v>
      </c>
      <c r="C265" s="217">
        <f>+GETPIVOTDATA("54.1. Considero que los equipos de apoyo audiovisual a disposición del programa académico al cual pertenezco son: SUFICIENTES",$A$262,"54.1. Considero que los equipos de apoyo audiovisual a disposición del programa académico al cual pertenezco son: SUFICIENTES","En desacuerdo")/GETPIVOTDATA("54.1. Considero que los equipos de apoyo audiovisual a disposición del programa académico al cual pertenezco son: SUFICIENTES",$A$262)</f>
        <v>0.1111111111111111</v>
      </c>
      <c r="D265" s="217">
        <f>+GETPIVOTDATA("54.1. Considero que los equipos de apoyo audiovisual a disposición del programa académico al cual pertenezco son: SUFICIENTES",$A$262,"54.1. Considero que los equipos de apoyo audiovisual a disposición del programa académico al cual pertenezco son: SUFICIENTES","Medianamente de acuerdo")/GETPIVOTDATA("54.1. Considero que los equipos de apoyo audiovisual a disposición del programa académico al cual pertenezco son: SUFICIENTES",$A$262)</f>
        <v>0.25925925925925924</v>
      </c>
      <c r="E265" s="217">
        <f>+GETPIVOTDATA("54.1. Considero que los equipos de apoyo audiovisual a disposición del programa académico al cual pertenezco son: SUFICIENTES",$A$262,"54.1. Considero que los equipos de apoyo audiovisual a disposición del programa académico al cual pertenezco son: SUFICIENTES","De acuerdo")/GETPIVOTDATA("54.1. Considero que los equipos de apoyo audiovisual a disposición del programa académico al cual pertenezco son: SUFICIENTES",$A$262)</f>
        <v>0.29629629629629628</v>
      </c>
      <c r="F265" s="217">
        <f>+GETPIVOTDATA("54.1. Considero que los equipos de apoyo audiovisual a disposición del programa académico al cual pertenezco son: SUFICIENTES",$A$262,"54.1. Considero que los equipos de apoyo audiovisual a disposición del programa académico al cual pertenezco son: SUFICIENTES","Totalmente de acuerdo / SI")/GETPIVOTDATA("54.1. Considero que los equipos de apoyo audiovisual a disposición del programa académico al cual pertenezco son: SUFICIENTES",$A$262)</f>
        <v>0.14814814814814814</v>
      </c>
      <c r="I265" s="217">
        <f>SUM(B265:H265)</f>
        <v>1</v>
      </c>
    </row>
    <row r="266" spans="1:9" ht="15" x14ac:dyDescent="0.25">
      <c r="A266"/>
      <c r="B266" s="164" t="s">
        <v>2816</v>
      </c>
      <c r="C266"/>
      <c r="D266"/>
      <c r="E266"/>
      <c r="F266"/>
      <c r="G266"/>
      <c r="H266"/>
    </row>
    <row r="267" spans="1:9" ht="15" x14ac:dyDescent="0.25">
      <c r="A267"/>
      <c r="B267" t="s">
        <v>1093</v>
      </c>
      <c r="C267" t="s">
        <v>1</v>
      </c>
      <c r="D267" t="s">
        <v>2</v>
      </c>
      <c r="E267" t="s">
        <v>3</v>
      </c>
      <c r="F267" t="s">
        <v>1092</v>
      </c>
      <c r="G267" t="s">
        <v>1358</v>
      </c>
      <c r="H267" t="s">
        <v>1096</v>
      </c>
    </row>
    <row r="268" spans="1:9" ht="75" x14ac:dyDescent="0.25">
      <c r="A268" s="166" t="s">
        <v>1403</v>
      </c>
      <c r="B268" s="165">
        <v>5</v>
      </c>
      <c r="C268" s="165">
        <v>3</v>
      </c>
      <c r="D268" s="165">
        <v>6</v>
      </c>
      <c r="E268" s="165">
        <v>9</v>
      </c>
      <c r="F268" s="165">
        <v>4</v>
      </c>
      <c r="G268" s="165"/>
      <c r="H268" s="165">
        <v>27</v>
      </c>
    </row>
    <row r="269" spans="1:9" ht="15" x14ac:dyDescent="0.25">
      <c r="A269"/>
      <c r="B269" s="215">
        <f>+GETPIVOTDATA("54.2. Considero que los equipos de apoyo audiovisual a disposición del programa académico al cual pertenezco son: ADECUADOS",$A$266,"54.2. Considero que los equipos de apoyo audiovisual a disposición del programa académico al cual pertenezco son: ADECUADOS","Totalmente en desacuerdo / NO")/GETPIVOTDATA("54.2. Considero que los equipos de apoyo audiovisual a disposición del programa académico al cual pertenezco son: ADECUADOS",$A$266)</f>
        <v>0.18518518518518517</v>
      </c>
      <c r="C269" s="217">
        <f>+GETPIVOTDATA("54.2. Considero que los equipos de apoyo audiovisual a disposición del programa académico al cual pertenezco son: ADECUADOS",$A$266,"54.2. Considero que los equipos de apoyo audiovisual a disposición del programa académico al cual pertenezco son: ADECUADOS","En desacuerdo")/GETPIVOTDATA("54.2. Considero que los equipos de apoyo audiovisual a disposición del programa académico al cual pertenezco son: ADECUADOS",$A$266)</f>
        <v>0.1111111111111111</v>
      </c>
      <c r="D269" s="217">
        <f>+GETPIVOTDATA("54.2. Considero que los equipos de apoyo audiovisual a disposición del programa académico al cual pertenezco son: ADECUADOS",$A$266,"54.2. Considero que los equipos de apoyo audiovisual a disposición del programa académico al cual pertenezco son: ADECUADOS","Medianamente de acuerdo")/GETPIVOTDATA("54.2. Considero que los equipos de apoyo audiovisual a disposición del programa académico al cual pertenezco son: ADECUADOS",$A$266)</f>
        <v>0.22222222222222221</v>
      </c>
      <c r="E269" s="217">
        <f>+GETPIVOTDATA("54.2. Considero que los equipos de apoyo audiovisual a disposición del programa académico al cual pertenezco son: ADECUADOS",$A$266,"54.2. Considero que los equipos de apoyo audiovisual a disposición del programa académico al cual pertenezco son: ADECUADOS","De acuerdo")/GETPIVOTDATA("54.2. Considero que los equipos de apoyo audiovisual a disposición del programa académico al cual pertenezco son: ADECUADOS",$A$266)</f>
        <v>0.33333333333333331</v>
      </c>
      <c r="F269" s="217">
        <f>+GETPIVOTDATA("54.2. Considero que los equipos de apoyo audiovisual a disposición del programa académico al cual pertenezco son: ADECUADOS",$A$266,"54.2. Considero que los equipos de apoyo audiovisual a disposición del programa académico al cual pertenezco son: ADECUADOS","Totalmente de acuerdo / SI")/GETPIVOTDATA("54.2. Considero que los equipos de apoyo audiovisual a disposición del programa académico al cual pertenezco son: ADECUADOS",$A$266)</f>
        <v>0.14814814814814814</v>
      </c>
      <c r="I269" s="217">
        <f>SUM(B269:H269)</f>
        <v>1</v>
      </c>
    </row>
    <row r="270" spans="1:9" ht="15" x14ac:dyDescent="0.25">
      <c r="A270"/>
      <c r="B270" s="164" t="s">
        <v>2816</v>
      </c>
      <c r="C270"/>
      <c r="D270"/>
      <c r="E270"/>
      <c r="F270"/>
      <c r="G270"/>
      <c r="H270"/>
    </row>
    <row r="271" spans="1:9" ht="15" x14ac:dyDescent="0.25">
      <c r="A271"/>
      <c r="B271" t="s">
        <v>1093</v>
      </c>
      <c r="C271" t="s">
        <v>1</v>
      </c>
      <c r="D271" t="s">
        <v>2</v>
      </c>
      <c r="E271" t="s">
        <v>3</v>
      </c>
      <c r="F271" t="s">
        <v>1092</v>
      </c>
      <c r="G271" t="s">
        <v>1358</v>
      </c>
      <c r="H271" t="s">
        <v>1096</v>
      </c>
    </row>
    <row r="272" spans="1:9" ht="75" x14ac:dyDescent="0.25">
      <c r="A272" s="166" t="s">
        <v>1404</v>
      </c>
      <c r="B272" s="165">
        <v>4</v>
      </c>
      <c r="C272" s="165">
        <v>3</v>
      </c>
      <c r="D272" s="165">
        <v>4</v>
      </c>
      <c r="E272" s="165">
        <v>11</v>
      </c>
      <c r="F272" s="165">
        <v>5</v>
      </c>
      <c r="G272" s="165"/>
      <c r="H272" s="165">
        <v>27</v>
      </c>
    </row>
    <row r="273" spans="1:9" ht="16.5" customHeight="1" x14ac:dyDescent="0.25">
      <c r="A273"/>
      <c r="B273" s="215">
        <f>+GETPIVOTDATA("54.3. Considero que los equipos de apoyo audiovisual a disposición del programa académico al cual pertenezco son: ACTUALIZADOS",$A$270,"54.3. Considero que los equipos de apoyo audiovisual a disposición del programa académico al cual pertenezco son: ACTUALIZADOS","Totalmente en desacuerdo / NO")/GETPIVOTDATA("54.3. Considero que los equipos de apoyo audiovisual a disposición del programa académico al cual pertenezco son: ACTUALIZADOS",$A$270)</f>
        <v>0.14814814814814814</v>
      </c>
      <c r="C273" s="217">
        <f>+GETPIVOTDATA("54.3. Considero que los equipos de apoyo audiovisual a disposición del programa académico al cual pertenezco son: ACTUALIZADOS",$A$270,"54.3. Considero que los equipos de apoyo audiovisual a disposición del programa académico al cual pertenezco son: ACTUALIZADOS","En desacuerdo")/GETPIVOTDATA("54.3. Considero que los equipos de apoyo audiovisual a disposición del programa académico al cual pertenezco son: ACTUALIZADOS",$A$270)</f>
        <v>0.1111111111111111</v>
      </c>
      <c r="D273" s="217">
        <f>+GETPIVOTDATA("54.3. Considero que los equipos de apoyo audiovisual a disposición del programa académico al cual pertenezco son: ACTUALIZADOS",$A$270,"54.3. Considero que los equipos de apoyo audiovisual a disposición del programa académico al cual pertenezco son: ACTUALIZADOS","Medianamente de acuerdo")/GETPIVOTDATA("54.3. Considero que los equipos de apoyo audiovisual a disposición del programa académico al cual pertenezco son: ACTUALIZADOS",$A$270)</f>
        <v>0.14814814814814814</v>
      </c>
      <c r="E273" s="217">
        <f>+GETPIVOTDATA("54.3. Considero que los equipos de apoyo audiovisual a disposición del programa académico al cual pertenezco son: ACTUALIZADOS",$A$270,"54.3. Considero que los equipos de apoyo audiovisual a disposición del programa académico al cual pertenezco son: ACTUALIZADOS","De acuerdo")/GETPIVOTDATA("54.3. Considero que los equipos de apoyo audiovisual a disposición del programa académico al cual pertenezco son: ACTUALIZADOS",$A$270)</f>
        <v>0.40740740740740738</v>
      </c>
      <c r="F273" s="217">
        <f>+GETPIVOTDATA("54.3. Considero que los equipos de apoyo audiovisual a disposición del programa académico al cual pertenezco son: ACTUALIZADOS",$A$270,"54.3. Considero que los equipos de apoyo audiovisual a disposición del programa académico al cual pertenezco son: ACTUALIZADOS","Totalmente de acuerdo / SI")/GETPIVOTDATA("54.3. Considero que los equipos de apoyo audiovisual a disposición del programa académico al cual pertenezco son: ACTUALIZADOS",$A$270)</f>
        <v>0.18518518518518517</v>
      </c>
      <c r="I273" s="217">
        <f>SUM(B273:H273)</f>
        <v>1</v>
      </c>
    </row>
    <row r="274" spans="1:9" ht="15" x14ac:dyDescent="0.25">
      <c r="A274"/>
      <c r="B274" s="164" t="s">
        <v>2816</v>
      </c>
      <c r="C274"/>
      <c r="D274"/>
      <c r="E274"/>
      <c r="F274"/>
      <c r="G274"/>
      <c r="H274"/>
    </row>
    <row r="275" spans="1:9" ht="15" x14ac:dyDescent="0.25">
      <c r="A275"/>
      <c r="B275" t="s">
        <v>1093</v>
      </c>
      <c r="C275" t="s">
        <v>2</v>
      </c>
      <c r="D275" t="s">
        <v>3</v>
      </c>
      <c r="E275" t="s">
        <v>1092</v>
      </c>
      <c r="F275" t="s">
        <v>5</v>
      </c>
      <c r="G275" t="s">
        <v>1358</v>
      </c>
      <c r="H275" t="s">
        <v>1096</v>
      </c>
    </row>
    <row r="276" spans="1:9" ht="90" x14ac:dyDescent="0.25">
      <c r="A276" s="166" t="s">
        <v>1405</v>
      </c>
      <c r="B276" s="165">
        <v>1</v>
      </c>
      <c r="C276" s="165">
        <v>2</v>
      </c>
      <c r="D276" s="165">
        <v>10</v>
      </c>
      <c r="E276" s="165">
        <v>13</v>
      </c>
      <c r="F276" s="165">
        <v>1</v>
      </c>
      <c r="G276" s="165"/>
      <c r="H276" s="165">
        <v>27</v>
      </c>
    </row>
    <row r="277" spans="1:9" ht="15" x14ac:dyDescent="0.25">
      <c r="A277"/>
      <c r="B277" s="215">
        <f>+GETPIVOTDATA("54.4. Considero que los equipos de apoyo audiovisual a disposición del programa académico al cual pertenezco son: SOPORTADOS POR PERSONAL DEBIDAMENTE CAPACITADO",$A$274,"54.4. Considero que los equipos de apoyo audiovisual a disposición del programa académico al cual pertenezco son: SOPORTADOS POR PERSONAL DEBIDAMENTE CAPACITADO","Totalmente en desacuerdo / NO")/GETPIVOTDATA("54.4. Considero que los equipos de apoyo audiovisual a disposición del programa académico al cual pertenezco son: SOPORTADOS POR PERSONAL DEBIDAMENTE CAPACITADO",$A$274)</f>
        <v>3.7037037037037035E-2</v>
      </c>
      <c r="C277" s="217">
        <f>+GETPIVOTDATA("54.4. Considero que los equipos de apoyo audiovisual a disposición del programa académico al cual pertenezco son: SOPORTADOS POR PERSONAL DEBIDAMENTE CAPACITADO",$A$274,"54.4. Considero que los equipos de apoyo audiovisual a disposición del programa académico al cual pertenezco son: SOPORTADOS POR PERSONAL DEBIDAMENTE CAPACITADO","Medianamente de acuerdo")/GETPIVOTDATA("54.4. Considero que los equipos de apoyo audiovisual a disposición del programa académico al cual pertenezco son: SOPORTADOS POR PERSONAL DEBIDAMENTE CAPACITADO",$A$274)</f>
        <v>7.407407407407407E-2</v>
      </c>
      <c r="D277" s="217">
        <f>+GETPIVOTDATA("54.4. Considero que los equipos de apoyo audiovisual a disposición del programa académico al cual pertenezco son: SOPORTADOS POR PERSONAL DEBIDAMENTE CAPACITADO",$A$274,"54.4. Considero que los equipos de apoyo audiovisual a disposición del programa académico al cual pertenezco son: SOPORTADOS POR PERSONAL DEBIDAMENTE CAPACITADO","De acuerdo")/GETPIVOTDATA("54.4. Considero que los equipos de apoyo audiovisual a disposición del programa académico al cual pertenezco son: SOPORTADOS POR PERSONAL DEBIDAMENTE CAPACITADO",$A$274)</f>
        <v>0.37037037037037035</v>
      </c>
      <c r="E277" s="217">
        <f>+GETPIVOTDATA("54.4. Considero que los equipos de apoyo audiovisual a disposición del programa académico al cual pertenezco son: SOPORTADOS POR PERSONAL DEBIDAMENTE CAPACITADO",$A$274,"54.4. Considero que los equipos de apoyo audiovisual a disposición del programa académico al cual pertenezco son: SOPORTADOS POR PERSONAL DEBIDAMENTE CAPACITADO","Totalmente de acuerdo / SI")/GETPIVOTDATA("54.4. Considero que los equipos de apoyo audiovisual a disposición del programa académico al cual pertenezco son: SOPORTADOS POR PERSONAL DEBIDAMENTE CAPACITADO",$A$274)</f>
        <v>0.48148148148148145</v>
      </c>
      <c r="F277" s="217">
        <f>+GETPIVOTDATA("54.4. Considero que los equipos de apoyo audiovisual a disposición del programa académico al cual pertenezco son: SOPORTADOS POR PERSONAL DEBIDAMENTE CAPACITADO",$A$274,"54.4. Considero que los equipos de apoyo audiovisual a disposición del programa académico al cual pertenezco son: SOPORTADOS POR PERSONAL DEBIDAMENTE CAPACITADO","No sabe / No puede opinar al respecto")/GETPIVOTDATA("54.4. Considero que los equipos de apoyo audiovisual a disposición del programa académico al cual pertenezco son: SOPORTADOS POR PERSONAL DEBIDAMENTE CAPACITADO",$A$274)</f>
        <v>3.7037037037037035E-2</v>
      </c>
      <c r="I277" s="217">
        <f>SUM(B277:H277)</f>
        <v>1</v>
      </c>
    </row>
    <row r="278" spans="1:9" ht="15" x14ac:dyDescent="0.25">
      <c r="A278"/>
      <c r="B278" s="164" t="s">
        <v>2816</v>
      </c>
      <c r="C278"/>
      <c r="D278"/>
      <c r="E278"/>
      <c r="F278"/>
      <c r="G278"/>
      <c r="H278"/>
      <c r="I278"/>
    </row>
    <row r="279" spans="1:9" ht="15" x14ac:dyDescent="0.25">
      <c r="A279"/>
      <c r="B279" t="s">
        <v>1093</v>
      </c>
      <c r="C279" t="s">
        <v>1</v>
      </c>
      <c r="D279" t="s">
        <v>2</v>
      </c>
      <c r="E279" t="s">
        <v>3</v>
      </c>
      <c r="F279" t="s">
        <v>1092</v>
      </c>
      <c r="G279" t="s">
        <v>5</v>
      </c>
      <c r="H279" t="s">
        <v>1358</v>
      </c>
      <c r="I279" t="s">
        <v>1096</v>
      </c>
    </row>
    <row r="280" spans="1:9" ht="60" x14ac:dyDescent="0.25">
      <c r="A280" s="166" t="s">
        <v>1406</v>
      </c>
      <c r="B280" s="165">
        <v>4</v>
      </c>
      <c r="C280" s="165">
        <v>5</v>
      </c>
      <c r="D280" s="165">
        <v>4</v>
      </c>
      <c r="E280" s="165">
        <v>7</v>
      </c>
      <c r="F280" s="165">
        <v>3</v>
      </c>
      <c r="G280" s="165">
        <v>4</v>
      </c>
      <c r="H280" s="165"/>
      <c r="I280" s="165">
        <v>27</v>
      </c>
    </row>
    <row r="281" spans="1:9" ht="15" x14ac:dyDescent="0.25">
      <c r="A281"/>
      <c r="B281" s="215">
        <f>+GETPIVOTDATA("55. Considero que la institución apoya suficientemente las iniciativas de movilidad académica de los docentes.",$A$278,"55. Considero que la institución apoya suficientemente las iniciativas de movilidad académica de los docentes.","Totalmente en desacuerdo / NO")/GETPIVOTDATA("55. Considero que la institución apoya suficientemente las iniciativas de movilidad académica de los docentes.",$A$278)</f>
        <v>0.14814814814814814</v>
      </c>
      <c r="C281" s="217">
        <f>+GETPIVOTDATA("55. Considero que la institución apoya suficientemente las iniciativas de movilidad académica de los docentes.",$A$278,"55. Considero que la institución apoya suficientemente las iniciativas de movilidad académica de los docentes.","En desacuerdo")/GETPIVOTDATA("55. Considero que la institución apoya suficientemente las iniciativas de movilidad académica de los docentes.",$A$278)</f>
        <v>0.18518518518518517</v>
      </c>
      <c r="D281" s="217">
        <f>+GETPIVOTDATA("55. Considero que la institución apoya suficientemente las iniciativas de movilidad académica de los docentes.",$A$278,"55. Considero que la institución apoya suficientemente las iniciativas de movilidad académica de los docentes.","Medianamente de acuerdo")/GETPIVOTDATA("55. Considero que la institución apoya suficientemente las iniciativas de movilidad académica de los docentes.",$A$278)</f>
        <v>0.14814814814814814</v>
      </c>
      <c r="E281" s="217">
        <f>+GETPIVOTDATA("55. Considero que la institución apoya suficientemente las iniciativas de movilidad académica de los docentes.",$A$278,"55. Considero que la institución apoya suficientemente las iniciativas de movilidad académica de los docentes.","De acuerdo")/GETPIVOTDATA("55. Considero que la institución apoya suficientemente las iniciativas de movilidad académica de los docentes.",$A$278)</f>
        <v>0.25925925925925924</v>
      </c>
      <c r="F281" s="217">
        <f>+GETPIVOTDATA("55. Considero que la institución apoya suficientemente las iniciativas de movilidad académica de los docentes.",$A$278,"55. Considero que la institución apoya suficientemente las iniciativas de movilidad académica de los docentes.","Totalmente de acuerdo / SI")/GETPIVOTDATA("55. Considero que la institución apoya suficientemente las iniciativas de movilidad académica de los docentes.",$A$278)</f>
        <v>0.1111111111111111</v>
      </c>
      <c r="G281" s="217">
        <f>+GETPIVOTDATA("55. Considero que la institución apoya suficientemente las iniciativas de movilidad académica de los docentes.",$A$278,"55. Considero que la institución apoya suficientemente las iniciativas de movilidad académica de los docentes.","No sabe / No puede opinar al respecto")/GETPIVOTDATA("55. Considero que la institución apoya suficientemente las iniciativas de movilidad académica de los docentes.",$A$278)</f>
        <v>0.14814814814814814</v>
      </c>
      <c r="I281" s="217">
        <f>SUM(B281:H281)</f>
        <v>1</v>
      </c>
    </row>
    <row r="282" spans="1:9" ht="15" x14ac:dyDescent="0.25">
      <c r="A282"/>
      <c r="B282" s="164" t="s">
        <v>2816</v>
      </c>
      <c r="C282"/>
      <c r="D282"/>
      <c r="E282"/>
      <c r="F282"/>
      <c r="G282"/>
      <c r="H282"/>
      <c r="I282"/>
    </row>
    <row r="283" spans="1:9" ht="15" x14ac:dyDescent="0.25">
      <c r="A283"/>
      <c r="B283" t="s">
        <v>1093</v>
      </c>
      <c r="C283" t="s">
        <v>1</v>
      </c>
      <c r="D283" t="s">
        <v>2</v>
      </c>
      <c r="E283" t="s">
        <v>3</v>
      </c>
      <c r="F283" t="s">
        <v>1092</v>
      </c>
      <c r="G283" t="s">
        <v>5</v>
      </c>
      <c r="H283" t="s">
        <v>1358</v>
      </c>
      <c r="I283" t="s">
        <v>1096</v>
      </c>
    </row>
    <row r="284" spans="1:9" ht="75" x14ac:dyDescent="0.25">
      <c r="A284" s="166" t="s">
        <v>1407</v>
      </c>
      <c r="B284" s="165">
        <v>5</v>
      </c>
      <c r="C284" s="165">
        <v>2</v>
      </c>
      <c r="D284" s="165">
        <v>4</v>
      </c>
      <c r="E284" s="165">
        <v>7</v>
      </c>
      <c r="F284" s="165">
        <v>7</v>
      </c>
      <c r="G284" s="165">
        <v>2</v>
      </c>
      <c r="H284" s="165"/>
      <c r="I284" s="165">
        <v>27</v>
      </c>
    </row>
    <row r="285" spans="1:9" ht="15" x14ac:dyDescent="0.25">
      <c r="A285"/>
      <c r="B285" s="215">
        <f>+GETPIVOTDATA("56. Considero que el programa académico al cual pertenezco promueve la participación en grupos de investigación. ",$A$282,"56. Considero que el programa académico al cual pertenezco promueve la participación en grupos de investigación. ","Totalmente en desacuerdo / NO")/GETPIVOTDATA("56. Considero que el programa académico al cual pertenezco promueve la participación en grupos de investigación. ",$A$282)</f>
        <v>0.18518518518518517</v>
      </c>
      <c r="C285" s="217">
        <f>+GETPIVOTDATA("56. Considero que el programa académico al cual pertenezco promueve la participación en grupos de investigación. ",$A$282,"56. Considero que el programa académico al cual pertenezco promueve la participación en grupos de investigación. ","En desacuerdo")/GETPIVOTDATA("56. Considero que el programa académico al cual pertenezco promueve la participación en grupos de investigación. ",$A$282)</f>
        <v>7.407407407407407E-2</v>
      </c>
      <c r="D285" s="217">
        <f>+GETPIVOTDATA("56. Considero que el programa académico al cual pertenezco promueve la participación en grupos de investigación. ",$A$282,"56. Considero que el programa académico al cual pertenezco promueve la participación en grupos de investigación. ","Medianamente de acuerdo")/GETPIVOTDATA("56. Considero que el programa académico al cual pertenezco promueve la participación en grupos de investigación. ",$A$282)</f>
        <v>0.14814814814814814</v>
      </c>
      <c r="E285" s="217">
        <f>+GETPIVOTDATA("56. Considero que el programa académico al cual pertenezco promueve la participación en grupos de investigación. ",$A$282,"56. Considero que el programa académico al cual pertenezco promueve la participación en grupos de investigación. ","De acuerdo")/GETPIVOTDATA("56. Considero que el programa académico al cual pertenezco promueve la participación en grupos de investigación. ",$A$282)</f>
        <v>0.25925925925925924</v>
      </c>
      <c r="F285" s="217">
        <f>+GETPIVOTDATA("56. Considero que el programa académico al cual pertenezco promueve la participación en grupos de investigación. ",$A$282,"56. Considero que el programa académico al cual pertenezco promueve la participación en grupos de investigación. ","Totalmente de acuerdo / SI")/GETPIVOTDATA("56. Considero que el programa académico al cual pertenezco promueve la participación en grupos de investigación. ",$A$282)</f>
        <v>0.25925925925925924</v>
      </c>
      <c r="G285" s="217">
        <f>+GETPIVOTDATA("56. Considero que el programa académico al cual pertenezco promueve la participación en grupos de investigación. ",$A$282,"56. Considero que el programa académico al cual pertenezco promueve la participación en grupos de investigación. ","No sabe / No puede opinar al respecto")/GETPIVOTDATA("56. Considero que el programa académico al cual pertenezco promueve la participación en grupos de investigación. ",$A$282)</f>
        <v>7.407407407407407E-2</v>
      </c>
      <c r="I285" s="217">
        <f>SUM(B285:H285)</f>
        <v>0.99999999999999989</v>
      </c>
    </row>
    <row r="286" spans="1:9" ht="15" x14ac:dyDescent="0.25">
      <c r="A286"/>
      <c r="B286" s="164" t="s">
        <v>2816</v>
      </c>
      <c r="C286"/>
      <c r="D286"/>
      <c r="E286"/>
      <c r="F286"/>
      <c r="G286"/>
      <c r="H286"/>
      <c r="I286"/>
    </row>
    <row r="287" spans="1:9" ht="15" x14ac:dyDescent="0.25">
      <c r="A287"/>
      <c r="B287" t="s">
        <v>1093</v>
      </c>
      <c r="C287" t="s">
        <v>1</v>
      </c>
      <c r="D287" t="s">
        <v>2</v>
      </c>
      <c r="E287" t="s">
        <v>3</v>
      </c>
      <c r="F287" t="s">
        <v>1092</v>
      </c>
      <c r="G287" t="s">
        <v>5</v>
      </c>
      <c r="H287" t="s">
        <v>1358</v>
      </c>
      <c r="I287" t="s">
        <v>1096</v>
      </c>
    </row>
    <row r="288" spans="1:9" ht="75" x14ac:dyDescent="0.25">
      <c r="A288" s="166" t="s">
        <v>1408</v>
      </c>
      <c r="B288" s="165">
        <v>4</v>
      </c>
      <c r="C288" s="165">
        <v>3</v>
      </c>
      <c r="D288" s="165">
        <v>11</v>
      </c>
      <c r="E288" s="165">
        <v>5</v>
      </c>
      <c r="F288" s="165">
        <v>2</v>
      </c>
      <c r="G288" s="165">
        <v>2</v>
      </c>
      <c r="H288" s="165"/>
      <c r="I288" s="165">
        <v>27</v>
      </c>
    </row>
    <row r="289" spans="1:9" ht="15" x14ac:dyDescent="0.25">
      <c r="A289"/>
      <c r="B289" s="215">
        <f>+GETPIVOTDATA("57. El programa académico al cual pertenezco muestra una dinámica de integración a redes académicas externas. ",$A$286,"57. El programa académico al cual pertenezco muestra una dinámica de integración a redes académicas externas. ","Totalmente en desacuerdo / NO")/GETPIVOTDATA("57. El programa académico al cual pertenezco muestra una dinámica de integración a redes académicas externas. ",$A$286)</f>
        <v>0.14814814814814814</v>
      </c>
      <c r="C289" s="217">
        <f>+GETPIVOTDATA("57. El programa académico al cual pertenezco muestra una dinámica de integración a redes académicas externas. ",$A$286,"57. El programa académico al cual pertenezco muestra una dinámica de integración a redes académicas externas. ","En desacuerdo")/GETPIVOTDATA("57. El programa académico al cual pertenezco muestra una dinámica de integración a redes académicas externas. ",$A$286)</f>
        <v>0.1111111111111111</v>
      </c>
      <c r="D289" s="217">
        <f>+GETPIVOTDATA("57. El programa académico al cual pertenezco muestra una dinámica de integración a redes académicas externas. ",$A$286,"57. El programa académico al cual pertenezco muestra una dinámica de integración a redes académicas externas. ","Medianamente de acuerdo")/GETPIVOTDATA("57. El programa académico al cual pertenezco muestra una dinámica de integración a redes académicas externas. ",$A$286)</f>
        <v>0.40740740740740738</v>
      </c>
      <c r="E289" s="217">
        <f>+GETPIVOTDATA("57. El programa académico al cual pertenezco muestra una dinámica de integración a redes académicas externas. ",$A$286,"57. El programa académico al cual pertenezco muestra una dinámica de integración a redes académicas externas. ","De acuerdo")/GETPIVOTDATA("57. El programa académico al cual pertenezco muestra una dinámica de integración a redes académicas externas. ",$A$286)</f>
        <v>0.18518518518518517</v>
      </c>
      <c r="F289" s="217">
        <f>+GETPIVOTDATA("57. El programa académico al cual pertenezco muestra una dinámica de integración a redes académicas externas. ",$A$286,"57. El programa académico al cual pertenezco muestra una dinámica de integración a redes académicas externas. ","Totalmente de acuerdo / SI")/GETPIVOTDATA("57. El programa académico al cual pertenezco muestra una dinámica de integración a redes académicas externas. ",$A$286)</f>
        <v>7.407407407407407E-2</v>
      </c>
      <c r="G289" s="217">
        <f>+GETPIVOTDATA("57. El programa académico al cual pertenezco muestra una dinámica de integración a redes académicas externas. ",$A$286,"57. El programa académico al cual pertenezco muestra una dinámica de integración a redes académicas externas. ","No sabe / No puede opinar al respecto")/GETPIVOTDATA("57. El programa académico al cual pertenezco muestra una dinámica de integración a redes académicas externas. ",$A$286)</f>
        <v>7.407407407407407E-2</v>
      </c>
      <c r="I289" s="217">
        <f>SUM(B289:H289)</f>
        <v>1</v>
      </c>
    </row>
    <row r="290" spans="1:9" ht="15" x14ac:dyDescent="0.25">
      <c r="A290"/>
      <c r="B290" s="164" t="s">
        <v>2816</v>
      </c>
      <c r="C290"/>
      <c r="D290"/>
      <c r="E290"/>
      <c r="F290"/>
      <c r="G290"/>
      <c r="H290"/>
      <c r="I290"/>
    </row>
    <row r="291" spans="1:9" ht="15" x14ac:dyDescent="0.25">
      <c r="A291"/>
      <c r="B291" t="s">
        <v>1093</v>
      </c>
      <c r="C291" t="s">
        <v>1</v>
      </c>
      <c r="D291" t="s">
        <v>2</v>
      </c>
      <c r="E291" t="s">
        <v>3</v>
      </c>
      <c r="F291" t="s">
        <v>1092</v>
      </c>
      <c r="G291" t="s">
        <v>5</v>
      </c>
      <c r="H291" t="s">
        <v>1358</v>
      </c>
      <c r="I291" t="s">
        <v>1096</v>
      </c>
    </row>
    <row r="292" spans="1:9" ht="45" x14ac:dyDescent="0.25">
      <c r="A292" s="166" t="s">
        <v>1409</v>
      </c>
      <c r="B292" s="165">
        <v>6</v>
      </c>
      <c r="C292" s="165">
        <v>2</v>
      </c>
      <c r="D292" s="165">
        <v>8</v>
      </c>
      <c r="E292" s="165">
        <v>9</v>
      </c>
      <c r="F292" s="165">
        <v>1</v>
      </c>
      <c r="G292" s="165">
        <v>1</v>
      </c>
      <c r="H292" s="165"/>
      <c r="I292" s="165">
        <v>27</v>
      </c>
    </row>
    <row r="293" spans="1:9" ht="15" x14ac:dyDescent="0.25">
      <c r="A293"/>
      <c r="B293" s="215">
        <f>+GETPIVOTDATA("58.1. Considero que los servicios de Bienestar Universitario son: SUFICIENTES",$A$290,"58.1. Considero que los servicios de Bienestar Universitario son: SUFICIENTES","Totalmente en desacuerdo / NO")/GETPIVOTDATA("58.1. Considero que los servicios de Bienestar Universitario son: SUFICIENTES",$A$290)</f>
        <v>0.22222222222222221</v>
      </c>
      <c r="C293" s="217">
        <f>+GETPIVOTDATA("58.1. Considero que los servicios de Bienestar Universitario son: SUFICIENTES",$A$290,"58.1. Considero que los servicios de Bienestar Universitario son: SUFICIENTES","En desacuerdo")/GETPIVOTDATA("58.1. Considero que los servicios de Bienestar Universitario son: SUFICIENTES",$A$290)</f>
        <v>7.407407407407407E-2</v>
      </c>
      <c r="D293" s="217">
        <f>+GETPIVOTDATA("58.1. Considero que los servicios de Bienestar Universitario son: SUFICIENTES",$A$290,"58.1. Considero que los servicios de Bienestar Universitario son: SUFICIENTES","Medianamente de acuerdo")/GETPIVOTDATA("58.1. Considero que los servicios de Bienestar Universitario son: SUFICIENTES",$A$290)</f>
        <v>0.29629629629629628</v>
      </c>
      <c r="E293" s="217">
        <f>+GETPIVOTDATA("58.1. Considero que los servicios de Bienestar Universitario son: SUFICIENTES",$A$290,"58.1. Considero que los servicios de Bienestar Universitario son: SUFICIENTES","De acuerdo")/GETPIVOTDATA("58.1. Considero que los servicios de Bienestar Universitario son: SUFICIENTES",$A$290)</f>
        <v>0.33333333333333331</v>
      </c>
      <c r="F293" s="217">
        <f>+GETPIVOTDATA("58.1. Considero que los servicios de Bienestar Universitario son: SUFICIENTES",$A$290,"58.1. Considero que los servicios de Bienestar Universitario son: SUFICIENTES","Totalmente de acuerdo / SI")/GETPIVOTDATA("58.1. Considero que los servicios de Bienestar Universitario son: SUFICIENTES",$A$290)</f>
        <v>3.7037037037037035E-2</v>
      </c>
      <c r="G293" s="217">
        <f>+GETPIVOTDATA("58.1. Considero que los servicios de Bienestar Universitario son: SUFICIENTES",$A$290,"58.1. Considero que los servicios de Bienestar Universitario son: SUFICIENTES","No sabe / No puede opinar al respecto")/GETPIVOTDATA("58.1. Considero que los servicios de Bienestar Universitario son: SUFICIENTES",$A$290)</f>
        <v>3.7037037037037035E-2</v>
      </c>
      <c r="I293" s="217">
        <f>SUM(B293:H293)</f>
        <v>0.99999999999999978</v>
      </c>
    </row>
    <row r="294" spans="1:9" ht="15" x14ac:dyDescent="0.25">
      <c r="A294"/>
      <c r="B294" s="164" t="s">
        <v>2816</v>
      </c>
      <c r="C294"/>
      <c r="D294"/>
      <c r="E294"/>
      <c r="F294"/>
      <c r="G294"/>
      <c r="H294"/>
      <c r="I294"/>
    </row>
    <row r="295" spans="1:9" ht="15" x14ac:dyDescent="0.25">
      <c r="A295"/>
      <c r="B295" t="s">
        <v>1093</v>
      </c>
      <c r="C295" t="s">
        <v>1</v>
      </c>
      <c r="D295" t="s">
        <v>2</v>
      </c>
      <c r="E295" t="s">
        <v>3</v>
      </c>
      <c r="F295" t="s">
        <v>1092</v>
      </c>
      <c r="G295" t="s">
        <v>5</v>
      </c>
      <c r="H295" t="s">
        <v>1358</v>
      </c>
      <c r="I295" t="s">
        <v>1096</v>
      </c>
    </row>
    <row r="296" spans="1:9" ht="45" x14ac:dyDescent="0.25">
      <c r="A296" s="166" t="s">
        <v>1410</v>
      </c>
      <c r="B296" s="165">
        <v>5</v>
      </c>
      <c r="C296" s="165">
        <v>2</v>
      </c>
      <c r="D296" s="165">
        <v>5</v>
      </c>
      <c r="E296" s="165">
        <v>12</v>
      </c>
      <c r="F296" s="165">
        <v>2</v>
      </c>
      <c r="G296" s="165">
        <v>1</v>
      </c>
      <c r="H296" s="165"/>
      <c r="I296" s="165">
        <v>27</v>
      </c>
    </row>
    <row r="297" spans="1:9" ht="15" x14ac:dyDescent="0.25">
      <c r="A297"/>
      <c r="B297" s="215">
        <f>+GETPIVOTDATA("58.2. Considero que los servicios de Bienestar Universitario son: ADECUADOS",$A$294,"58.2. Considero que los servicios de Bienestar Universitario son: ADECUADOS","Totalmente en desacuerdo / NO")/GETPIVOTDATA("58.2. Considero que los servicios de Bienestar Universitario son: ADECUADOS",$A$294)</f>
        <v>0.18518518518518517</v>
      </c>
      <c r="C297" s="217">
        <f>+GETPIVOTDATA("58.2. Considero que los servicios de Bienestar Universitario son: ADECUADOS",$A$294,"58.2. Considero que los servicios de Bienestar Universitario son: ADECUADOS","En desacuerdo")/GETPIVOTDATA("58.2. Considero que los servicios de Bienestar Universitario son: ADECUADOS",$A$294)</f>
        <v>7.407407407407407E-2</v>
      </c>
      <c r="D297" s="217">
        <f>+GETPIVOTDATA("58.2. Considero que los servicios de Bienestar Universitario son: ADECUADOS",$A$294,"58.2. Considero que los servicios de Bienestar Universitario son: ADECUADOS","Medianamente de acuerdo")/GETPIVOTDATA("58.2. Considero que los servicios de Bienestar Universitario son: ADECUADOS",$A$294)</f>
        <v>0.18518518518518517</v>
      </c>
      <c r="E297" s="217">
        <f>+GETPIVOTDATA("58.2. Considero que los servicios de Bienestar Universitario son: ADECUADOS",$A$294,"58.2. Considero que los servicios de Bienestar Universitario son: ADECUADOS","De acuerdo")/GETPIVOTDATA("58.2. Considero que los servicios de Bienestar Universitario son: ADECUADOS",$A$294)</f>
        <v>0.44444444444444442</v>
      </c>
      <c r="F297" s="217">
        <f>+GETPIVOTDATA("58.2. Considero que los servicios de Bienestar Universitario son: ADECUADOS",$A$294,"58.2. Considero que los servicios de Bienestar Universitario son: ADECUADOS","Totalmente de acuerdo / SI")/GETPIVOTDATA("58.2. Considero que los servicios de Bienestar Universitario son: ADECUADOS",$A$294)</f>
        <v>7.407407407407407E-2</v>
      </c>
      <c r="G297" s="217">
        <f>+GETPIVOTDATA("58.2. Considero que los servicios de Bienestar Universitario son: ADECUADOS",$A$294,"58.2. Considero que los servicios de Bienestar Universitario son: ADECUADOS","No sabe / No puede opinar al respecto")/GETPIVOTDATA("58.2. Considero que los servicios de Bienestar Universitario son: ADECUADOS",$A$294)</f>
        <v>3.7037037037037035E-2</v>
      </c>
      <c r="I297" s="217">
        <f>SUM(B297:H297)</f>
        <v>1</v>
      </c>
    </row>
    <row r="298" spans="1:9" ht="15" x14ac:dyDescent="0.25">
      <c r="A298"/>
      <c r="B298" s="164" t="s">
        <v>2816</v>
      </c>
      <c r="C298"/>
      <c r="D298"/>
      <c r="E298"/>
      <c r="F298"/>
      <c r="G298"/>
      <c r="H298"/>
      <c r="I298"/>
    </row>
    <row r="299" spans="1:9" ht="15" x14ac:dyDescent="0.25">
      <c r="A299"/>
      <c r="B299" t="s">
        <v>1093</v>
      </c>
      <c r="C299" t="s">
        <v>1</v>
      </c>
      <c r="D299" t="s">
        <v>2</v>
      </c>
      <c r="E299" t="s">
        <v>3</v>
      </c>
      <c r="F299" t="s">
        <v>1092</v>
      </c>
      <c r="G299" t="s">
        <v>5</v>
      </c>
      <c r="H299" t="s">
        <v>1358</v>
      </c>
      <c r="I299" t="s">
        <v>1096</v>
      </c>
    </row>
    <row r="300" spans="1:9" ht="45" x14ac:dyDescent="0.25">
      <c r="A300" s="166" t="s">
        <v>1411</v>
      </c>
      <c r="B300" s="165">
        <v>3</v>
      </c>
      <c r="C300" s="165">
        <v>5</v>
      </c>
      <c r="D300" s="165">
        <v>5</v>
      </c>
      <c r="E300" s="165">
        <v>11</v>
      </c>
      <c r="F300" s="165">
        <v>2</v>
      </c>
      <c r="G300" s="165">
        <v>1</v>
      </c>
      <c r="H300" s="165"/>
      <c r="I300" s="165">
        <v>27</v>
      </c>
    </row>
    <row r="301" spans="1:9" ht="15" x14ac:dyDescent="0.25">
      <c r="A301"/>
      <c r="B301" s="215">
        <f>+GETPIVOTDATA("58.3. Considero que los servicios de Bienestar Universitario son: ACCESIBLES",$A$298,"58.3. Considero que los servicios de Bienestar Universitario son: ACCESIBLES","Totalmente en desacuerdo / NO")/GETPIVOTDATA("58.3. Considero que los servicios de Bienestar Universitario son: ACCESIBLES",$A$298)</f>
        <v>0.1111111111111111</v>
      </c>
      <c r="C301" s="217">
        <f>+GETPIVOTDATA("58.3. Considero que los servicios de Bienestar Universitario son: ACCESIBLES",$A$298,"58.3. Considero que los servicios de Bienestar Universitario son: ACCESIBLES","En desacuerdo")/GETPIVOTDATA("58.3. Considero que los servicios de Bienestar Universitario son: ACCESIBLES",$A$298)</f>
        <v>0.18518518518518517</v>
      </c>
      <c r="D301" s="217">
        <f>+GETPIVOTDATA("58.3. Considero que los servicios de Bienestar Universitario son: ACCESIBLES",$A$298,"58.3. Considero que los servicios de Bienestar Universitario son: ACCESIBLES","Medianamente de acuerdo")/GETPIVOTDATA("58.3. Considero que los servicios de Bienestar Universitario son: ACCESIBLES",$A$298)</f>
        <v>0.18518518518518517</v>
      </c>
      <c r="E301" s="217">
        <f>+GETPIVOTDATA("58.3. Considero que los servicios de Bienestar Universitario son: ACCESIBLES",$A$298,"58.3. Considero que los servicios de Bienestar Universitario son: ACCESIBLES","De acuerdo")/GETPIVOTDATA("58.3. Considero que los servicios de Bienestar Universitario son: ACCESIBLES",$A$298)</f>
        <v>0.40740740740740738</v>
      </c>
      <c r="F301" s="217">
        <f>+GETPIVOTDATA("58.3. Considero que los servicios de Bienestar Universitario son: ACCESIBLES",$A$298,"58.3. Considero que los servicios de Bienestar Universitario son: ACCESIBLES","Totalmente de acuerdo / SI")/GETPIVOTDATA("58.3. Considero que los servicios de Bienestar Universitario son: ACCESIBLES",$A$298)</f>
        <v>7.407407407407407E-2</v>
      </c>
      <c r="G301" s="217">
        <f>+GETPIVOTDATA("58.3. Considero que los servicios de Bienestar Universitario son: ACCESIBLES",$A$298,"58.3. Considero que los servicios de Bienestar Universitario son: ACCESIBLES","No sabe / No puede opinar al respecto")/GETPIVOTDATA("58.3. Considero que los servicios de Bienestar Universitario son: ACCESIBLES",$A$298)</f>
        <v>3.7037037037037035E-2</v>
      </c>
      <c r="I301" s="217">
        <f>SUM(B301:H301)</f>
        <v>1</v>
      </c>
    </row>
    <row r="302" spans="1:9" ht="15" x14ac:dyDescent="0.25">
      <c r="A302"/>
      <c r="B302" s="164" t="s">
        <v>2816</v>
      </c>
      <c r="C302"/>
      <c r="D302"/>
      <c r="E302"/>
      <c r="F302"/>
    </row>
    <row r="303" spans="1:9" ht="15" x14ac:dyDescent="0.25">
      <c r="A303"/>
      <c r="B303" t="s">
        <v>2</v>
      </c>
      <c r="C303" t="s">
        <v>3</v>
      </c>
      <c r="D303" t="s">
        <v>1092</v>
      </c>
      <c r="E303" t="s">
        <v>1358</v>
      </c>
      <c r="F303" t="s">
        <v>1096</v>
      </c>
    </row>
    <row r="304" spans="1:9" ht="75" x14ac:dyDescent="0.25">
      <c r="A304" s="166" t="s">
        <v>1412</v>
      </c>
      <c r="B304" s="165">
        <v>2</v>
      </c>
      <c r="C304" s="165">
        <v>3</v>
      </c>
      <c r="D304" s="165">
        <v>22</v>
      </c>
      <c r="E304" s="165"/>
      <c r="F304" s="165">
        <v>27</v>
      </c>
    </row>
    <row r="305" spans="1:9" ht="15" x14ac:dyDescent="0.25">
      <c r="A305"/>
      <c r="B305" s="215">
        <f>+GETPIVOTDATA("59. Considero que la atención por parte del personal administrativo del programa académico al cual pertenezco es idónea. ",$A$302,"59. Considero que la atención por parte del personal administrativo del programa académico al cual pertenezco es idónea. ","Medianamente de acuerdo")/GETPIVOTDATA("59. Considero que la atención por parte del personal administrativo del programa académico al cual pertenezco es idónea. ",$A$302)</f>
        <v>7.407407407407407E-2</v>
      </c>
      <c r="C305" s="217">
        <f>+GETPIVOTDATA("59. Considero que la atención por parte del personal administrativo del programa académico al cual pertenezco es idónea. ",$A$302,"59. Considero que la atención por parte del personal administrativo del programa académico al cual pertenezco es idónea. ","De acuerdo")/GETPIVOTDATA("59. Considero que la atención por parte del personal administrativo del programa académico al cual pertenezco es idónea. ",$A$302)</f>
        <v>0.1111111111111111</v>
      </c>
      <c r="D305" s="217">
        <f>+GETPIVOTDATA("59. Considero que la atención por parte del personal administrativo del programa académico al cual pertenezco es idónea. ",$A$302,"59. Considero que la atención por parte del personal administrativo del programa académico al cual pertenezco es idónea. ","Totalmente de acuerdo / SI")/GETPIVOTDATA("59. Considero que la atención por parte del personal administrativo del programa académico al cual pertenezco es idónea. ",$A$302)</f>
        <v>0.81481481481481477</v>
      </c>
      <c r="I305" s="217">
        <f>SUM(B305:H305)</f>
        <v>1</v>
      </c>
    </row>
    <row r="306" spans="1:9" ht="15" x14ac:dyDescent="0.25">
      <c r="A306"/>
      <c r="B306" s="164" t="s">
        <v>2816</v>
      </c>
      <c r="C306"/>
      <c r="D306"/>
      <c r="E306"/>
      <c r="F306"/>
    </row>
    <row r="307" spans="1:9" ht="15" x14ac:dyDescent="0.25">
      <c r="A307"/>
      <c r="B307" t="s">
        <v>2</v>
      </c>
      <c r="C307" t="s">
        <v>3</v>
      </c>
      <c r="D307" t="s">
        <v>1092</v>
      </c>
      <c r="E307" t="s">
        <v>1358</v>
      </c>
      <c r="F307" t="s">
        <v>1096</v>
      </c>
    </row>
    <row r="308" spans="1:9" ht="105" x14ac:dyDescent="0.25">
      <c r="A308" s="166" t="s">
        <v>1413</v>
      </c>
      <c r="B308" s="165">
        <v>1</v>
      </c>
      <c r="C308" s="165">
        <v>7</v>
      </c>
      <c r="D308" s="165">
        <v>19</v>
      </c>
      <c r="E308" s="165"/>
      <c r="F308" s="165">
        <v>27</v>
      </c>
    </row>
    <row r="309" spans="1:9" ht="15" x14ac:dyDescent="0.25">
      <c r="A309"/>
      <c r="B309" s="215">
        <f>+GETPIVOTDATA("60.1. La organización, administración y gestión del programa académico al cual pertenezco permite cumplir los objetivos de: DESARROLLO REGULAR DE LOS ESPACIOS Y DE LOS SEMESTRES ACADÉMICOS.",$A$306,"60.1. La organización, administración y gestión del programa académico al cual pertenezco permite cumplir los objetivos de: DESARROLLO REGULAR DE LOS ESPACIOS Y DE LOS SEMESTRES ACADÉMICOS.","Medianamente de acuerdo")/GETPIVOTDATA("60.1. La organización, administración y gestión del programa académico al cual pertenezco permite cumplir los objetivos de: DESARROLLO REGULAR DE LOS ESPACIOS Y DE LOS SEMESTRES ACADÉMICOS.",$A$306)</f>
        <v>3.7037037037037035E-2</v>
      </c>
      <c r="C309" s="217">
        <f>+GETPIVOTDATA("60.1. La organización, administración y gestión del programa académico al cual pertenezco permite cumplir los objetivos de: DESARROLLO REGULAR DE LOS ESPACIOS Y DE LOS SEMESTRES ACADÉMICOS.",$A$306,"60.1. La organización, administración y gestión del programa académico al cual pertenezco permite cumplir los objetivos de: DESARROLLO REGULAR DE LOS ESPACIOS Y DE LOS SEMESTRES ACADÉMICOS.","De acuerdo")/GETPIVOTDATA("60.1. La organización, administración y gestión del programa académico al cual pertenezco permite cumplir los objetivos de: DESARROLLO REGULAR DE LOS ESPACIOS Y DE LOS SEMESTRES ACADÉMICOS.",$A$306)</f>
        <v>0.25925925925925924</v>
      </c>
      <c r="D309" s="217">
        <f>+GETPIVOTDATA("60.1. La organización, administración y gestión del programa académico al cual pertenezco permite cumplir los objetivos de: DESARROLLO REGULAR DE LOS ESPACIOS Y DE LOS SEMESTRES ACADÉMICOS.",$A$306,"60.1. La organización, administración y gestión del programa académico al cual pertenezco permite cumplir los objetivos de: DESARROLLO REGULAR DE LOS ESPACIOS Y DE LOS SEMESTRES ACADÉMICOS.","Totalmente de acuerdo / SI")/GETPIVOTDATA("60.1. La organización, administración y gestión del programa académico al cual pertenezco permite cumplir los objetivos de: DESARROLLO REGULAR DE LOS ESPACIOS Y DE LOS SEMESTRES ACADÉMICOS.",$A$306)</f>
        <v>0.70370370370370372</v>
      </c>
      <c r="I309" s="217">
        <f>SUM(B309:H309)</f>
        <v>1</v>
      </c>
    </row>
    <row r="310" spans="1:9" ht="15" x14ac:dyDescent="0.25">
      <c r="A310"/>
      <c r="B310" s="164" t="s">
        <v>2816</v>
      </c>
      <c r="C310"/>
      <c r="D310"/>
      <c r="E310"/>
      <c r="F310"/>
      <c r="G310"/>
      <c r="H310"/>
      <c r="I310"/>
    </row>
    <row r="311" spans="1:9" ht="15" x14ac:dyDescent="0.25">
      <c r="A311"/>
      <c r="B311" t="s">
        <v>1093</v>
      </c>
      <c r="C311" t="s">
        <v>1</v>
      </c>
      <c r="D311" t="s">
        <v>2</v>
      </c>
      <c r="E311" t="s">
        <v>3</v>
      </c>
      <c r="F311" t="s">
        <v>1092</v>
      </c>
      <c r="G311" t="s">
        <v>5</v>
      </c>
      <c r="H311" t="s">
        <v>1358</v>
      </c>
      <c r="I311" t="s">
        <v>1096</v>
      </c>
    </row>
    <row r="312" spans="1:9" ht="90" x14ac:dyDescent="0.25">
      <c r="A312" s="166" t="s">
        <v>1414</v>
      </c>
      <c r="B312" s="165">
        <v>3</v>
      </c>
      <c r="C312" s="165">
        <v>1</v>
      </c>
      <c r="D312" s="165">
        <v>2</v>
      </c>
      <c r="E312" s="165">
        <v>12</v>
      </c>
      <c r="F312" s="165">
        <v>8</v>
      </c>
      <c r="G312" s="165">
        <v>1</v>
      </c>
      <c r="H312" s="165"/>
      <c r="I312" s="165">
        <v>27</v>
      </c>
    </row>
    <row r="313" spans="1:9" ht="15" x14ac:dyDescent="0.25">
      <c r="A313"/>
      <c r="B313" s="215">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INVESTIGACIÓN","Totalmente en desacuerdo / NO")/GETPIVOTDATA("60.2. La organización, administración y gestión del programa académico al cual pertenezco permite cumplir los objetivos de: PROMOCIÓN DE LA CULTURA DE LA INVESTIGACIÓN",$A$310)</f>
        <v>0.1111111111111111</v>
      </c>
      <c r="C313" s="217">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INVESTIGACIÓN","En desacuerdo")/GETPIVOTDATA("60.2. La organización, administración y gestión del programa académico al cual pertenezco permite cumplir los objetivos de: PROMOCIÓN DE LA CULTURA DE LA INVESTIGACIÓN",$A$310)</f>
        <v>3.7037037037037035E-2</v>
      </c>
      <c r="D313" s="217">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INVESTIGACIÓN","Medianamente de acuerdo")/GETPIVOTDATA("60.2. La organización, administración y gestión del programa académico al cual pertenezco permite cumplir los objetivos de: PROMOCIÓN DE LA CULTURA DE LA INVESTIGACIÓN",$A$310)</f>
        <v>7.407407407407407E-2</v>
      </c>
      <c r="E313" s="217">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INVESTIGACIÓN","De acuerdo")/GETPIVOTDATA("60.2. La organización, administración y gestión del programa académico al cual pertenezco permite cumplir los objetivos de: PROMOCIÓN DE LA CULTURA DE LA INVESTIGACIÓN",$A$310)</f>
        <v>0.44444444444444442</v>
      </c>
      <c r="F313" s="217">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INVESTIGACIÓN","Totalmente de acuerdo / SI")/GETPIVOTDATA("60.2. La organización, administración y gestión del programa académico al cual pertenezco permite cumplir los objetivos de: PROMOCIÓN DE LA CULTURA DE LA INVESTIGACIÓN",$A$310)</f>
        <v>0.29629629629629628</v>
      </c>
      <c r="G313" s="217">
        <f>+GETPIVOTDATA("60.2. La organización, administración y gestión del programa académico al cual pertenezco permite cumplir los objetivos de: PROMOCIÓN DE LA CULTURA DE LA INVESTIGACIÓN",$A$310,"60.2. La organización, administración y gestión del programa académico al cual pertenezco permite cumplir los objetivos de: PROMOCIÓN DE LA CULTURA DE LA INVESTIGACIÓN","No sabe / No puede opinar al respecto")/GETPIVOTDATA("60.2. La organización, administración y gestión del programa académico al cual pertenezco permite cumplir los objetivos de: PROMOCIÓN DE LA CULTURA DE LA INVESTIGACIÓN",$A$310)</f>
        <v>3.7037037037037035E-2</v>
      </c>
      <c r="I313" s="217">
        <f>SUM(B313:H313)</f>
        <v>1</v>
      </c>
    </row>
    <row r="314" spans="1:9" ht="15" x14ac:dyDescent="0.25">
      <c r="A314"/>
      <c r="B314" s="164" t="s">
        <v>2816</v>
      </c>
      <c r="C314"/>
      <c r="D314"/>
      <c r="E314"/>
      <c r="F314"/>
      <c r="G314"/>
      <c r="H314"/>
      <c r="I314"/>
    </row>
    <row r="315" spans="1:9" ht="15" x14ac:dyDescent="0.25">
      <c r="A315"/>
      <c r="B315" t="s">
        <v>1093</v>
      </c>
      <c r="C315" t="s">
        <v>1</v>
      </c>
      <c r="D315" t="s">
        <v>2</v>
      </c>
      <c r="E315" t="s">
        <v>3</v>
      </c>
      <c r="F315" t="s">
        <v>1092</v>
      </c>
      <c r="G315" t="s">
        <v>5</v>
      </c>
      <c r="H315" t="s">
        <v>1358</v>
      </c>
      <c r="I315" t="s">
        <v>1096</v>
      </c>
    </row>
    <row r="316" spans="1:9" ht="105" x14ac:dyDescent="0.25">
      <c r="A316" s="166" t="s">
        <v>1415</v>
      </c>
      <c r="B316" s="165">
        <v>3</v>
      </c>
      <c r="C316" s="165">
        <v>1</v>
      </c>
      <c r="D316" s="165">
        <v>6</v>
      </c>
      <c r="E316" s="165">
        <v>7</v>
      </c>
      <c r="F316" s="165">
        <v>9</v>
      </c>
      <c r="G316" s="165">
        <v>1</v>
      </c>
      <c r="H316" s="165"/>
      <c r="I316" s="165">
        <v>27</v>
      </c>
    </row>
    <row r="317" spans="1:9" ht="15" x14ac:dyDescent="0.25">
      <c r="A317"/>
      <c r="B317" s="215">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ENTORNO.","Totalmente en desacuerdo / NO")/GETPIVOTDATA("60.3. La organización, administración y gestión del programa académico al cual pertenezco permite cumplir los objetivos de: INTEGRACIÓN CON LA COMUNIDAD Y CON EL ENTORNO.",$A$314)</f>
        <v>0.1111111111111111</v>
      </c>
      <c r="C317" s="217">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ENTORNO.","En desacuerdo")/GETPIVOTDATA("60.3. La organización, administración y gestión del programa académico al cual pertenezco permite cumplir los objetivos de: INTEGRACIÓN CON LA COMUNIDAD Y CON EL ENTORNO.",$A$314)</f>
        <v>3.7037037037037035E-2</v>
      </c>
      <c r="D317" s="217">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ENTORNO.","Medianamente de acuerdo")/GETPIVOTDATA("60.3. La organización, administración y gestión del programa académico al cual pertenezco permite cumplir los objetivos de: INTEGRACIÓN CON LA COMUNIDAD Y CON EL ENTORNO.",$A$314)</f>
        <v>0.22222222222222221</v>
      </c>
      <c r="E317" s="217">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ENTORNO.","De acuerdo")/GETPIVOTDATA("60.3. La organización, administración y gestión del programa académico al cual pertenezco permite cumplir los objetivos de: INTEGRACIÓN CON LA COMUNIDAD Y CON EL ENTORNO.",$A$314)</f>
        <v>0.25925925925925924</v>
      </c>
      <c r="F317" s="217">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ENTORNO.","Totalmente de acuerdo / SI")/GETPIVOTDATA("60.3. La organización, administración y gestión del programa académico al cual pertenezco permite cumplir los objetivos de: INTEGRACIÓN CON LA COMUNIDAD Y CON EL ENTORNO.",$A$314)</f>
        <v>0.33333333333333331</v>
      </c>
      <c r="G317" s="217">
        <f>+GETPIVOTDATA("60.3. La organización, administración y gestión del programa académico al cual pertenezco permite cumplir los objetivos de: INTEGRACIÓN CON LA COMUNIDAD Y CON EL ENTORNO.",$A$314,"60.3. La organización, administración y gestión del programa académico al cual pertenezco permite cumplir los objetivos de: INTEGRACIÓN CON LA COMUNIDAD Y CON EL ENTORNO.","No sabe / No puede opinar al respecto")/GETPIVOTDATA("60.3. La organización, administración y gestión del programa académico al cual pertenezco permite cumplir los objetivos de: INTEGRACIÓN CON LA COMUNIDAD Y CON EL ENTORNO.",$A$314)</f>
        <v>3.7037037037037035E-2</v>
      </c>
      <c r="I317" s="217">
        <f>SUM(B317:H317)</f>
        <v>0.99999999999999978</v>
      </c>
    </row>
    <row r="318" spans="1:9" ht="15" x14ac:dyDescent="0.25">
      <c r="A318"/>
      <c r="B318" s="164" t="s">
        <v>2816</v>
      </c>
      <c r="C318"/>
      <c r="D318"/>
      <c r="E318"/>
      <c r="F318"/>
      <c r="G318"/>
      <c r="H318"/>
      <c r="I318"/>
    </row>
    <row r="319" spans="1:9" ht="15" x14ac:dyDescent="0.25">
      <c r="A319"/>
      <c r="B319" t="s">
        <v>1093</v>
      </c>
      <c r="C319" t="s">
        <v>1</v>
      </c>
      <c r="D319" t="s">
        <v>2</v>
      </c>
      <c r="E319" t="s">
        <v>3</v>
      </c>
      <c r="F319" t="s">
        <v>1092</v>
      </c>
      <c r="G319" t="s">
        <v>5</v>
      </c>
      <c r="H319" t="s">
        <v>1358</v>
      </c>
      <c r="I319" t="s">
        <v>1096</v>
      </c>
    </row>
    <row r="320" spans="1:9" ht="60" x14ac:dyDescent="0.25">
      <c r="A320" s="166" t="s">
        <v>1416</v>
      </c>
      <c r="B320" s="165">
        <v>4</v>
      </c>
      <c r="C320" s="165">
        <v>2</v>
      </c>
      <c r="D320" s="165">
        <v>6</v>
      </c>
      <c r="E320" s="165">
        <v>9</v>
      </c>
      <c r="F320" s="165">
        <v>4</v>
      </c>
      <c r="G320" s="165">
        <v>2</v>
      </c>
      <c r="H320" s="165"/>
      <c r="I320" s="165">
        <v>27</v>
      </c>
    </row>
    <row r="321" spans="1:9" ht="15" x14ac:dyDescent="0.25">
      <c r="A321"/>
      <c r="B321" s="215">
        <f>+GETPIVOTDATA("61. Considero que la representación docente cumple su papel de comunicación entre los directivos y los docentes.",$A$318,"61. Considero que la representación docente cumple su papel de comunicación entre los directivos y los docentes.","Totalmente en desacuerdo / NO")/GETPIVOTDATA("61. Considero que la representación docente cumple su papel de comunicación entre los directivos y los docentes.",$A$318)</f>
        <v>0.14814814814814814</v>
      </c>
      <c r="C321" s="217">
        <f>+GETPIVOTDATA("61. Considero que la representación docente cumple su papel de comunicación entre los directivos y los docentes.",$A$318,"61. Considero que la representación docente cumple su papel de comunicación entre los directivos y los docentes.","En desacuerdo")/GETPIVOTDATA("61. Considero que la representación docente cumple su papel de comunicación entre los directivos y los docentes.",$A$318)</f>
        <v>7.407407407407407E-2</v>
      </c>
      <c r="D321" s="217">
        <f>+GETPIVOTDATA("61. Considero que la representación docente cumple su papel de comunicación entre los directivos y los docentes.",$A$318,"61. Considero que la representación docente cumple su papel de comunicación entre los directivos y los docentes.","Medianamente de acuerdo")/GETPIVOTDATA("61. Considero que la representación docente cumple su papel de comunicación entre los directivos y los docentes.",$A$318)</f>
        <v>0.22222222222222221</v>
      </c>
      <c r="E321" s="217">
        <f>+GETPIVOTDATA("61. Considero que la representación docente cumple su papel de comunicación entre los directivos y los docentes.",$A$318,"61. Considero que la representación docente cumple su papel de comunicación entre los directivos y los docentes.","De acuerdo")/GETPIVOTDATA("61. Considero que la representación docente cumple su papel de comunicación entre los directivos y los docentes.",$A$318)</f>
        <v>0.33333333333333331</v>
      </c>
      <c r="F321" s="217">
        <f>+GETPIVOTDATA("61. Considero que la representación docente cumple su papel de comunicación entre los directivos y los docentes.",$A$318,"61. Considero que la representación docente cumple su papel de comunicación entre los directivos y los docentes.","Totalmente de acuerdo / SI")/GETPIVOTDATA("61. Considero que la representación docente cumple su papel de comunicación entre los directivos y los docentes.",$A$318)</f>
        <v>0.14814814814814814</v>
      </c>
      <c r="G321" s="217">
        <f>+GETPIVOTDATA("61. Considero que la representación docente cumple su papel de comunicación entre los directivos y los docentes.",$A$318,"61. Considero que la representación docente cumple su papel de comunicación entre los directivos y los docentes.","No sabe / No puede opinar al respecto")/GETPIVOTDATA("61. Considero que la representación docente cumple su papel de comunicación entre los directivos y los docentes.",$A$318)</f>
        <v>7.407407407407407E-2</v>
      </c>
      <c r="I321" s="217">
        <f>SUM(B321:H321)</f>
        <v>0.99999999999999989</v>
      </c>
    </row>
    <row r="322" spans="1:9" ht="15" x14ac:dyDescent="0.25">
      <c r="A322"/>
      <c r="B322" s="164" t="s">
        <v>2816</v>
      </c>
      <c r="C322"/>
      <c r="D322"/>
      <c r="E322"/>
      <c r="F322"/>
      <c r="G322"/>
      <c r="H322"/>
      <c r="I322"/>
    </row>
    <row r="323" spans="1:9" ht="15" x14ac:dyDescent="0.25">
      <c r="A323"/>
      <c r="B323" t="s">
        <v>1093</v>
      </c>
      <c r="C323" t="s">
        <v>1</v>
      </c>
      <c r="D323" t="s">
        <v>2</v>
      </c>
      <c r="E323" t="s">
        <v>3</v>
      </c>
      <c r="F323" t="s">
        <v>1092</v>
      </c>
      <c r="G323" t="s">
        <v>5</v>
      </c>
      <c r="H323" t="s">
        <v>1358</v>
      </c>
      <c r="I323" t="s">
        <v>1096</v>
      </c>
    </row>
    <row r="324" spans="1:9" ht="75" x14ac:dyDescent="0.25">
      <c r="A324" s="166" t="s">
        <v>1417</v>
      </c>
      <c r="B324" s="165">
        <v>3</v>
      </c>
      <c r="C324" s="165">
        <v>1</v>
      </c>
      <c r="D324" s="165">
        <v>3</v>
      </c>
      <c r="E324" s="165">
        <v>9</v>
      </c>
      <c r="F324" s="165">
        <v>7</v>
      </c>
      <c r="G324" s="165">
        <v>4</v>
      </c>
      <c r="H324" s="165"/>
      <c r="I324" s="165">
        <v>27</v>
      </c>
    </row>
    <row r="325" spans="1:9" ht="15" x14ac:dyDescent="0.25">
      <c r="A325"/>
      <c r="B325" s="215">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","Totalmente en desacuerdo / NO")/GETPIVOTDATA("62. Considero que los representantes docentes han liderado propuestas para el mejoramiento del programa académico al cual pertenezco. ",$A$322)</f>
        <v>0.1111111111111111</v>
      </c>
      <c r="C325" s="217">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","En desacuerdo")/GETPIVOTDATA("62. Considero que los representantes docentes han liderado propuestas para el mejoramiento del programa académico al cual pertenezco. ",$A$322)</f>
        <v>3.7037037037037035E-2</v>
      </c>
      <c r="D325" s="217">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","Medianamente de acuerdo")/GETPIVOTDATA("62. Considero que los representantes docentes han liderado propuestas para el mejoramiento del programa académico al cual pertenezco. ",$A$322)</f>
        <v>0.1111111111111111</v>
      </c>
      <c r="E325" s="217">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","De acuerdo")/GETPIVOTDATA("62. Considero que los representantes docentes han liderado propuestas para el mejoramiento del programa académico al cual pertenezco. ",$A$322)</f>
        <v>0.33333333333333331</v>
      </c>
      <c r="F325" s="217">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","Totalmente de acuerdo / SI")/GETPIVOTDATA("62. Considero que los representantes docentes han liderado propuestas para el mejoramiento del programa académico al cual pertenezco. ",$A$322)</f>
        <v>0.25925925925925924</v>
      </c>
      <c r="G325" s="217">
        <f>+GETPIVOTDATA("62. Considero que los representantes docentes han liderado propuestas para el mejoramiento del programa académico al cual pertenezco. ",$A$322,"62. Considero que los representantes docentes han liderado propuestas para el mejoramiento del programa académico al cual pertenezco. ","No sabe / No puede opinar al respecto")/GETPIVOTDATA("62. Considero que los representantes docentes han liderado propuestas para el mejoramiento del programa académico al cual pertenezco. ",$A$322)</f>
        <v>0.14814814814814814</v>
      </c>
      <c r="I325" s="217">
        <f>SUM(B325:H325)</f>
        <v>1</v>
      </c>
    </row>
    <row r="326" spans="1:9" ht="15" x14ac:dyDescent="0.25">
      <c r="A326"/>
      <c r="B326" s="164" t="s">
        <v>2816</v>
      </c>
      <c r="C326"/>
      <c r="D326"/>
      <c r="E326"/>
      <c r="F326"/>
      <c r="G326"/>
      <c r="H326"/>
    </row>
    <row r="327" spans="1:9" ht="15" x14ac:dyDescent="0.25">
      <c r="A327"/>
      <c r="B327" t="s">
        <v>1093</v>
      </c>
      <c r="C327" t="s">
        <v>1</v>
      </c>
      <c r="D327" t="s">
        <v>2</v>
      </c>
      <c r="E327" t="s">
        <v>3</v>
      </c>
      <c r="F327" t="s">
        <v>1092</v>
      </c>
      <c r="G327" t="s">
        <v>1358</v>
      </c>
      <c r="H327" t="s">
        <v>1096</v>
      </c>
    </row>
    <row r="328" spans="1:9" ht="75" x14ac:dyDescent="0.25">
      <c r="A328" s="166" t="s">
        <v>1418</v>
      </c>
      <c r="B328" s="165">
        <v>2</v>
      </c>
      <c r="C328" s="165">
        <v>1</v>
      </c>
      <c r="D328" s="165">
        <v>5</v>
      </c>
      <c r="E328" s="165">
        <v>13</v>
      </c>
      <c r="F328" s="165">
        <v>6</v>
      </c>
      <c r="G328" s="165"/>
      <c r="H328" s="165">
        <v>27</v>
      </c>
    </row>
    <row r="329" spans="1:9" ht="15" x14ac:dyDescent="0.25">
      <c r="A329"/>
      <c r="B329" s="215">
        <f>+GETPIVOTDATA("63. Considero que los sistemas de información empleados por el programa académico al cual pertenezco son efectivos.",$A$326,"63. Considero que los sistemas de información empleados por el programa académico al cual pertenezco son efectivos.","Totalmente en desacuerdo / NO")/GETPIVOTDATA("63. Considero que los sistemas de información empleados por el programa académico al cual pertenezco son efectivos.",$A$326)</f>
        <v>7.407407407407407E-2</v>
      </c>
      <c r="C329" s="217">
        <f>+GETPIVOTDATA("63. Considero que los sistemas de información empleados por el programa académico al cual pertenezco son efectivos.",$A$326,"63. Considero que los sistemas de información empleados por el programa académico al cual pertenezco son efectivos.","En desacuerdo")/GETPIVOTDATA("63. Considero que los sistemas de información empleados por el programa académico al cual pertenezco son efectivos.",$A$326)</f>
        <v>3.7037037037037035E-2</v>
      </c>
      <c r="D329" s="217">
        <f>+GETPIVOTDATA("63. Considero que los sistemas de información empleados por el programa académico al cual pertenezco son efectivos.",$A$326,"63. Considero que los sistemas de información empleados por el programa académico al cual pertenezco son efectivos.","Medianamente de acuerdo")/GETPIVOTDATA("63. Considero que los sistemas de información empleados por el programa académico al cual pertenezco son efectivos.",$A$326)</f>
        <v>0.18518518518518517</v>
      </c>
      <c r="E329" s="217">
        <f>+GETPIVOTDATA("63. Considero que los sistemas de información empleados por el programa académico al cual pertenezco son efectivos.",$A$326,"63. Considero que los sistemas de información empleados por el programa académico al cual pertenezco son efectivos.","De acuerdo")/GETPIVOTDATA("63. Considero que los sistemas de información empleados por el programa académico al cual pertenezco son efectivos.",$A$326)</f>
        <v>0.48148148148148145</v>
      </c>
      <c r="F329" s="217">
        <f>+GETPIVOTDATA("63. Considero que los sistemas de información empleados por el programa académico al cual pertenezco son efectivos.",$A$326,"63. Considero que los sistemas de información empleados por el programa académico al cual pertenezco son efectivos.","Totalmente de acuerdo / SI")/GETPIVOTDATA("63. Considero que los sistemas de información empleados por el programa académico al cual pertenezco son efectivos.",$A$326)</f>
        <v>0.22222222222222221</v>
      </c>
      <c r="I329" s="217">
        <f>SUM(B329:H329)</f>
        <v>0.99999999999999989</v>
      </c>
    </row>
    <row r="330" spans="1:9" ht="15" x14ac:dyDescent="0.25">
      <c r="A330"/>
      <c r="B330" s="164" t="s">
        <v>2816</v>
      </c>
      <c r="C330"/>
      <c r="D330"/>
      <c r="E330"/>
      <c r="F330"/>
    </row>
    <row r="331" spans="1:9" ht="15" x14ac:dyDescent="0.25">
      <c r="A331"/>
      <c r="B331" t="s">
        <v>2</v>
      </c>
      <c r="C331" t="s">
        <v>3</v>
      </c>
      <c r="D331" t="s">
        <v>1092</v>
      </c>
      <c r="E331" t="s">
        <v>1358</v>
      </c>
      <c r="F331" t="s">
        <v>1096</v>
      </c>
    </row>
    <row r="332" spans="1:9" ht="60" x14ac:dyDescent="0.25">
      <c r="A332" s="166" t="s">
        <v>1419</v>
      </c>
      <c r="B332" s="165">
        <v>3</v>
      </c>
      <c r="C332" s="165">
        <v>10</v>
      </c>
      <c r="D332" s="165">
        <v>14</v>
      </c>
      <c r="E332" s="165"/>
      <c r="F332" s="165">
        <v>27</v>
      </c>
    </row>
    <row r="333" spans="1:9" ht="15" x14ac:dyDescent="0.25">
      <c r="A333"/>
      <c r="B333" s="215">
        <f>+GETPIVOTDATA("64. Considero que las orientaciones de los directivos del programa académico al cual pertenezco son adecuadas. ",$A$330,"64. Considero que las orientaciones de los directivos del programa académico al cual pertenezco son adecuadas. ","Medianamente de acuerdo")/GETPIVOTDATA("64. Considero que las orientaciones de los directivos del programa académico al cual pertenezco son adecuadas. ",$A$330)</f>
        <v>0.1111111111111111</v>
      </c>
      <c r="C333" s="217">
        <f>+GETPIVOTDATA("64. Considero que las orientaciones de los directivos del programa académico al cual pertenezco son adecuadas. ",$A$330,"64. Considero que las orientaciones de los directivos del programa académico al cual pertenezco son adecuadas. ","De acuerdo")/GETPIVOTDATA("64. Considero que las orientaciones de los directivos del programa académico al cual pertenezco son adecuadas. ",$A$330)</f>
        <v>0.37037037037037035</v>
      </c>
      <c r="D333" s="217">
        <f>+GETPIVOTDATA("64. Considero que las orientaciones de los directivos del programa académico al cual pertenezco son adecuadas. ",$A$330,"64. Considero que las orientaciones de los directivos del programa académico al cual pertenezco son adecuadas. ","Totalmente de acuerdo / SI")/GETPIVOTDATA("64. Considero que las orientaciones de los directivos del programa académico al cual pertenezco son adecuadas. ",$A$330)</f>
        <v>0.51851851851851849</v>
      </c>
      <c r="I333" s="217">
        <f>SUM(B333:H333)</f>
        <v>1</v>
      </c>
    </row>
    <row r="334" spans="1:9" ht="15" x14ac:dyDescent="0.25">
      <c r="A334"/>
      <c r="B334" s="164" t="s">
        <v>2816</v>
      </c>
      <c r="C334"/>
      <c r="D334"/>
      <c r="E334"/>
      <c r="F334"/>
      <c r="G334"/>
      <c r="H334"/>
    </row>
    <row r="335" spans="1:9" ht="15" x14ac:dyDescent="0.25">
      <c r="A335"/>
      <c r="B335" t="s">
        <v>1093</v>
      </c>
      <c r="C335" t="s">
        <v>1</v>
      </c>
      <c r="D335" t="s">
        <v>2</v>
      </c>
      <c r="E335" t="s">
        <v>3</v>
      </c>
      <c r="F335" t="s">
        <v>1092</v>
      </c>
      <c r="G335" t="s">
        <v>1358</v>
      </c>
      <c r="H335" t="s">
        <v>1096</v>
      </c>
    </row>
    <row r="336" spans="1:9" ht="60" x14ac:dyDescent="0.25">
      <c r="A336" s="166" t="s">
        <v>1420</v>
      </c>
      <c r="B336" s="165">
        <v>2</v>
      </c>
      <c r="C336" s="165">
        <v>2</v>
      </c>
      <c r="D336" s="165">
        <v>6</v>
      </c>
      <c r="E336" s="165">
        <v>7</v>
      </c>
      <c r="F336" s="165">
        <v>10</v>
      </c>
      <c r="G336" s="165"/>
      <c r="H336" s="165">
        <v>27</v>
      </c>
    </row>
    <row r="337" spans="1:9" ht="15" x14ac:dyDescent="0.25">
      <c r="A337"/>
      <c r="B337" s="215">
        <f>+GETPIVOTDATA("65. Me entero de las decisiones del Consejo Curricular del programa académico al cual pertenezco.",$A$334,"65. Me entero de las decisiones del Consejo Curricular del programa académico al cual pertenezco.","Totalmente en desacuerdo / NO")/GETPIVOTDATA("65. Me entero de las decisiones del Consejo Curricular del programa académico al cual pertenezco.",$A$334)</f>
        <v>7.407407407407407E-2</v>
      </c>
      <c r="C337" s="217">
        <f>+GETPIVOTDATA("65. Me entero de las decisiones del Consejo Curricular del programa académico al cual pertenezco.",$A$334,"65. Me entero de las decisiones del Consejo Curricular del programa académico al cual pertenezco.","En desacuerdo")/GETPIVOTDATA("65. Me entero de las decisiones del Consejo Curricular del programa académico al cual pertenezco.",$A$334)</f>
        <v>7.407407407407407E-2</v>
      </c>
      <c r="D337" s="217">
        <f>+GETPIVOTDATA("65. Me entero de las decisiones del Consejo Curricular del programa académico al cual pertenezco.",$A$334,"65. Me entero de las decisiones del Consejo Curricular del programa académico al cual pertenezco.","Medianamente de acuerdo")/GETPIVOTDATA("65. Me entero de las decisiones del Consejo Curricular del programa académico al cual pertenezco.",$A$334)</f>
        <v>0.22222222222222221</v>
      </c>
      <c r="E337" s="217">
        <f>+GETPIVOTDATA("65. Me entero de las decisiones del Consejo Curricular del programa académico al cual pertenezco.",$A$334,"65. Me entero de las decisiones del Consejo Curricular del programa académico al cual pertenezco.","De acuerdo")/GETPIVOTDATA("65. Me entero de las decisiones del Consejo Curricular del programa académico al cual pertenezco.",$A$334)</f>
        <v>0.25925925925925924</v>
      </c>
      <c r="F337" s="217">
        <f>+GETPIVOTDATA("65. Me entero de las decisiones del Consejo Curricular del programa académico al cual pertenezco.",$A$334,"65. Me entero de las decisiones del Consejo Curricular del programa académico al cual pertenezco.","Totalmente de acuerdo / SI")/GETPIVOTDATA("65. Me entero de las decisiones del Consejo Curricular del programa académico al cual pertenezco.",$A$334)</f>
        <v>0.37037037037037035</v>
      </c>
      <c r="I337" s="217">
        <f>SUM(B337:H337)</f>
        <v>0.99999999999999989</v>
      </c>
    </row>
    <row r="338" spans="1:9" ht="15" x14ac:dyDescent="0.25">
      <c r="A338"/>
      <c r="B338" s="164" t="s">
        <v>2816</v>
      </c>
      <c r="C338"/>
      <c r="D338"/>
      <c r="E338"/>
      <c r="F338"/>
    </row>
    <row r="339" spans="1:9" ht="15" x14ac:dyDescent="0.25">
      <c r="A339"/>
      <c r="B339" t="s">
        <v>2</v>
      </c>
      <c r="C339" t="s">
        <v>3</v>
      </c>
      <c r="D339" t="s">
        <v>1092</v>
      </c>
      <c r="E339" t="s">
        <v>1358</v>
      </c>
      <c r="F339" t="s">
        <v>1096</v>
      </c>
    </row>
    <row r="340" spans="1:9" ht="60" x14ac:dyDescent="0.25">
      <c r="A340" s="166" t="s">
        <v>1421</v>
      </c>
      <c r="B340" s="165">
        <v>3</v>
      </c>
      <c r="C340" s="165">
        <v>10</v>
      </c>
      <c r="D340" s="165">
        <v>14</v>
      </c>
      <c r="E340" s="165"/>
      <c r="F340" s="165">
        <v>27</v>
      </c>
    </row>
    <row r="341" spans="1:9" ht="15" x14ac:dyDescent="0.25">
      <c r="A341"/>
      <c r="B341" s="215">
        <f>+GETPIVOTDATA("66. Considero que el liderazgo ejercido por los directivos del programa académico al cual pertenezco es idóneo.",$A$338,"66. Considero que el liderazgo ejercido por los directivos del programa académico al cual pertenezco es idóneo.","Medianamente de acuerdo")/GETPIVOTDATA("66. Considero que el liderazgo ejercido por los directivos del programa académico al cual pertenezco es idóneo.",$A$338)</f>
        <v>0.1111111111111111</v>
      </c>
      <c r="C341" s="217">
        <f>+GETPIVOTDATA("66. Considero que el liderazgo ejercido por los directivos del programa académico al cual pertenezco es idóneo.",$A$338,"66. Considero que el liderazgo ejercido por los directivos del programa académico al cual pertenezco es idóneo.","De acuerdo")/GETPIVOTDATA("66. Considero que el liderazgo ejercido por los directivos del programa académico al cual pertenezco es idóneo.",$A$338)</f>
        <v>0.37037037037037035</v>
      </c>
      <c r="D341" s="217">
        <f>+GETPIVOTDATA("66. Considero que el liderazgo ejercido por los directivos del programa académico al cual pertenezco es idóneo.",$A$338,"66. Considero que el liderazgo ejercido por los directivos del programa académico al cual pertenezco es idóneo.","Totalmente de acuerdo / SI")/GETPIVOTDATA("66. Considero que el liderazgo ejercido por los directivos del programa académico al cual pertenezco es idóneo.",$A$338)</f>
        <v>0.51851851851851849</v>
      </c>
      <c r="I341" s="217">
        <f>SUM(B341:H341)</f>
        <v>1</v>
      </c>
    </row>
    <row r="342" spans="1:9" ht="15" x14ac:dyDescent="0.25">
      <c r="A342"/>
      <c r="B342" s="164" t="s">
        <v>2816</v>
      </c>
      <c r="C342"/>
      <c r="D342"/>
      <c r="E342"/>
      <c r="F342"/>
      <c r="G342"/>
      <c r="H342"/>
    </row>
    <row r="343" spans="1:9" ht="15" x14ac:dyDescent="0.25">
      <c r="A343"/>
      <c r="B343" t="s">
        <v>1093</v>
      </c>
      <c r="C343" t="s">
        <v>1</v>
      </c>
      <c r="D343" t="s">
        <v>2</v>
      </c>
      <c r="E343" t="s">
        <v>3</v>
      </c>
      <c r="F343" t="s">
        <v>1092</v>
      </c>
      <c r="G343" t="s">
        <v>1358</v>
      </c>
      <c r="H343" t="s">
        <v>1096</v>
      </c>
    </row>
    <row r="344" spans="1:9" ht="60" x14ac:dyDescent="0.25">
      <c r="A344" s="166" t="s">
        <v>1422</v>
      </c>
      <c r="B344" s="165">
        <v>3</v>
      </c>
      <c r="C344" s="165">
        <v>1</v>
      </c>
      <c r="D344" s="165">
        <v>8</v>
      </c>
      <c r="E344" s="165">
        <v>10</v>
      </c>
      <c r="F344" s="165">
        <v>5</v>
      </c>
      <c r="G344" s="165"/>
      <c r="H344" s="165">
        <v>27</v>
      </c>
    </row>
    <row r="345" spans="1:9" ht="15" x14ac:dyDescent="0.25">
      <c r="A345"/>
      <c r="B345" s="215">
        <f>+GETPIVOTDATA("67.1. Considero que la planta física empleada por el programa académico al cual pertenezco es: ADECUADA",$A$342,"67.1. Considero que la planta física empleada por el programa académico al cual pertenezco es: ADECUADA","Totalmente en desacuerdo / NO")/GETPIVOTDATA("67.1. Considero que la planta física empleada por el programa académico al cual pertenezco es: ADECUADA",$A$342)</f>
        <v>0.1111111111111111</v>
      </c>
      <c r="C345" s="217">
        <f>+GETPIVOTDATA("67.1. Considero que la planta física empleada por el programa académico al cual pertenezco es: ADECUADA",$A$342,"67.1. Considero que la planta física empleada por el programa académico al cual pertenezco es: ADECUADA","En desacuerdo")/GETPIVOTDATA("67.1. Considero que la planta física empleada por el programa académico al cual pertenezco es: ADECUADA",$A$342)</f>
        <v>3.7037037037037035E-2</v>
      </c>
      <c r="D345" s="217">
        <f>+GETPIVOTDATA("67.1. Considero que la planta física empleada por el programa académico al cual pertenezco es: ADECUADA",$A$342,"67.1. Considero que la planta física empleada por el programa académico al cual pertenezco es: ADECUADA","Medianamente de acuerdo")/GETPIVOTDATA("67.1. Considero que la planta física empleada por el programa académico al cual pertenezco es: ADECUADA",$A$342)</f>
        <v>0.29629629629629628</v>
      </c>
      <c r="E345" s="217">
        <f>+GETPIVOTDATA("67.1. Considero que la planta física empleada por el programa académico al cual pertenezco es: ADECUADA",$A$342,"67.1. Considero que la planta física empleada por el programa académico al cual pertenezco es: ADECUADA","De acuerdo")/GETPIVOTDATA("67.1. Considero que la planta física empleada por el programa académico al cual pertenezco es: ADECUADA",$A$342)</f>
        <v>0.37037037037037035</v>
      </c>
      <c r="F345" s="217">
        <f>+GETPIVOTDATA("67.1. Considero que la planta física empleada por el programa académico al cual pertenezco es: ADECUADA",$A$342,"67.1. Considero que la planta física empleada por el programa académico al cual pertenezco es: ADECUADA","Totalmente de acuerdo / SI")/GETPIVOTDATA("67.1. Considero que la planta física empleada por el programa académico al cual pertenezco es: ADECUADA",$A$342)</f>
        <v>0.18518518518518517</v>
      </c>
      <c r="I345" s="217">
        <f>SUM(B345:H345)</f>
        <v>1</v>
      </c>
    </row>
    <row r="346" spans="1:9" ht="15" x14ac:dyDescent="0.25">
      <c r="A346"/>
      <c r="B346" s="164" t="s">
        <v>2816</v>
      </c>
      <c r="C346"/>
      <c r="D346"/>
      <c r="E346"/>
      <c r="F346"/>
      <c r="G346"/>
      <c r="H346"/>
    </row>
    <row r="347" spans="1:9" ht="15" x14ac:dyDescent="0.25">
      <c r="A347"/>
      <c r="B347" t="s">
        <v>1093</v>
      </c>
      <c r="C347" t="s">
        <v>1</v>
      </c>
      <c r="D347" t="s">
        <v>2</v>
      </c>
      <c r="E347" t="s">
        <v>3</v>
      </c>
      <c r="F347" t="s">
        <v>1092</v>
      </c>
      <c r="G347" t="s">
        <v>1358</v>
      </c>
      <c r="H347" t="s">
        <v>1096</v>
      </c>
    </row>
    <row r="348" spans="1:9" ht="60" x14ac:dyDescent="0.25">
      <c r="A348" s="166" t="s">
        <v>1423</v>
      </c>
      <c r="B348" s="165">
        <v>4</v>
      </c>
      <c r="C348" s="165">
        <v>1</v>
      </c>
      <c r="D348" s="165">
        <v>8</v>
      </c>
      <c r="E348" s="165">
        <v>11</v>
      </c>
      <c r="F348" s="165">
        <v>3</v>
      </c>
      <c r="G348" s="165"/>
      <c r="H348" s="165">
        <v>27</v>
      </c>
    </row>
    <row r="349" spans="1:9" ht="15" x14ac:dyDescent="0.25">
      <c r="A349"/>
      <c r="B349" s="215">
        <f>+GETPIVOTDATA("67.2. Considero que la planta física empleada por el programa académico al cual pertenezco es: SUFICIENTE",$A$346,"67.2. Considero que la planta física empleada por el programa académico al cual pertenezco es: SUFICIENTE","Totalmente en desacuerdo / NO")/GETPIVOTDATA("67.2. Considero que la planta física empleada por el programa académico al cual pertenezco es: SUFICIENTE",$A$346)</f>
        <v>0.14814814814814814</v>
      </c>
      <c r="C349" s="217">
        <f>+GETPIVOTDATA("67.2. Considero que la planta física empleada por el programa académico al cual pertenezco es: SUFICIENTE",$A$346,"67.2. Considero que la planta física empleada por el programa académico al cual pertenezco es: SUFICIENTE","En desacuerdo")/GETPIVOTDATA("67.2. Considero que la planta física empleada por el programa académico al cual pertenezco es: SUFICIENTE",$A$346)</f>
        <v>3.7037037037037035E-2</v>
      </c>
      <c r="D349" s="217">
        <f>+GETPIVOTDATA("67.2. Considero que la planta física empleada por el programa académico al cual pertenezco es: SUFICIENTE",$A$346,"67.2. Considero que la planta física empleada por el programa académico al cual pertenezco es: SUFICIENTE","Medianamente de acuerdo")/GETPIVOTDATA("67.2. Considero que la planta física empleada por el programa académico al cual pertenezco es: SUFICIENTE",$A$346)</f>
        <v>0.29629629629629628</v>
      </c>
      <c r="E349" s="217">
        <f>+GETPIVOTDATA("67.2. Considero que la planta física empleada por el programa académico al cual pertenezco es: SUFICIENTE",$A$346,"67.2. Considero que la planta física empleada por el programa académico al cual pertenezco es: SUFICIENTE","De acuerdo")/GETPIVOTDATA("67.2. Considero que la planta física empleada por el programa académico al cual pertenezco es: SUFICIENTE",$A$346)</f>
        <v>0.40740740740740738</v>
      </c>
      <c r="F349" s="217">
        <f>+GETPIVOTDATA("67.2. Considero que la planta física empleada por el programa académico al cual pertenezco es: SUFICIENTE",$A$346,"67.2. Considero que la planta física empleada por el programa académico al cual pertenezco es: SUFICIENTE","Totalmente de acuerdo / SI")/GETPIVOTDATA("67.2. Considero que la planta física empleada por el programa académico al cual pertenezco es: SUFICIENTE",$A$346)</f>
        <v>0.1111111111111111</v>
      </c>
      <c r="I349" s="217">
        <f>SUM(B349:H349)</f>
        <v>1</v>
      </c>
    </row>
    <row r="350" spans="1:9" ht="15" x14ac:dyDescent="0.25">
      <c r="A350"/>
      <c r="B350" s="164" t="s">
        <v>2816</v>
      </c>
      <c r="C350"/>
      <c r="D350"/>
      <c r="E350"/>
      <c r="F350"/>
      <c r="G350"/>
      <c r="H350"/>
    </row>
    <row r="351" spans="1:9" ht="15" x14ac:dyDescent="0.25">
      <c r="A351"/>
      <c r="B351" t="s">
        <v>1093</v>
      </c>
      <c r="C351" t="s">
        <v>1</v>
      </c>
      <c r="D351" t="s">
        <v>2</v>
      </c>
      <c r="E351" t="s">
        <v>3</v>
      </c>
      <c r="F351" t="s">
        <v>1092</v>
      </c>
      <c r="G351" t="s">
        <v>1358</v>
      </c>
      <c r="H351" t="s">
        <v>1096</v>
      </c>
    </row>
    <row r="352" spans="1:9" ht="75" x14ac:dyDescent="0.25">
      <c r="A352" s="166" t="s">
        <v>1424</v>
      </c>
      <c r="B352" s="165">
        <v>2</v>
      </c>
      <c r="C352" s="165">
        <v>2</v>
      </c>
      <c r="D352" s="165">
        <v>11</v>
      </c>
      <c r="E352" s="165">
        <v>7</v>
      </c>
      <c r="F352" s="165">
        <v>5</v>
      </c>
      <c r="G352" s="165"/>
      <c r="H352" s="165">
        <v>27</v>
      </c>
    </row>
    <row r="353" spans="1:9" ht="15" x14ac:dyDescent="0.25">
      <c r="A353"/>
      <c r="B353" s="215">
        <f>+GETPIVOTDATA("67.3. Considero que la planta física empleada por el programa académico al cual pertenezco es: MANTENIDA APROPIADAMENTE.",$A$350,"67.3. Considero que la planta física empleada por el programa académico al cual pertenezco es: MANTENIDA APROPIADAMENTE.","Totalmente en desacuerdo / NO")/GETPIVOTDATA("67.3. Considero que la planta física empleada por el programa académico al cual pertenezco es: MANTENIDA APROPIADAMENTE.",$A$350)</f>
        <v>7.407407407407407E-2</v>
      </c>
      <c r="C353" s="217">
        <f>+GETPIVOTDATA("67.3. Considero que la planta física empleada por el programa académico al cual pertenezco es: MANTENIDA APROPIADAMENTE.",$A$350,"67.3. Considero que la planta física empleada por el programa académico al cual pertenezco es: MANTENIDA APROPIADAMENTE.","En desacuerdo")/GETPIVOTDATA("67.3. Considero que la planta física empleada por el programa académico al cual pertenezco es: MANTENIDA APROPIADAMENTE.",$A$350)</f>
        <v>7.407407407407407E-2</v>
      </c>
      <c r="D353" s="217">
        <f>+GETPIVOTDATA("67.3. Considero que la planta física empleada por el programa académico al cual pertenezco es: MANTENIDA APROPIADAMENTE.",$A$350,"67.3. Considero que la planta física empleada por el programa académico al cual pertenezco es: MANTENIDA APROPIADAMENTE.","Medianamente de acuerdo")/GETPIVOTDATA("67.3. Considero que la planta física empleada por el programa académico al cual pertenezco es: MANTENIDA APROPIADAMENTE.",$A$350)</f>
        <v>0.40740740740740738</v>
      </c>
      <c r="E353" s="217">
        <f>+GETPIVOTDATA("67.3. Considero que la planta física empleada por el programa académico al cual pertenezco es: MANTENIDA APROPIADAMENTE.",$A$350,"67.3. Considero que la planta física empleada por el programa académico al cual pertenezco es: MANTENIDA APROPIADAMENTE.","De acuerdo")/GETPIVOTDATA("67.3. Considero que la planta física empleada por el programa académico al cual pertenezco es: MANTENIDA APROPIADAMENTE.",$A$350)</f>
        <v>0.25925925925925924</v>
      </c>
      <c r="F353" s="217">
        <f>+GETPIVOTDATA("67.3. Considero que la planta física empleada por el programa académico al cual pertenezco es: MANTENIDA APROPIADAMENTE.",$A$350,"67.3. Considero que la planta física empleada por el programa académico al cual pertenezco es: MANTENIDA APROPIADAMENTE.","Totalmente de acuerdo / SI")/GETPIVOTDATA("67.3. Considero que la planta física empleada por el programa académico al cual pertenezco es: MANTENIDA APROPIADAMENTE.",$A$350)</f>
        <v>0.18518518518518517</v>
      </c>
      <c r="I353" s="217">
        <f>SUM(B353:H353)</f>
        <v>1</v>
      </c>
    </row>
    <row r="354" spans="1:9" ht="15" x14ac:dyDescent="0.25">
      <c r="A354"/>
      <c r="B354"/>
    </row>
    <row r="355" spans="1:9" ht="15" x14ac:dyDescent="0.25">
      <c r="A355"/>
      <c r="B355"/>
    </row>
    <row r="356" spans="1:9" ht="15" x14ac:dyDescent="0.25">
      <c r="A356"/>
      <c r="B356"/>
    </row>
    <row r="357" spans="1:9" ht="15" x14ac:dyDescent="0.25">
      <c r="A357"/>
      <c r="B35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5"/>
  <sheetViews>
    <sheetView topLeftCell="H1" workbookViewId="0">
      <selection activeCell="I2" sqref="I2:I115"/>
    </sheetView>
  </sheetViews>
  <sheetFormatPr baseColWidth="10" defaultColWidth="14.42578125" defaultRowHeight="15.75" customHeight="1" x14ac:dyDescent="0.2"/>
  <cols>
    <col min="1" max="48" width="21.42578125" style="161" customWidth="1"/>
    <col min="49" max="16384" width="14.42578125" style="161"/>
  </cols>
  <sheetData>
    <row r="1" spans="1:47" ht="15.75" customHeight="1" x14ac:dyDescent="0.2">
      <c r="A1" s="161" t="s">
        <v>988</v>
      </c>
      <c r="B1" s="161" t="s">
        <v>1436</v>
      </c>
      <c r="C1" s="161" t="s">
        <v>1437</v>
      </c>
      <c r="D1" s="161" t="s">
        <v>1438</v>
      </c>
      <c r="E1" s="161" t="s">
        <v>1439</v>
      </c>
      <c r="F1" s="161" t="s">
        <v>1440</v>
      </c>
      <c r="G1" s="161" t="s">
        <v>1227</v>
      </c>
      <c r="H1" s="161" t="s">
        <v>1228</v>
      </c>
      <c r="I1" s="161" t="s">
        <v>1230</v>
      </c>
      <c r="J1" s="161" t="s">
        <v>1231</v>
      </c>
      <c r="K1" s="161" t="s">
        <v>1441</v>
      </c>
      <c r="L1" s="161" t="s">
        <v>1233</v>
      </c>
      <c r="M1" s="161" t="s">
        <v>1442</v>
      </c>
      <c r="N1" s="161" t="s">
        <v>1443</v>
      </c>
      <c r="O1" s="161" t="s">
        <v>1444</v>
      </c>
      <c r="P1" s="161" t="s">
        <v>1445</v>
      </c>
      <c r="Q1" s="161" t="s">
        <v>1446</v>
      </c>
      <c r="R1" s="161" t="s">
        <v>1447</v>
      </c>
      <c r="S1" s="161" t="s">
        <v>1448</v>
      </c>
      <c r="T1" s="161" t="s">
        <v>1449</v>
      </c>
      <c r="U1" s="161" t="s">
        <v>1450</v>
      </c>
      <c r="V1" s="161" t="s">
        <v>1451</v>
      </c>
      <c r="W1" s="161" t="s">
        <v>1452</v>
      </c>
      <c r="X1" s="161" t="s">
        <v>1453</v>
      </c>
      <c r="Y1" s="161" t="s">
        <v>1454</v>
      </c>
      <c r="Z1" s="161" t="s">
        <v>1455</v>
      </c>
      <c r="AA1" s="161" t="s">
        <v>1456</v>
      </c>
      <c r="AB1" s="161" t="s">
        <v>1457</v>
      </c>
      <c r="AC1" s="161" t="s">
        <v>1458</v>
      </c>
      <c r="AD1" s="161" t="s">
        <v>1459</v>
      </c>
      <c r="AE1" s="161" t="s">
        <v>1460</v>
      </c>
      <c r="AF1" s="161" t="s">
        <v>1461</v>
      </c>
      <c r="AG1" s="161" t="s">
        <v>1462</v>
      </c>
      <c r="AH1" s="161" t="s">
        <v>1463</v>
      </c>
      <c r="AI1" s="161" t="s">
        <v>1464</v>
      </c>
      <c r="AJ1" s="161" t="s">
        <v>1465</v>
      </c>
      <c r="AK1" s="161" t="s">
        <v>1466</v>
      </c>
      <c r="AL1" s="161" t="s">
        <v>1467</v>
      </c>
      <c r="AM1" s="161" t="s">
        <v>1468</v>
      </c>
      <c r="AN1" s="161" t="s">
        <v>1469</v>
      </c>
      <c r="AO1" s="161" t="s">
        <v>1470</v>
      </c>
      <c r="AP1" s="161" t="s">
        <v>1471</v>
      </c>
      <c r="AQ1" s="161" t="s">
        <v>1472</v>
      </c>
      <c r="AR1" s="161" t="s">
        <v>1473</v>
      </c>
      <c r="AS1" s="161" t="s">
        <v>1474</v>
      </c>
      <c r="AT1" s="161" t="s">
        <v>1475</v>
      </c>
      <c r="AU1" s="161" t="s">
        <v>1476</v>
      </c>
    </row>
    <row r="2" spans="1:47" ht="15.75" customHeight="1" x14ac:dyDescent="0.2">
      <c r="A2" s="163">
        <v>42830.473624918981</v>
      </c>
      <c r="B2" s="162" t="s">
        <v>1477</v>
      </c>
      <c r="C2" s="162" t="s">
        <v>1478</v>
      </c>
      <c r="D2" s="162">
        <v>19436656</v>
      </c>
      <c r="E2" s="162" t="s">
        <v>1320</v>
      </c>
      <c r="F2" s="162" t="s">
        <v>1479</v>
      </c>
      <c r="G2" s="176">
        <v>40921</v>
      </c>
      <c r="H2" s="162" t="s">
        <v>1334</v>
      </c>
      <c r="I2" s="162" t="s">
        <v>1092</v>
      </c>
      <c r="J2" s="162" t="s">
        <v>1092</v>
      </c>
      <c r="K2" s="162" t="s">
        <v>1092</v>
      </c>
      <c r="L2" s="162" t="s">
        <v>1092</v>
      </c>
      <c r="M2" s="162" t="s">
        <v>1092</v>
      </c>
      <c r="N2" s="162" t="s">
        <v>1092</v>
      </c>
      <c r="O2" s="162" t="s">
        <v>1092</v>
      </c>
      <c r="P2" s="162" t="s">
        <v>1092</v>
      </c>
      <c r="Q2" s="162" t="s">
        <v>1092</v>
      </c>
      <c r="R2" s="162" t="s">
        <v>1092</v>
      </c>
      <c r="S2" s="162" t="s">
        <v>1092</v>
      </c>
      <c r="T2" s="162" t="s">
        <v>1092</v>
      </c>
      <c r="U2" s="162" t="s">
        <v>3</v>
      </c>
      <c r="V2" s="162" t="s">
        <v>1092</v>
      </c>
      <c r="W2" s="162" t="s">
        <v>1092</v>
      </c>
      <c r="X2" s="162" t="s">
        <v>1092</v>
      </c>
      <c r="Y2" s="162" t="s">
        <v>3</v>
      </c>
      <c r="Z2" s="162" t="s">
        <v>3</v>
      </c>
      <c r="AA2" s="162" t="s">
        <v>3</v>
      </c>
      <c r="AB2" s="162" t="s">
        <v>3</v>
      </c>
      <c r="AC2" s="162" t="s">
        <v>3</v>
      </c>
      <c r="AD2" s="162" t="s">
        <v>3</v>
      </c>
      <c r="AE2" s="162" t="s">
        <v>3</v>
      </c>
      <c r="AF2" s="162" t="s">
        <v>3</v>
      </c>
      <c r="AG2" s="162" t="s">
        <v>1092</v>
      </c>
      <c r="AH2" s="162" t="s">
        <v>1092</v>
      </c>
      <c r="AI2" s="162" t="s">
        <v>1092</v>
      </c>
      <c r="AJ2" s="162" t="s">
        <v>1092</v>
      </c>
      <c r="AK2" s="162" t="s">
        <v>1092</v>
      </c>
      <c r="AL2" s="162" t="s">
        <v>1092</v>
      </c>
      <c r="AM2" s="162" t="s">
        <v>1092</v>
      </c>
      <c r="AN2" s="162" t="s">
        <v>1092</v>
      </c>
      <c r="AO2" s="162" t="s">
        <v>1092</v>
      </c>
      <c r="AP2" s="162" t="s">
        <v>1092</v>
      </c>
      <c r="AQ2" s="162" t="s">
        <v>1092</v>
      </c>
      <c r="AR2" s="162" t="s">
        <v>1092</v>
      </c>
      <c r="AS2" s="162" t="s">
        <v>1092</v>
      </c>
    </row>
    <row r="3" spans="1:47" ht="15.75" customHeight="1" x14ac:dyDescent="0.2">
      <c r="A3" s="163">
        <v>42830.481156770838</v>
      </c>
      <c r="B3" s="162" t="s">
        <v>1480</v>
      </c>
      <c r="C3" s="162" t="s">
        <v>1481</v>
      </c>
      <c r="D3" s="162">
        <v>1032378957</v>
      </c>
      <c r="E3" s="162" t="s">
        <v>1482</v>
      </c>
      <c r="F3" s="162" t="s">
        <v>1479</v>
      </c>
      <c r="G3" s="176">
        <v>39845</v>
      </c>
      <c r="H3" s="162" t="s">
        <v>1332</v>
      </c>
      <c r="I3" s="162" t="s">
        <v>1092</v>
      </c>
      <c r="J3" s="162" t="s">
        <v>1092</v>
      </c>
      <c r="K3" s="162" t="s">
        <v>3</v>
      </c>
      <c r="L3" s="162" t="s">
        <v>3</v>
      </c>
      <c r="M3" s="162" t="s">
        <v>1092</v>
      </c>
      <c r="N3" s="162" t="s">
        <v>1092</v>
      </c>
      <c r="O3" s="162" t="s">
        <v>1092</v>
      </c>
      <c r="P3" s="162" t="s">
        <v>1092</v>
      </c>
      <c r="Q3" s="162" t="s">
        <v>1092</v>
      </c>
      <c r="R3" s="162" t="s">
        <v>2</v>
      </c>
      <c r="S3" s="162" t="s">
        <v>2</v>
      </c>
      <c r="T3" s="162" t="s">
        <v>3</v>
      </c>
      <c r="U3" s="162" t="s">
        <v>3</v>
      </c>
      <c r="V3" s="162" t="s">
        <v>3</v>
      </c>
      <c r="W3" s="162" t="s">
        <v>2</v>
      </c>
      <c r="X3" s="162" t="s">
        <v>3</v>
      </c>
      <c r="Y3" s="162" t="s">
        <v>3</v>
      </c>
      <c r="Z3" s="162" t="s">
        <v>2</v>
      </c>
      <c r="AA3" s="162" t="s">
        <v>3</v>
      </c>
      <c r="AB3" s="162" t="s">
        <v>1092</v>
      </c>
      <c r="AC3" s="162" t="s">
        <v>3</v>
      </c>
      <c r="AD3" s="162" t="s">
        <v>3</v>
      </c>
      <c r="AE3" s="162" t="s">
        <v>3</v>
      </c>
      <c r="AF3" s="162" t="s">
        <v>3</v>
      </c>
      <c r="AG3" s="162" t="s">
        <v>1092</v>
      </c>
      <c r="AH3" s="162" t="s">
        <v>3</v>
      </c>
      <c r="AI3" s="162" t="s">
        <v>3</v>
      </c>
      <c r="AJ3" s="162" t="s">
        <v>1092</v>
      </c>
      <c r="AK3" s="162" t="s">
        <v>5</v>
      </c>
      <c r="AL3" s="162" t="s">
        <v>5</v>
      </c>
      <c r="AM3" s="162" t="s">
        <v>2</v>
      </c>
      <c r="AN3" s="162" t="s">
        <v>3</v>
      </c>
      <c r="AO3" s="162" t="s">
        <v>1092</v>
      </c>
      <c r="AP3" s="162" t="s">
        <v>3</v>
      </c>
      <c r="AQ3" s="162" t="s">
        <v>3</v>
      </c>
      <c r="AR3" s="162" t="s">
        <v>2</v>
      </c>
      <c r="AS3" s="162" t="s">
        <v>2</v>
      </c>
    </row>
    <row r="4" spans="1:47" ht="15.75" customHeight="1" x14ac:dyDescent="0.2">
      <c r="A4" s="163">
        <v>42830.490280439815</v>
      </c>
      <c r="B4" s="162" t="s">
        <v>1483</v>
      </c>
      <c r="C4" s="162" t="s">
        <v>1484</v>
      </c>
      <c r="D4" s="162">
        <v>52079406</v>
      </c>
      <c r="E4" s="162" t="s">
        <v>1482</v>
      </c>
      <c r="F4" s="162" t="s">
        <v>1479</v>
      </c>
      <c r="G4" s="176">
        <v>42758</v>
      </c>
      <c r="H4" s="162" t="s">
        <v>1485</v>
      </c>
      <c r="I4" s="162" t="s">
        <v>3</v>
      </c>
      <c r="J4" s="162" t="s">
        <v>3</v>
      </c>
      <c r="K4" s="162" t="s">
        <v>1092</v>
      </c>
      <c r="L4" s="162" t="s">
        <v>3</v>
      </c>
      <c r="M4" s="162" t="s">
        <v>3</v>
      </c>
      <c r="N4" s="162" t="s">
        <v>3</v>
      </c>
      <c r="O4" s="162" t="s">
        <v>3</v>
      </c>
      <c r="P4" s="162" t="s">
        <v>3</v>
      </c>
      <c r="Q4" s="162" t="s">
        <v>5</v>
      </c>
      <c r="R4" s="162" t="s">
        <v>2</v>
      </c>
      <c r="S4" s="162" t="s">
        <v>2</v>
      </c>
      <c r="T4" s="162" t="s">
        <v>2</v>
      </c>
      <c r="U4" s="162" t="s">
        <v>3</v>
      </c>
      <c r="V4" s="162" t="s">
        <v>2</v>
      </c>
      <c r="W4" s="162" t="s">
        <v>2</v>
      </c>
      <c r="X4" s="162" t="s">
        <v>2</v>
      </c>
      <c r="Y4" s="162" t="s">
        <v>2</v>
      </c>
      <c r="Z4" s="162" t="s">
        <v>2</v>
      </c>
      <c r="AA4" s="162" t="s">
        <v>2</v>
      </c>
      <c r="AB4" s="162" t="s">
        <v>3</v>
      </c>
      <c r="AC4" s="162" t="s">
        <v>2</v>
      </c>
      <c r="AD4" s="162" t="s">
        <v>2</v>
      </c>
      <c r="AE4" s="162" t="s">
        <v>2</v>
      </c>
      <c r="AF4" s="162" t="s">
        <v>2</v>
      </c>
      <c r="AG4" s="162" t="s">
        <v>3</v>
      </c>
      <c r="AH4" s="162" t="s">
        <v>3</v>
      </c>
      <c r="AI4" s="162" t="s">
        <v>3</v>
      </c>
      <c r="AJ4" s="162" t="s">
        <v>3</v>
      </c>
      <c r="AK4" s="162" t="s">
        <v>3</v>
      </c>
      <c r="AL4" s="162" t="s">
        <v>2</v>
      </c>
      <c r="AM4" s="162" t="s">
        <v>3</v>
      </c>
      <c r="AN4" s="162" t="s">
        <v>2</v>
      </c>
      <c r="AO4" s="162" t="s">
        <v>3</v>
      </c>
      <c r="AP4" s="162" t="s">
        <v>3</v>
      </c>
      <c r="AQ4" s="162" t="s">
        <v>1</v>
      </c>
      <c r="AR4" s="162" t="s">
        <v>1</v>
      </c>
      <c r="AS4" s="162" t="s">
        <v>2</v>
      </c>
    </row>
    <row r="5" spans="1:47" ht="15.75" customHeight="1" x14ac:dyDescent="0.2">
      <c r="A5" s="163">
        <v>42844.505104027776</v>
      </c>
      <c r="B5" s="162" t="s">
        <v>1486</v>
      </c>
      <c r="C5" s="162" t="s">
        <v>1487</v>
      </c>
      <c r="D5" s="162">
        <v>7161428</v>
      </c>
      <c r="E5" s="162" t="s">
        <v>1320</v>
      </c>
      <c r="F5" s="162" t="s">
        <v>1488</v>
      </c>
      <c r="G5" s="176">
        <v>39679</v>
      </c>
      <c r="H5" s="162" t="s">
        <v>1335</v>
      </c>
      <c r="I5" s="162" t="s">
        <v>3</v>
      </c>
      <c r="J5" s="162" t="s">
        <v>3</v>
      </c>
      <c r="K5" s="162" t="s">
        <v>3</v>
      </c>
      <c r="L5" s="162" t="s">
        <v>3</v>
      </c>
      <c r="M5" s="162" t="s">
        <v>1092</v>
      </c>
      <c r="N5" s="162" t="s">
        <v>3</v>
      </c>
      <c r="O5" s="162" t="s">
        <v>2</v>
      </c>
      <c r="P5" s="162" t="s">
        <v>2</v>
      </c>
      <c r="Q5" s="162" t="s">
        <v>1092</v>
      </c>
      <c r="R5" s="162" t="s">
        <v>2</v>
      </c>
      <c r="S5" s="162" t="s">
        <v>2</v>
      </c>
      <c r="T5" s="162" t="s">
        <v>3</v>
      </c>
      <c r="U5" s="162" t="s">
        <v>3</v>
      </c>
      <c r="V5" s="162" t="s">
        <v>1</v>
      </c>
      <c r="W5" s="162" t="s">
        <v>2</v>
      </c>
      <c r="X5" s="162" t="s">
        <v>1</v>
      </c>
      <c r="Y5" s="162" t="s">
        <v>3</v>
      </c>
      <c r="Z5" s="162" t="s">
        <v>3</v>
      </c>
      <c r="AA5" s="162" t="s">
        <v>2</v>
      </c>
      <c r="AB5" s="162" t="s">
        <v>3</v>
      </c>
      <c r="AC5" s="162" t="s">
        <v>2</v>
      </c>
      <c r="AD5" s="162" t="s">
        <v>2</v>
      </c>
      <c r="AE5" s="162" t="s">
        <v>2</v>
      </c>
      <c r="AF5" s="162" t="s">
        <v>2</v>
      </c>
      <c r="AG5" s="162" t="s">
        <v>1092</v>
      </c>
      <c r="AH5" s="162" t="s">
        <v>1092</v>
      </c>
      <c r="AI5" s="162" t="s">
        <v>2</v>
      </c>
      <c r="AJ5" s="162" t="s">
        <v>3</v>
      </c>
      <c r="AK5" s="162" t="s">
        <v>3</v>
      </c>
      <c r="AL5" s="162" t="s">
        <v>3</v>
      </c>
      <c r="AM5" s="162" t="s">
        <v>3</v>
      </c>
      <c r="AN5" s="162" t="s">
        <v>3</v>
      </c>
      <c r="AO5" s="162" t="s">
        <v>3</v>
      </c>
      <c r="AP5" s="162" t="s">
        <v>3</v>
      </c>
      <c r="AQ5" s="162" t="s">
        <v>2</v>
      </c>
      <c r="AR5" s="162" t="s">
        <v>2</v>
      </c>
      <c r="AS5" s="162" t="s">
        <v>1</v>
      </c>
    </row>
    <row r="6" spans="1:47" ht="15.75" customHeight="1" x14ac:dyDescent="0.2">
      <c r="A6" s="177">
        <v>42612.594852615744</v>
      </c>
      <c r="B6" s="162" t="s">
        <v>1489</v>
      </c>
      <c r="C6" s="162" t="s">
        <v>1490</v>
      </c>
      <c r="D6" s="178">
        <v>1024538438</v>
      </c>
      <c r="E6" s="162" t="s">
        <v>1482</v>
      </c>
      <c r="F6" s="162" t="s">
        <v>1488</v>
      </c>
      <c r="G6" s="179">
        <v>41671</v>
      </c>
      <c r="H6" s="162" t="s">
        <v>1491</v>
      </c>
      <c r="I6" s="162" t="s">
        <v>2</v>
      </c>
      <c r="J6" s="162" t="s">
        <v>2</v>
      </c>
      <c r="K6" s="162" t="s">
        <v>2</v>
      </c>
      <c r="L6" s="162" t="s">
        <v>2</v>
      </c>
      <c r="M6" s="162" t="s">
        <v>5</v>
      </c>
      <c r="N6" s="162" t="s">
        <v>2</v>
      </c>
      <c r="O6" s="162" t="s">
        <v>2</v>
      </c>
      <c r="P6" s="162" t="s">
        <v>2</v>
      </c>
      <c r="Q6" s="162" t="s">
        <v>1092</v>
      </c>
      <c r="R6" s="162" t="s">
        <v>2</v>
      </c>
      <c r="S6" s="162" t="s">
        <v>2</v>
      </c>
      <c r="T6" s="162" t="s">
        <v>2</v>
      </c>
      <c r="U6" s="162" t="s">
        <v>2</v>
      </c>
      <c r="V6" s="162" t="s">
        <v>1</v>
      </c>
      <c r="W6" s="162" t="s">
        <v>2</v>
      </c>
      <c r="X6" s="162" t="s">
        <v>2</v>
      </c>
      <c r="Y6" s="162" t="s">
        <v>1</v>
      </c>
      <c r="Z6" s="162" t="s">
        <v>1</v>
      </c>
      <c r="AA6" s="162" t="s">
        <v>1</v>
      </c>
      <c r="AB6" s="162" t="s">
        <v>2</v>
      </c>
      <c r="AC6" s="162" t="s">
        <v>1093</v>
      </c>
      <c r="AD6" s="162" t="s">
        <v>1093</v>
      </c>
      <c r="AE6" s="162" t="s">
        <v>1093</v>
      </c>
      <c r="AF6" s="162" t="s">
        <v>1093</v>
      </c>
      <c r="AG6" s="162" t="s">
        <v>3</v>
      </c>
      <c r="AH6" s="162" t="s">
        <v>2</v>
      </c>
      <c r="AI6" s="162" t="s">
        <v>2</v>
      </c>
      <c r="AJ6" s="162" t="s">
        <v>2</v>
      </c>
      <c r="AK6" s="162" t="s">
        <v>1093</v>
      </c>
      <c r="AL6" s="162" t="s">
        <v>5</v>
      </c>
      <c r="AM6" s="162" t="s">
        <v>5</v>
      </c>
      <c r="AN6" s="162" t="s">
        <v>5</v>
      </c>
      <c r="AO6" s="162" t="s">
        <v>5</v>
      </c>
      <c r="AP6" s="162" t="s">
        <v>5</v>
      </c>
      <c r="AQ6" s="162" t="s">
        <v>2</v>
      </c>
      <c r="AR6" s="162" t="s">
        <v>2</v>
      </c>
      <c r="AS6" s="162" t="s">
        <v>2</v>
      </c>
    </row>
    <row r="7" spans="1:47" ht="15.75" customHeight="1" x14ac:dyDescent="0.2">
      <c r="A7" s="177">
        <v>42612.596843078703</v>
      </c>
      <c r="B7" s="162" t="s">
        <v>1492</v>
      </c>
      <c r="C7" s="162" t="s">
        <v>1493</v>
      </c>
      <c r="D7" s="178">
        <v>1024464245</v>
      </c>
      <c r="E7" s="162" t="s">
        <v>1482</v>
      </c>
      <c r="F7" s="162" t="s">
        <v>1488</v>
      </c>
      <c r="G7" s="179">
        <v>40206</v>
      </c>
      <c r="H7" s="162" t="s">
        <v>1494</v>
      </c>
      <c r="I7" s="162" t="s">
        <v>3</v>
      </c>
      <c r="J7" s="162" t="s">
        <v>3</v>
      </c>
      <c r="K7" s="162" t="s">
        <v>1092</v>
      </c>
      <c r="L7" s="162" t="s">
        <v>2</v>
      </c>
      <c r="M7" s="162" t="s">
        <v>2</v>
      </c>
      <c r="N7" s="162" t="s">
        <v>1092</v>
      </c>
      <c r="O7" s="162" t="s">
        <v>1092</v>
      </c>
      <c r="P7" s="162" t="s">
        <v>2</v>
      </c>
      <c r="Q7" s="162" t="s">
        <v>3</v>
      </c>
      <c r="R7" s="162" t="s">
        <v>1093</v>
      </c>
      <c r="S7" s="162" t="s">
        <v>2</v>
      </c>
      <c r="T7" s="162" t="s">
        <v>2</v>
      </c>
      <c r="U7" s="162" t="s">
        <v>1092</v>
      </c>
      <c r="V7" s="162" t="s">
        <v>2</v>
      </c>
      <c r="W7" s="162" t="s">
        <v>3</v>
      </c>
      <c r="X7" s="162" t="s">
        <v>1</v>
      </c>
      <c r="Y7" s="162" t="s">
        <v>1093</v>
      </c>
      <c r="Z7" s="162" t="s">
        <v>1</v>
      </c>
      <c r="AA7" s="162" t="s">
        <v>1</v>
      </c>
      <c r="AB7" s="162" t="s">
        <v>3</v>
      </c>
      <c r="AC7" s="162" t="s">
        <v>1093</v>
      </c>
      <c r="AD7" s="162" t="s">
        <v>1</v>
      </c>
      <c r="AE7" s="162" t="s">
        <v>3</v>
      </c>
      <c r="AF7" s="162" t="s">
        <v>3</v>
      </c>
      <c r="AG7" s="162" t="s">
        <v>1092</v>
      </c>
      <c r="AH7" s="162" t="s">
        <v>3</v>
      </c>
      <c r="AI7" s="162" t="s">
        <v>1092</v>
      </c>
      <c r="AJ7" s="162" t="s">
        <v>1092</v>
      </c>
      <c r="AK7" s="162" t="s">
        <v>1093</v>
      </c>
      <c r="AL7" s="162" t="s">
        <v>1</v>
      </c>
      <c r="AM7" s="162" t="s">
        <v>1</v>
      </c>
      <c r="AN7" s="162" t="s">
        <v>2</v>
      </c>
      <c r="AO7" s="162" t="s">
        <v>3</v>
      </c>
      <c r="AP7" s="162" t="s">
        <v>2</v>
      </c>
      <c r="AQ7" s="162" t="s">
        <v>2</v>
      </c>
      <c r="AR7" s="162" t="s">
        <v>1093</v>
      </c>
      <c r="AS7" s="162" t="s">
        <v>1093</v>
      </c>
    </row>
    <row r="8" spans="1:47" ht="15.75" customHeight="1" x14ac:dyDescent="0.2">
      <c r="A8" s="177">
        <v>42612.599532812499</v>
      </c>
      <c r="B8" s="162" t="s">
        <v>1495</v>
      </c>
      <c r="C8" s="162" t="s">
        <v>1496</v>
      </c>
      <c r="D8" s="178">
        <v>1032408643</v>
      </c>
      <c r="E8" s="162" t="s">
        <v>1482</v>
      </c>
      <c r="F8" s="162" t="s">
        <v>1488</v>
      </c>
      <c r="G8" s="179">
        <v>41734</v>
      </c>
      <c r="H8" s="162" t="s">
        <v>1497</v>
      </c>
      <c r="I8" s="162" t="s">
        <v>1092</v>
      </c>
      <c r="J8" s="162" t="s">
        <v>2</v>
      </c>
      <c r="K8" s="162" t="s">
        <v>2</v>
      </c>
      <c r="L8" s="162" t="s">
        <v>2</v>
      </c>
      <c r="M8" s="162" t="s">
        <v>2</v>
      </c>
      <c r="N8" s="162" t="s">
        <v>1</v>
      </c>
      <c r="O8" s="162" t="s">
        <v>3</v>
      </c>
      <c r="P8" s="162" t="s">
        <v>3</v>
      </c>
      <c r="Q8" s="162" t="s">
        <v>1092</v>
      </c>
      <c r="R8" s="162" t="s">
        <v>3</v>
      </c>
      <c r="S8" s="162" t="s">
        <v>3</v>
      </c>
      <c r="T8" s="162" t="s">
        <v>2</v>
      </c>
      <c r="U8" s="162" t="s">
        <v>1092</v>
      </c>
      <c r="V8" s="162" t="s">
        <v>1093</v>
      </c>
      <c r="W8" s="162" t="s">
        <v>1</v>
      </c>
      <c r="X8" s="162" t="s">
        <v>1093</v>
      </c>
      <c r="Y8" s="162" t="s">
        <v>3</v>
      </c>
      <c r="Z8" s="162" t="s">
        <v>1093</v>
      </c>
      <c r="AA8" s="162" t="s">
        <v>1</v>
      </c>
      <c r="AB8" s="162" t="s">
        <v>3</v>
      </c>
      <c r="AC8" s="162" t="s">
        <v>5</v>
      </c>
      <c r="AD8" s="162" t="s">
        <v>5</v>
      </c>
      <c r="AE8" s="162" t="s">
        <v>5</v>
      </c>
      <c r="AF8" s="162" t="s">
        <v>5</v>
      </c>
      <c r="AG8" s="162" t="s">
        <v>2</v>
      </c>
      <c r="AH8" s="162" t="s">
        <v>1092</v>
      </c>
      <c r="AI8" s="162" t="s">
        <v>1092</v>
      </c>
      <c r="AJ8" s="162" t="s">
        <v>1092</v>
      </c>
      <c r="AK8" s="162" t="s">
        <v>5</v>
      </c>
      <c r="AL8" s="162" t="s">
        <v>2</v>
      </c>
      <c r="AM8" s="162" t="s">
        <v>1092</v>
      </c>
      <c r="AN8" s="162" t="s">
        <v>2</v>
      </c>
      <c r="AO8" s="162" t="s">
        <v>2</v>
      </c>
      <c r="AP8" s="162" t="s">
        <v>2</v>
      </c>
      <c r="AQ8" s="162" t="s">
        <v>2</v>
      </c>
      <c r="AR8" s="162" t="s">
        <v>2</v>
      </c>
      <c r="AS8" s="162" t="s">
        <v>1093</v>
      </c>
    </row>
    <row r="9" spans="1:47" ht="15.75" customHeight="1" x14ac:dyDescent="0.2">
      <c r="A9" s="177">
        <v>42612.607327662037</v>
      </c>
      <c r="B9" s="162" t="s">
        <v>1498</v>
      </c>
      <c r="C9" s="162" t="s">
        <v>1499</v>
      </c>
      <c r="D9" s="178">
        <v>1121850310</v>
      </c>
      <c r="E9" s="162" t="s">
        <v>1482</v>
      </c>
      <c r="F9" s="162" t="s">
        <v>1500</v>
      </c>
      <c r="G9" s="179">
        <v>40905</v>
      </c>
      <c r="H9" s="162" t="s">
        <v>1501</v>
      </c>
      <c r="I9" s="162" t="s">
        <v>3</v>
      </c>
      <c r="J9" s="162" t="s">
        <v>3</v>
      </c>
      <c r="K9" s="162" t="s">
        <v>2</v>
      </c>
      <c r="L9" s="162" t="s">
        <v>2</v>
      </c>
      <c r="M9" s="162" t="s">
        <v>1</v>
      </c>
      <c r="N9" s="162" t="s">
        <v>2</v>
      </c>
      <c r="O9" s="162" t="s">
        <v>1</v>
      </c>
      <c r="P9" s="162" t="s">
        <v>1</v>
      </c>
      <c r="Q9" s="162" t="s">
        <v>1093</v>
      </c>
      <c r="R9" s="162" t="s">
        <v>1</v>
      </c>
      <c r="S9" s="162" t="s">
        <v>2</v>
      </c>
      <c r="T9" s="162" t="s">
        <v>2</v>
      </c>
      <c r="U9" s="162" t="s">
        <v>3</v>
      </c>
      <c r="V9" s="162" t="s">
        <v>5</v>
      </c>
      <c r="W9" s="162" t="s">
        <v>5</v>
      </c>
      <c r="X9" s="162" t="s">
        <v>5</v>
      </c>
      <c r="Y9" s="162" t="s">
        <v>5</v>
      </c>
      <c r="Z9" s="162" t="s">
        <v>5</v>
      </c>
      <c r="AA9" s="162" t="s">
        <v>5</v>
      </c>
      <c r="AB9" s="162" t="s">
        <v>3</v>
      </c>
      <c r="AC9" s="162" t="s">
        <v>2</v>
      </c>
      <c r="AD9" s="162" t="s">
        <v>2</v>
      </c>
      <c r="AE9" s="162" t="s">
        <v>3</v>
      </c>
      <c r="AF9" s="162" t="s">
        <v>2</v>
      </c>
      <c r="AG9" s="162" t="s">
        <v>3</v>
      </c>
      <c r="AH9" s="162" t="s">
        <v>3</v>
      </c>
      <c r="AI9" s="162" t="s">
        <v>3</v>
      </c>
      <c r="AJ9" s="162" t="s">
        <v>1092</v>
      </c>
      <c r="AK9" s="162" t="s">
        <v>2</v>
      </c>
      <c r="AL9" s="162" t="s">
        <v>2</v>
      </c>
      <c r="AM9" s="162" t="s">
        <v>2</v>
      </c>
      <c r="AN9" s="162" t="s">
        <v>2</v>
      </c>
      <c r="AO9" s="162" t="s">
        <v>2</v>
      </c>
      <c r="AP9" s="162" t="s">
        <v>2</v>
      </c>
      <c r="AQ9" s="162" t="s">
        <v>2</v>
      </c>
      <c r="AR9" s="162" t="s">
        <v>1</v>
      </c>
      <c r="AS9" s="162" t="s">
        <v>2</v>
      </c>
    </row>
    <row r="10" spans="1:47" ht="15.75" customHeight="1" x14ac:dyDescent="0.2">
      <c r="A10" s="177">
        <v>42612.616398321756</v>
      </c>
      <c r="B10" s="162" t="s">
        <v>1502</v>
      </c>
      <c r="C10" s="162" t="s">
        <v>1503</v>
      </c>
      <c r="D10" s="178">
        <v>80249915</v>
      </c>
      <c r="E10" s="162" t="s">
        <v>1482</v>
      </c>
      <c r="F10" s="162" t="s">
        <v>1488</v>
      </c>
      <c r="G10" s="179">
        <v>40969</v>
      </c>
      <c r="H10" s="162" t="s">
        <v>1504</v>
      </c>
      <c r="I10" s="162" t="s">
        <v>2</v>
      </c>
      <c r="J10" s="162" t="s">
        <v>2</v>
      </c>
      <c r="K10" s="162" t="s">
        <v>1092</v>
      </c>
      <c r="L10" s="162" t="s">
        <v>3</v>
      </c>
      <c r="M10" s="162" t="s">
        <v>1093</v>
      </c>
      <c r="N10" s="162" t="s">
        <v>1092</v>
      </c>
      <c r="O10" s="162" t="s">
        <v>3</v>
      </c>
      <c r="P10" s="162" t="s">
        <v>3</v>
      </c>
      <c r="Q10" s="162" t="s">
        <v>1092</v>
      </c>
      <c r="R10" s="162" t="s">
        <v>1093</v>
      </c>
      <c r="S10" s="162" t="s">
        <v>2</v>
      </c>
      <c r="T10" s="162" t="s">
        <v>1092</v>
      </c>
      <c r="U10" s="162" t="s">
        <v>5</v>
      </c>
      <c r="V10" s="162" t="s">
        <v>1</v>
      </c>
      <c r="W10" s="162" t="s">
        <v>3</v>
      </c>
      <c r="X10" s="162" t="s">
        <v>1</v>
      </c>
      <c r="Y10" s="162" t="s">
        <v>1</v>
      </c>
      <c r="Z10" s="162" t="s">
        <v>2</v>
      </c>
      <c r="AA10" s="162" t="s">
        <v>1</v>
      </c>
      <c r="AB10" s="162" t="s">
        <v>5</v>
      </c>
      <c r="AC10" s="162" t="s">
        <v>2</v>
      </c>
      <c r="AD10" s="162" t="s">
        <v>2</v>
      </c>
      <c r="AE10" s="162" t="s">
        <v>2</v>
      </c>
      <c r="AF10" s="162" t="s">
        <v>2</v>
      </c>
      <c r="AG10" s="162" t="s">
        <v>3</v>
      </c>
      <c r="AH10" s="162" t="s">
        <v>3</v>
      </c>
      <c r="AI10" s="162" t="s">
        <v>3</v>
      </c>
      <c r="AJ10" s="162" t="s">
        <v>3</v>
      </c>
      <c r="AK10" s="162" t="s">
        <v>2</v>
      </c>
      <c r="AL10" s="162" t="s">
        <v>2</v>
      </c>
      <c r="AM10" s="162" t="s">
        <v>2</v>
      </c>
      <c r="AN10" s="162" t="s">
        <v>2</v>
      </c>
      <c r="AO10" s="162" t="s">
        <v>2</v>
      </c>
      <c r="AP10" s="162" t="s">
        <v>2</v>
      </c>
      <c r="AQ10" s="162" t="s">
        <v>2</v>
      </c>
      <c r="AR10" s="162" t="s">
        <v>2</v>
      </c>
      <c r="AS10" s="162" t="s">
        <v>2</v>
      </c>
    </row>
    <row r="11" spans="1:47" ht="15.75" customHeight="1" x14ac:dyDescent="0.2">
      <c r="A11" s="177">
        <v>42612.61657622685</v>
      </c>
      <c r="B11" s="162" t="s">
        <v>1505</v>
      </c>
      <c r="C11" s="162" t="s">
        <v>1506</v>
      </c>
      <c r="D11" s="178">
        <v>1101683667</v>
      </c>
      <c r="E11" s="162" t="s">
        <v>1482</v>
      </c>
      <c r="F11" s="162" t="s">
        <v>1500</v>
      </c>
      <c r="G11" s="179">
        <v>41325</v>
      </c>
      <c r="H11" s="162" t="s">
        <v>1507</v>
      </c>
      <c r="I11" s="162" t="s">
        <v>1092</v>
      </c>
      <c r="J11" s="162" t="s">
        <v>2</v>
      </c>
      <c r="K11" s="162" t="s">
        <v>3</v>
      </c>
      <c r="L11" s="162" t="s">
        <v>1092</v>
      </c>
      <c r="M11" s="162" t="s">
        <v>2</v>
      </c>
      <c r="N11" s="162" t="s">
        <v>3</v>
      </c>
      <c r="O11" s="162" t="s">
        <v>3</v>
      </c>
      <c r="P11" s="162" t="s">
        <v>2</v>
      </c>
      <c r="Q11" s="162" t="s">
        <v>3</v>
      </c>
      <c r="R11" s="162" t="s">
        <v>2</v>
      </c>
      <c r="S11" s="162" t="s">
        <v>1092</v>
      </c>
      <c r="T11" s="162" t="s">
        <v>3</v>
      </c>
      <c r="U11" s="162" t="s">
        <v>2</v>
      </c>
      <c r="V11" s="162" t="s">
        <v>3</v>
      </c>
      <c r="W11" s="162" t="s">
        <v>3</v>
      </c>
      <c r="X11" s="162" t="s">
        <v>2</v>
      </c>
      <c r="Y11" s="162" t="s">
        <v>2</v>
      </c>
      <c r="Z11" s="162" t="s">
        <v>3</v>
      </c>
      <c r="AA11" s="162" t="s">
        <v>2</v>
      </c>
      <c r="AB11" s="162" t="s">
        <v>3</v>
      </c>
      <c r="AC11" s="162" t="s">
        <v>2</v>
      </c>
      <c r="AD11" s="162" t="s">
        <v>3</v>
      </c>
      <c r="AE11" s="162" t="s">
        <v>1092</v>
      </c>
      <c r="AF11" s="162" t="s">
        <v>3</v>
      </c>
      <c r="AG11" s="162" t="s">
        <v>1092</v>
      </c>
      <c r="AH11" s="162" t="s">
        <v>3</v>
      </c>
      <c r="AI11" s="162" t="s">
        <v>3</v>
      </c>
      <c r="AJ11" s="162" t="s">
        <v>1092</v>
      </c>
      <c r="AK11" s="162" t="s">
        <v>1092</v>
      </c>
      <c r="AL11" s="162" t="s">
        <v>3</v>
      </c>
      <c r="AM11" s="162" t="s">
        <v>2</v>
      </c>
      <c r="AN11" s="162" t="s">
        <v>2</v>
      </c>
      <c r="AO11" s="162" t="s">
        <v>3</v>
      </c>
      <c r="AP11" s="162" t="s">
        <v>2</v>
      </c>
      <c r="AQ11" s="162" t="s">
        <v>3</v>
      </c>
      <c r="AR11" s="162" t="s">
        <v>2</v>
      </c>
      <c r="AS11" s="162" t="s">
        <v>3</v>
      </c>
    </row>
    <row r="12" spans="1:47" ht="15.75" customHeight="1" x14ac:dyDescent="0.2">
      <c r="A12" s="177">
        <v>42612.639396990737</v>
      </c>
      <c r="B12" s="162" t="s">
        <v>1508</v>
      </c>
      <c r="C12" s="162" t="s">
        <v>1509</v>
      </c>
      <c r="D12" s="178">
        <v>1012395682</v>
      </c>
      <c r="E12" s="162" t="s">
        <v>1482</v>
      </c>
      <c r="F12" s="162" t="s">
        <v>1488</v>
      </c>
      <c r="G12" s="179">
        <v>42186</v>
      </c>
      <c r="H12" s="162" t="s">
        <v>1510</v>
      </c>
      <c r="I12" s="162" t="s">
        <v>3</v>
      </c>
      <c r="J12" s="162" t="s">
        <v>3</v>
      </c>
      <c r="K12" s="162" t="s">
        <v>1092</v>
      </c>
      <c r="L12" s="162" t="s">
        <v>3</v>
      </c>
      <c r="M12" s="162" t="s">
        <v>2</v>
      </c>
      <c r="N12" s="162" t="s">
        <v>1092</v>
      </c>
      <c r="O12" s="162" t="s">
        <v>3</v>
      </c>
      <c r="P12" s="162" t="s">
        <v>3</v>
      </c>
      <c r="Q12" s="162" t="s">
        <v>3</v>
      </c>
      <c r="R12" s="162" t="s">
        <v>1093</v>
      </c>
      <c r="S12" s="162" t="s">
        <v>2</v>
      </c>
      <c r="T12" s="162" t="s">
        <v>2</v>
      </c>
      <c r="U12" s="162" t="s">
        <v>3</v>
      </c>
      <c r="V12" s="162" t="s">
        <v>2</v>
      </c>
      <c r="W12" s="162" t="s">
        <v>2</v>
      </c>
      <c r="X12" s="162" t="s">
        <v>1</v>
      </c>
      <c r="Y12" s="162" t="s">
        <v>1</v>
      </c>
      <c r="Z12" s="162" t="s">
        <v>2</v>
      </c>
      <c r="AA12" s="162" t="s">
        <v>2</v>
      </c>
      <c r="AB12" s="162" t="s">
        <v>3</v>
      </c>
      <c r="AC12" s="162" t="s">
        <v>1</v>
      </c>
      <c r="AD12" s="162" t="s">
        <v>2</v>
      </c>
      <c r="AE12" s="162" t="s">
        <v>1</v>
      </c>
      <c r="AF12" s="162" t="s">
        <v>2</v>
      </c>
      <c r="AG12" s="162" t="s">
        <v>3</v>
      </c>
      <c r="AH12" s="162" t="s">
        <v>3</v>
      </c>
      <c r="AI12" s="162" t="s">
        <v>3</v>
      </c>
      <c r="AJ12" s="162" t="s">
        <v>1092</v>
      </c>
      <c r="AK12" s="162" t="s">
        <v>1</v>
      </c>
      <c r="AL12" s="162" t="s">
        <v>1</v>
      </c>
      <c r="AM12" s="162" t="s">
        <v>1</v>
      </c>
      <c r="AN12" s="162" t="s">
        <v>1</v>
      </c>
      <c r="AO12" s="162" t="s">
        <v>2</v>
      </c>
      <c r="AP12" s="162" t="s">
        <v>2</v>
      </c>
      <c r="AQ12" s="162" t="s">
        <v>2</v>
      </c>
      <c r="AR12" s="162" t="s">
        <v>1</v>
      </c>
      <c r="AS12" s="162" t="s">
        <v>1</v>
      </c>
    </row>
    <row r="13" spans="1:47" ht="15.75" customHeight="1" x14ac:dyDescent="0.2">
      <c r="A13" s="177">
        <v>42612.662520266204</v>
      </c>
      <c r="B13" s="162" t="s">
        <v>1511</v>
      </c>
      <c r="C13" s="162" t="s">
        <v>1512</v>
      </c>
      <c r="D13" s="178">
        <v>35455980</v>
      </c>
      <c r="E13" s="162" t="s">
        <v>1482</v>
      </c>
      <c r="F13" s="162" t="s">
        <v>1488</v>
      </c>
      <c r="G13" s="179">
        <v>36746</v>
      </c>
      <c r="H13" s="162" t="s">
        <v>1513</v>
      </c>
      <c r="I13" s="162" t="s">
        <v>1092</v>
      </c>
      <c r="J13" s="162" t="s">
        <v>1092</v>
      </c>
      <c r="K13" s="162" t="s">
        <v>3</v>
      </c>
      <c r="L13" s="162" t="s">
        <v>2</v>
      </c>
      <c r="M13" s="162" t="s">
        <v>2</v>
      </c>
      <c r="N13" s="162" t="s">
        <v>3</v>
      </c>
      <c r="O13" s="162" t="s">
        <v>3</v>
      </c>
      <c r="P13" s="162" t="s">
        <v>1092</v>
      </c>
      <c r="Q13" s="162" t="s">
        <v>1092</v>
      </c>
      <c r="R13" s="162" t="s">
        <v>1</v>
      </c>
      <c r="S13" s="162" t="s">
        <v>2</v>
      </c>
      <c r="T13" s="162" t="s">
        <v>3</v>
      </c>
      <c r="U13" s="162" t="s">
        <v>3</v>
      </c>
      <c r="V13" s="162" t="s">
        <v>2</v>
      </c>
      <c r="W13" s="162" t="s">
        <v>3</v>
      </c>
      <c r="X13" s="162" t="s">
        <v>2</v>
      </c>
      <c r="Y13" s="162" t="s">
        <v>3</v>
      </c>
      <c r="Z13" s="162" t="s">
        <v>3</v>
      </c>
      <c r="AA13" s="162" t="s">
        <v>3</v>
      </c>
      <c r="AB13" s="162" t="s">
        <v>3</v>
      </c>
      <c r="AC13" s="162" t="s">
        <v>2</v>
      </c>
      <c r="AD13" s="162" t="s">
        <v>2</v>
      </c>
      <c r="AE13" s="162" t="s">
        <v>2</v>
      </c>
      <c r="AF13" s="162" t="s">
        <v>2</v>
      </c>
      <c r="AG13" s="162" t="s">
        <v>1092</v>
      </c>
      <c r="AH13" s="162" t="s">
        <v>1092</v>
      </c>
      <c r="AI13" s="162" t="s">
        <v>1092</v>
      </c>
      <c r="AJ13" s="162" t="s">
        <v>1092</v>
      </c>
      <c r="AK13" s="162" t="s">
        <v>3</v>
      </c>
      <c r="AL13" s="162" t="s">
        <v>3</v>
      </c>
      <c r="AM13" s="162" t="s">
        <v>3</v>
      </c>
      <c r="AN13" s="162" t="s">
        <v>3</v>
      </c>
      <c r="AO13" s="162" t="s">
        <v>3</v>
      </c>
      <c r="AP13" s="162" t="s">
        <v>3</v>
      </c>
      <c r="AQ13" s="162" t="s">
        <v>3</v>
      </c>
      <c r="AR13" s="162" t="s">
        <v>2</v>
      </c>
      <c r="AS13" s="162" t="s">
        <v>2</v>
      </c>
    </row>
    <row r="14" spans="1:47" ht="15.75" customHeight="1" x14ac:dyDescent="0.2">
      <c r="A14" s="177">
        <v>42612.709937395834</v>
      </c>
      <c r="B14" s="162" t="s">
        <v>1514</v>
      </c>
      <c r="C14" s="162" t="s">
        <v>1515</v>
      </c>
      <c r="D14" s="178">
        <v>1022395425</v>
      </c>
      <c r="E14" s="162" t="s">
        <v>1482</v>
      </c>
      <c r="F14" s="162" t="s">
        <v>1516</v>
      </c>
      <c r="G14" s="179">
        <v>42465</v>
      </c>
      <c r="H14" s="162" t="s">
        <v>1517</v>
      </c>
      <c r="I14" s="162" t="s">
        <v>3</v>
      </c>
      <c r="J14" s="162" t="s">
        <v>3</v>
      </c>
      <c r="K14" s="162" t="s">
        <v>1092</v>
      </c>
      <c r="L14" s="162" t="s">
        <v>2</v>
      </c>
      <c r="M14" s="162" t="s">
        <v>5</v>
      </c>
      <c r="N14" s="162" t="s">
        <v>1092</v>
      </c>
      <c r="O14" s="162" t="s">
        <v>1092</v>
      </c>
      <c r="P14" s="162" t="s">
        <v>2</v>
      </c>
      <c r="Q14" s="162" t="s">
        <v>3</v>
      </c>
      <c r="R14" s="162" t="s">
        <v>1093</v>
      </c>
      <c r="S14" s="162" t="s">
        <v>1092</v>
      </c>
      <c r="T14" s="162" t="s">
        <v>3</v>
      </c>
      <c r="U14" s="162" t="s">
        <v>3</v>
      </c>
      <c r="V14" s="162" t="s">
        <v>2</v>
      </c>
      <c r="W14" s="162" t="s">
        <v>2</v>
      </c>
      <c r="X14" s="162" t="s">
        <v>5</v>
      </c>
      <c r="Y14" s="162" t="s">
        <v>1</v>
      </c>
      <c r="Z14" s="162" t="s">
        <v>1092</v>
      </c>
      <c r="AA14" s="162" t="s">
        <v>3</v>
      </c>
      <c r="AB14" s="162" t="s">
        <v>3</v>
      </c>
      <c r="AC14" s="162" t="s">
        <v>5</v>
      </c>
      <c r="AD14" s="162" t="s">
        <v>2</v>
      </c>
      <c r="AE14" s="162" t="s">
        <v>1093</v>
      </c>
      <c r="AF14" s="162" t="s">
        <v>5</v>
      </c>
      <c r="AG14" s="162" t="s">
        <v>1092</v>
      </c>
      <c r="AH14" s="162" t="s">
        <v>1092</v>
      </c>
      <c r="AI14" s="162" t="s">
        <v>1092</v>
      </c>
      <c r="AJ14" s="162" t="s">
        <v>1092</v>
      </c>
      <c r="AK14" s="162" t="s">
        <v>3</v>
      </c>
      <c r="AL14" s="162" t="s">
        <v>3</v>
      </c>
      <c r="AM14" s="162" t="s">
        <v>1</v>
      </c>
      <c r="AN14" s="162" t="s">
        <v>1</v>
      </c>
      <c r="AO14" s="162" t="s">
        <v>3</v>
      </c>
      <c r="AP14" s="162" t="s">
        <v>3</v>
      </c>
      <c r="AQ14" s="162" t="s">
        <v>1092</v>
      </c>
      <c r="AR14" s="162" t="s">
        <v>1093</v>
      </c>
      <c r="AS14" s="162" t="s">
        <v>1</v>
      </c>
    </row>
    <row r="15" spans="1:47" ht="15.75" customHeight="1" x14ac:dyDescent="0.2">
      <c r="A15" s="177">
        <v>42612.710769212965</v>
      </c>
      <c r="B15" s="162" t="s">
        <v>1518</v>
      </c>
      <c r="C15" s="162" t="s">
        <v>1519</v>
      </c>
      <c r="D15" s="178">
        <v>52433444</v>
      </c>
      <c r="E15" s="162" t="s">
        <v>1482</v>
      </c>
      <c r="F15" s="162" t="s">
        <v>1516</v>
      </c>
      <c r="G15" s="179">
        <v>41147</v>
      </c>
      <c r="H15" s="162" t="s">
        <v>1520</v>
      </c>
      <c r="I15" s="162" t="s">
        <v>3</v>
      </c>
      <c r="J15" s="162" t="s">
        <v>3</v>
      </c>
      <c r="K15" s="162" t="s">
        <v>1092</v>
      </c>
      <c r="L15" s="162" t="s">
        <v>2</v>
      </c>
      <c r="M15" s="162" t="s">
        <v>5</v>
      </c>
      <c r="N15" s="162" t="s">
        <v>1092</v>
      </c>
      <c r="O15" s="162" t="s">
        <v>1092</v>
      </c>
      <c r="P15" s="162" t="s">
        <v>1092</v>
      </c>
      <c r="Q15" s="162" t="s">
        <v>1092</v>
      </c>
      <c r="R15" s="162" t="s">
        <v>1093</v>
      </c>
      <c r="S15" s="162" t="s">
        <v>1092</v>
      </c>
      <c r="T15" s="162" t="s">
        <v>1092</v>
      </c>
      <c r="U15" s="162" t="s">
        <v>1092</v>
      </c>
      <c r="V15" s="162" t="s">
        <v>2</v>
      </c>
      <c r="W15" s="162" t="s">
        <v>2</v>
      </c>
      <c r="X15" s="162" t="s">
        <v>5</v>
      </c>
      <c r="Y15" s="162" t="s">
        <v>1</v>
      </c>
      <c r="Z15" s="162" t="s">
        <v>1092</v>
      </c>
      <c r="AA15" s="162" t="s">
        <v>3</v>
      </c>
      <c r="AB15" s="162" t="s">
        <v>1</v>
      </c>
      <c r="AC15" s="162" t="s">
        <v>5</v>
      </c>
      <c r="AD15" s="162" t="s">
        <v>5</v>
      </c>
      <c r="AE15" s="162" t="s">
        <v>5</v>
      </c>
      <c r="AF15" s="162" t="s">
        <v>5</v>
      </c>
      <c r="AG15" s="162" t="s">
        <v>1092</v>
      </c>
      <c r="AH15" s="162" t="s">
        <v>1092</v>
      </c>
      <c r="AI15" s="162" t="s">
        <v>1092</v>
      </c>
      <c r="AJ15" s="162" t="s">
        <v>1092</v>
      </c>
      <c r="AK15" s="162" t="s">
        <v>3</v>
      </c>
      <c r="AL15" s="162" t="s">
        <v>3</v>
      </c>
      <c r="AM15" s="162" t="s">
        <v>1</v>
      </c>
      <c r="AN15" s="162" t="s">
        <v>1</v>
      </c>
      <c r="AO15" s="162" t="s">
        <v>3</v>
      </c>
      <c r="AP15" s="162" t="s">
        <v>3</v>
      </c>
      <c r="AQ15" s="162" t="s">
        <v>1092</v>
      </c>
      <c r="AR15" s="162" t="s">
        <v>1093</v>
      </c>
      <c r="AS15" s="162" t="s">
        <v>1</v>
      </c>
    </row>
    <row r="16" spans="1:47" ht="15.75" customHeight="1" x14ac:dyDescent="0.2">
      <c r="A16" s="177">
        <v>42612.715267187501</v>
      </c>
      <c r="B16" s="162" t="s">
        <v>1521</v>
      </c>
      <c r="C16" s="162" t="s">
        <v>1522</v>
      </c>
      <c r="D16" s="178">
        <v>91540280</v>
      </c>
      <c r="E16" s="162" t="s">
        <v>1482</v>
      </c>
      <c r="F16" s="162" t="s">
        <v>1488</v>
      </c>
      <c r="G16" s="179">
        <v>40990</v>
      </c>
      <c r="H16" s="162" t="s">
        <v>1523</v>
      </c>
      <c r="I16" s="162" t="s">
        <v>3</v>
      </c>
      <c r="J16" s="162" t="s">
        <v>2</v>
      </c>
      <c r="K16" s="162" t="s">
        <v>3</v>
      </c>
      <c r="L16" s="162" t="s">
        <v>1092</v>
      </c>
      <c r="M16" s="162" t="s">
        <v>3</v>
      </c>
      <c r="N16" s="162" t="s">
        <v>3</v>
      </c>
      <c r="O16" s="162" t="s">
        <v>3</v>
      </c>
      <c r="P16" s="162" t="s">
        <v>1092</v>
      </c>
      <c r="Q16" s="162" t="s">
        <v>1092</v>
      </c>
      <c r="R16" s="162" t="s">
        <v>3</v>
      </c>
      <c r="S16" s="162" t="s">
        <v>3</v>
      </c>
      <c r="T16" s="162" t="s">
        <v>2</v>
      </c>
      <c r="U16" s="162" t="s">
        <v>3</v>
      </c>
      <c r="V16" s="162" t="s">
        <v>2</v>
      </c>
      <c r="W16" s="162" t="s">
        <v>3</v>
      </c>
      <c r="X16" s="162" t="s">
        <v>2</v>
      </c>
      <c r="Y16" s="162" t="s">
        <v>3</v>
      </c>
      <c r="Z16" s="162" t="s">
        <v>2</v>
      </c>
      <c r="AA16" s="162" t="s">
        <v>2</v>
      </c>
      <c r="AB16" s="162" t="s">
        <v>3</v>
      </c>
      <c r="AC16" s="162" t="s">
        <v>2</v>
      </c>
      <c r="AD16" s="162" t="s">
        <v>3</v>
      </c>
      <c r="AE16" s="162" t="s">
        <v>3</v>
      </c>
      <c r="AF16" s="162" t="s">
        <v>3</v>
      </c>
      <c r="AG16" s="162" t="s">
        <v>3</v>
      </c>
      <c r="AH16" s="162" t="s">
        <v>3</v>
      </c>
      <c r="AI16" s="162" t="s">
        <v>1092</v>
      </c>
      <c r="AJ16" s="162" t="s">
        <v>1092</v>
      </c>
      <c r="AK16" s="162" t="s">
        <v>1092</v>
      </c>
      <c r="AL16" s="162" t="s">
        <v>3</v>
      </c>
      <c r="AM16" s="162" t="s">
        <v>2</v>
      </c>
      <c r="AN16" s="162" t="s">
        <v>3</v>
      </c>
      <c r="AO16" s="162" t="s">
        <v>3</v>
      </c>
      <c r="AP16" s="162" t="s">
        <v>3</v>
      </c>
      <c r="AQ16" s="162" t="s">
        <v>3</v>
      </c>
      <c r="AR16" s="162" t="s">
        <v>3</v>
      </c>
      <c r="AS16" s="162" t="s">
        <v>3</v>
      </c>
    </row>
    <row r="17" spans="1:45" ht="15.75" customHeight="1" x14ac:dyDescent="0.2">
      <c r="A17" s="177">
        <v>42612.720930740739</v>
      </c>
      <c r="B17" s="162" t="s">
        <v>1524</v>
      </c>
      <c r="C17" s="162" t="s">
        <v>1525</v>
      </c>
      <c r="D17" s="178">
        <v>51818702</v>
      </c>
      <c r="E17" s="162" t="s">
        <v>1482</v>
      </c>
      <c r="F17" s="162" t="s">
        <v>1526</v>
      </c>
      <c r="G17" s="179">
        <v>37655</v>
      </c>
      <c r="H17" s="162" t="s">
        <v>1527</v>
      </c>
      <c r="I17" s="162" t="s">
        <v>1092</v>
      </c>
      <c r="J17" s="162" t="s">
        <v>2</v>
      </c>
      <c r="K17" s="162" t="s">
        <v>3</v>
      </c>
      <c r="L17" s="162" t="s">
        <v>3</v>
      </c>
      <c r="M17" s="162" t="s">
        <v>3</v>
      </c>
      <c r="N17" s="162" t="s">
        <v>3</v>
      </c>
      <c r="O17" s="162" t="s">
        <v>2</v>
      </c>
      <c r="P17" s="162" t="s">
        <v>3</v>
      </c>
      <c r="Q17" s="162" t="s">
        <v>3</v>
      </c>
      <c r="R17" s="162" t="s">
        <v>1</v>
      </c>
      <c r="S17" s="162" t="s">
        <v>2</v>
      </c>
      <c r="T17" s="162" t="s">
        <v>3</v>
      </c>
      <c r="U17" s="162" t="s">
        <v>3</v>
      </c>
      <c r="V17" s="162" t="s">
        <v>2</v>
      </c>
      <c r="W17" s="162" t="s">
        <v>2</v>
      </c>
      <c r="X17" s="162" t="s">
        <v>2</v>
      </c>
      <c r="Y17" s="162" t="s">
        <v>2</v>
      </c>
      <c r="Z17" s="162" t="s">
        <v>3</v>
      </c>
      <c r="AA17" s="162" t="s">
        <v>3</v>
      </c>
      <c r="AB17" s="162" t="s">
        <v>2</v>
      </c>
      <c r="AC17" s="162" t="s">
        <v>2</v>
      </c>
      <c r="AD17" s="162" t="s">
        <v>2</v>
      </c>
      <c r="AE17" s="162" t="s">
        <v>3</v>
      </c>
      <c r="AF17" s="162" t="s">
        <v>3</v>
      </c>
      <c r="AG17" s="162" t="s">
        <v>1092</v>
      </c>
      <c r="AH17" s="162" t="s">
        <v>3</v>
      </c>
      <c r="AI17" s="162" t="s">
        <v>2</v>
      </c>
      <c r="AJ17" s="162" t="s">
        <v>1092</v>
      </c>
      <c r="AK17" s="162" t="s">
        <v>1</v>
      </c>
      <c r="AL17" s="162" t="s">
        <v>1</v>
      </c>
      <c r="AM17" s="162" t="s">
        <v>3</v>
      </c>
      <c r="AN17" s="162" t="s">
        <v>2</v>
      </c>
      <c r="AO17" s="162" t="s">
        <v>1092</v>
      </c>
      <c r="AP17" s="162" t="s">
        <v>2</v>
      </c>
      <c r="AQ17" s="162" t="s">
        <v>2</v>
      </c>
      <c r="AR17" s="162" t="s">
        <v>1</v>
      </c>
      <c r="AS17" s="162" t="s">
        <v>2</v>
      </c>
    </row>
    <row r="18" spans="1:45" ht="15.75" customHeight="1" x14ac:dyDescent="0.2">
      <c r="A18" s="177">
        <v>42612.734883356483</v>
      </c>
      <c r="B18" s="162" t="s">
        <v>1528</v>
      </c>
      <c r="C18" s="162" t="s">
        <v>1529</v>
      </c>
      <c r="D18" s="178">
        <v>1032363547</v>
      </c>
      <c r="E18" s="162" t="s">
        <v>1482</v>
      </c>
      <c r="F18" s="162" t="s">
        <v>1526</v>
      </c>
      <c r="G18" s="179">
        <v>42228</v>
      </c>
      <c r="H18" s="162" t="s">
        <v>1530</v>
      </c>
      <c r="I18" s="162" t="s">
        <v>1092</v>
      </c>
      <c r="J18" s="162" t="s">
        <v>1092</v>
      </c>
      <c r="K18" s="162" t="s">
        <v>3</v>
      </c>
      <c r="L18" s="162" t="s">
        <v>1092</v>
      </c>
      <c r="M18" s="162" t="s">
        <v>1092</v>
      </c>
      <c r="N18" s="162" t="s">
        <v>1</v>
      </c>
      <c r="O18" s="162" t="s">
        <v>1</v>
      </c>
      <c r="P18" s="162" t="s">
        <v>2</v>
      </c>
      <c r="Q18" s="162" t="s">
        <v>1</v>
      </c>
      <c r="R18" s="162" t="s">
        <v>3</v>
      </c>
      <c r="S18" s="162" t="s">
        <v>3</v>
      </c>
      <c r="T18" s="162" t="s">
        <v>3</v>
      </c>
      <c r="U18" s="162" t="s">
        <v>2</v>
      </c>
      <c r="V18" s="162" t="s">
        <v>2</v>
      </c>
      <c r="W18" s="162" t="s">
        <v>3</v>
      </c>
      <c r="X18" s="162" t="s">
        <v>3</v>
      </c>
      <c r="Y18" s="162" t="s">
        <v>1</v>
      </c>
      <c r="Z18" s="162" t="s">
        <v>3</v>
      </c>
      <c r="AA18" s="162" t="s">
        <v>3</v>
      </c>
      <c r="AB18" s="162" t="s">
        <v>2</v>
      </c>
      <c r="AC18" s="162" t="s">
        <v>3</v>
      </c>
      <c r="AD18" s="162" t="s">
        <v>3</v>
      </c>
      <c r="AE18" s="162" t="s">
        <v>1092</v>
      </c>
      <c r="AF18" s="162" t="s">
        <v>1092</v>
      </c>
      <c r="AG18" s="162" t="s">
        <v>3</v>
      </c>
      <c r="AH18" s="162" t="s">
        <v>3</v>
      </c>
      <c r="AI18" s="162" t="s">
        <v>3</v>
      </c>
      <c r="AJ18" s="162" t="s">
        <v>1092</v>
      </c>
      <c r="AK18" s="162" t="s">
        <v>3</v>
      </c>
      <c r="AL18" s="162" t="s">
        <v>2</v>
      </c>
      <c r="AM18" s="162" t="s">
        <v>3</v>
      </c>
      <c r="AN18" s="162" t="s">
        <v>3</v>
      </c>
      <c r="AO18" s="162" t="s">
        <v>3</v>
      </c>
      <c r="AP18" s="162" t="s">
        <v>3</v>
      </c>
      <c r="AQ18" s="162" t="s">
        <v>3</v>
      </c>
      <c r="AR18" s="162" t="s">
        <v>2</v>
      </c>
      <c r="AS18" s="162" t="s">
        <v>3</v>
      </c>
    </row>
    <row r="19" spans="1:45" ht="15.75" customHeight="1" x14ac:dyDescent="0.2">
      <c r="A19" s="177">
        <v>42612.758434317133</v>
      </c>
      <c r="B19" s="162" t="s">
        <v>1531</v>
      </c>
      <c r="C19" s="162" t="s">
        <v>1532</v>
      </c>
      <c r="D19" s="178">
        <v>52885998</v>
      </c>
      <c r="E19" s="162" t="s">
        <v>1482</v>
      </c>
      <c r="F19" s="162" t="s">
        <v>1526</v>
      </c>
      <c r="G19" s="179">
        <v>42612</v>
      </c>
      <c r="H19" s="162" t="s">
        <v>1533</v>
      </c>
      <c r="I19" s="162" t="s">
        <v>3</v>
      </c>
      <c r="J19" s="162" t="s">
        <v>3</v>
      </c>
      <c r="K19" s="162" t="s">
        <v>1092</v>
      </c>
      <c r="L19" s="162" t="s">
        <v>3</v>
      </c>
      <c r="M19" s="162" t="s">
        <v>3</v>
      </c>
      <c r="N19" s="162" t="s">
        <v>3</v>
      </c>
      <c r="O19" s="162" t="s">
        <v>3</v>
      </c>
      <c r="P19" s="162" t="s">
        <v>3</v>
      </c>
      <c r="Q19" s="162" t="s">
        <v>3</v>
      </c>
      <c r="R19" s="162" t="s">
        <v>3</v>
      </c>
      <c r="S19" s="162" t="s">
        <v>3</v>
      </c>
      <c r="T19" s="162" t="s">
        <v>3</v>
      </c>
      <c r="U19" s="162" t="s">
        <v>2</v>
      </c>
      <c r="V19" s="162" t="s">
        <v>2</v>
      </c>
      <c r="W19" s="162" t="s">
        <v>2</v>
      </c>
      <c r="X19" s="162" t="s">
        <v>2</v>
      </c>
      <c r="Y19" s="162" t="s">
        <v>3</v>
      </c>
      <c r="Z19" s="162" t="s">
        <v>3</v>
      </c>
      <c r="AA19" s="162" t="s">
        <v>3</v>
      </c>
      <c r="AB19" s="162" t="s">
        <v>2</v>
      </c>
      <c r="AC19" s="162" t="s">
        <v>2</v>
      </c>
      <c r="AD19" s="162" t="s">
        <v>3</v>
      </c>
      <c r="AE19" s="162" t="s">
        <v>3</v>
      </c>
      <c r="AF19" s="162" t="s">
        <v>3</v>
      </c>
      <c r="AG19" s="162" t="s">
        <v>3</v>
      </c>
      <c r="AH19" s="162" t="s">
        <v>3</v>
      </c>
      <c r="AI19" s="162" t="s">
        <v>2</v>
      </c>
      <c r="AJ19" s="162" t="s">
        <v>1092</v>
      </c>
      <c r="AK19" s="162" t="s">
        <v>2</v>
      </c>
      <c r="AL19" s="162" t="s">
        <v>2</v>
      </c>
      <c r="AM19" s="162" t="s">
        <v>3</v>
      </c>
      <c r="AN19" s="162" t="s">
        <v>3</v>
      </c>
      <c r="AO19" s="162" t="s">
        <v>3</v>
      </c>
      <c r="AP19" s="162" t="s">
        <v>2</v>
      </c>
      <c r="AQ19" s="162" t="s">
        <v>2</v>
      </c>
      <c r="AR19" s="162" t="s">
        <v>3</v>
      </c>
      <c r="AS19" s="162" t="s">
        <v>2</v>
      </c>
    </row>
    <row r="20" spans="1:45" ht="15.75" customHeight="1" x14ac:dyDescent="0.2">
      <c r="A20" s="177">
        <v>42612.950117685185</v>
      </c>
      <c r="B20" s="162" t="s">
        <v>1534</v>
      </c>
      <c r="C20" s="162" t="s">
        <v>1535</v>
      </c>
      <c r="D20" s="178">
        <v>52975701</v>
      </c>
      <c r="E20" s="162" t="s">
        <v>1482</v>
      </c>
      <c r="F20" s="162" t="s">
        <v>1488</v>
      </c>
      <c r="G20" s="179">
        <v>40976</v>
      </c>
      <c r="H20" s="162" t="s">
        <v>1536</v>
      </c>
      <c r="I20" s="162" t="s">
        <v>3</v>
      </c>
      <c r="J20" s="162" t="s">
        <v>1092</v>
      </c>
      <c r="K20" s="162" t="s">
        <v>3</v>
      </c>
      <c r="L20" s="162" t="s">
        <v>1092</v>
      </c>
      <c r="M20" s="162" t="s">
        <v>2</v>
      </c>
      <c r="N20" s="162" t="s">
        <v>1092</v>
      </c>
      <c r="O20" s="162" t="s">
        <v>3</v>
      </c>
      <c r="P20" s="162" t="s">
        <v>3</v>
      </c>
      <c r="Q20" s="162" t="s">
        <v>3</v>
      </c>
      <c r="R20" s="162" t="s">
        <v>2</v>
      </c>
      <c r="S20" s="162" t="s">
        <v>2</v>
      </c>
      <c r="T20" s="162" t="s">
        <v>2</v>
      </c>
      <c r="U20" s="162" t="s">
        <v>3</v>
      </c>
      <c r="V20" s="162" t="s">
        <v>2</v>
      </c>
      <c r="W20" s="162" t="s">
        <v>2</v>
      </c>
      <c r="X20" s="162" t="s">
        <v>3</v>
      </c>
      <c r="Y20" s="162" t="s">
        <v>2</v>
      </c>
      <c r="Z20" s="162" t="s">
        <v>2</v>
      </c>
      <c r="AA20" s="162" t="s">
        <v>3</v>
      </c>
      <c r="AB20" s="162" t="s">
        <v>3</v>
      </c>
      <c r="AC20" s="162" t="s">
        <v>2</v>
      </c>
      <c r="AD20" s="162" t="s">
        <v>2</v>
      </c>
      <c r="AE20" s="162" t="s">
        <v>2</v>
      </c>
      <c r="AF20" s="162" t="s">
        <v>2</v>
      </c>
      <c r="AG20" s="162" t="s">
        <v>3</v>
      </c>
      <c r="AH20" s="162" t="s">
        <v>3</v>
      </c>
      <c r="AI20" s="162" t="s">
        <v>3</v>
      </c>
      <c r="AJ20" s="162" t="s">
        <v>3</v>
      </c>
      <c r="AK20" s="162" t="s">
        <v>3</v>
      </c>
      <c r="AL20" s="162" t="s">
        <v>3</v>
      </c>
      <c r="AM20" s="162" t="s">
        <v>2</v>
      </c>
      <c r="AN20" s="162" t="s">
        <v>2</v>
      </c>
      <c r="AO20" s="162" t="s">
        <v>3</v>
      </c>
      <c r="AP20" s="162" t="s">
        <v>3</v>
      </c>
      <c r="AQ20" s="162" t="s">
        <v>2</v>
      </c>
      <c r="AR20" s="162" t="s">
        <v>2</v>
      </c>
      <c r="AS20" s="162" t="s">
        <v>2</v>
      </c>
    </row>
    <row r="21" spans="1:45" ht="15.75" customHeight="1" x14ac:dyDescent="0.2">
      <c r="A21" s="177">
        <v>42613.307608645831</v>
      </c>
      <c r="B21" s="162" t="s">
        <v>1537</v>
      </c>
      <c r="C21" s="162" t="s">
        <v>1538</v>
      </c>
      <c r="D21" s="178">
        <v>39751941</v>
      </c>
      <c r="E21" s="162" t="s">
        <v>1320</v>
      </c>
      <c r="F21" s="162" t="s">
        <v>1500</v>
      </c>
      <c r="G21" s="179">
        <v>32508</v>
      </c>
      <c r="H21" s="162" t="s">
        <v>1539</v>
      </c>
      <c r="I21" s="162" t="s">
        <v>3</v>
      </c>
      <c r="J21" s="162" t="s">
        <v>1092</v>
      </c>
      <c r="K21" s="162" t="s">
        <v>3</v>
      </c>
      <c r="L21" s="162" t="s">
        <v>2</v>
      </c>
      <c r="M21" s="162" t="s">
        <v>2</v>
      </c>
      <c r="N21" s="162" t="s">
        <v>2</v>
      </c>
      <c r="O21" s="162" t="s">
        <v>2</v>
      </c>
      <c r="P21" s="162" t="s">
        <v>2</v>
      </c>
      <c r="Q21" s="162" t="s">
        <v>2</v>
      </c>
      <c r="R21" s="162" t="s">
        <v>2</v>
      </c>
      <c r="S21" s="162" t="s">
        <v>2</v>
      </c>
      <c r="T21" s="162" t="s">
        <v>2</v>
      </c>
      <c r="U21" s="162" t="s">
        <v>2</v>
      </c>
      <c r="V21" s="162" t="s">
        <v>1</v>
      </c>
      <c r="W21" s="162" t="s">
        <v>1</v>
      </c>
      <c r="X21" s="162" t="s">
        <v>1</v>
      </c>
      <c r="Y21" s="162" t="s">
        <v>1</v>
      </c>
      <c r="Z21" s="162" t="s">
        <v>2</v>
      </c>
      <c r="AA21" s="162" t="s">
        <v>1</v>
      </c>
      <c r="AB21" s="162" t="s">
        <v>2</v>
      </c>
      <c r="AC21" s="162" t="s">
        <v>1</v>
      </c>
      <c r="AD21" s="162" t="s">
        <v>1093</v>
      </c>
      <c r="AE21" s="162" t="s">
        <v>1093</v>
      </c>
      <c r="AF21" s="162" t="s">
        <v>1</v>
      </c>
      <c r="AG21" s="162" t="s">
        <v>3</v>
      </c>
      <c r="AH21" s="162" t="s">
        <v>1092</v>
      </c>
      <c r="AI21" s="162" t="s">
        <v>1</v>
      </c>
      <c r="AJ21" s="162" t="s">
        <v>1092</v>
      </c>
      <c r="AK21" s="162" t="s">
        <v>1</v>
      </c>
      <c r="AL21" s="162" t="s">
        <v>1</v>
      </c>
      <c r="AM21" s="162" t="s">
        <v>3</v>
      </c>
      <c r="AN21" s="162" t="s">
        <v>2</v>
      </c>
      <c r="AO21" s="162" t="s">
        <v>2</v>
      </c>
      <c r="AP21" s="162" t="s">
        <v>2</v>
      </c>
      <c r="AQ21" s="162" t="s">
        <v>1</v>
      </c>
      <c r="AR21" s="162" t="s">
        <v>1</v>
      </c>
      <c r="AS21" s="162" t="s">
        <v>1</v>
      </c>
    </row>
    <row r="22" spans="1:45" ht="15.75" customHeight="1" x14ac:dyDescent="0.2">
      <c r="A22" s="177">
        <v>42613.362426631946</v>
      </c>
      <c r="B22" s="162" t="s">
        <v>1540</v>
      </c>
      <c r="C22" s="162" t="s">
        <v>1541</v>
      </c>
      <c r="D22" s="178">
        <v>52082587</v>
      </c>
      <c r="E22" s="162" t="s">
        <v>1320</v>
      </c>
      <c r="F22" s="162" t="s">
        <v>1488</v>
      </c>
      <c r="G22" s="179">
        <v>36545</v>
      </c>
      <c r="H22" s="162" t="s">
        <v>1542</v>
      </c>
      <c r="I22" s="162" t="s">
        <v>3</v>
      </c>
      <c r="J22" s="162" t="s">
        <v>3</v>
      </c>
      <c r="K22" s="162" t="s">
        <v>3</v>
      </c>
      <c r="L22" s="162" t="s">
        <v>3</v>
      </c>
      <c r="M22" s="162" t="s">
        <v>2</v>
      </c>
      <c r="N22" s="162" t="s">
        <v>3</v>
      </c>
      <c r="O22" s="162" t="s">
        <v>3</v>
      </c>
      <c r="P22" s="162" t="s">
        <v>3</v>
      </c>
      <c r="Q22" s="162" t="s">
        <v>3</v>
      </c>
      <c r="R22" s="162" t="s">
        <v>2</v>
      </c>
      <c r="S22" s="162" t="s">
        <v>2</v>
      </c>
      <c r="T22" s="162" t="s">
        <v>2</v>
      </c>
      <c r="U22" s="162" t="s">
        <v>3</v>
      </c>
      <c r="V22" s="162" t="s">
        <v>2</v>
      </c>
      <c r="W22" s="162" t="s">
        <v>2</v>
      </c>
      <c r="X22" s="162" t="s">
        <v>1</v>
      </c>
      <c r="Y22" s="162" t="s">
        <v>2</v>
      </c>
      <c r="Z22" s="162" t="s">
        <v>2</v>
      </c>
      <c r="AA22" s="162" t="s">
        <v>2</v>
      </c>
      <c r="AB22" s="162" t="s">
        <v>3</v>
      </c>
      <c r="AC22" s="162" t="s">
        <v>1</v>
      </c>
      <c r="AD22" s="162" t="s">
        <v>1</v>
      </c>
      <c r="AE22" s="162" t="s">
        <v>1</v>
      </c>
      <c r="AF22" s="162" t="s">
        <v>1</v>
      </c>
      <c r="AG22" s="162" t="s">
        <v>2</v>
      </c>
      <c r="AH22" s="162" t="s">
        <v>1</v>
      </c>
      <c r="AI22" s="162" t="s">
        <v>1</v>
      </c>
      <c r="AJ22" s="162" t="s">
        <v>2</v>
      </c>
      <c r="AK22" s="162" t="s">
        <v>1093</v>
      </c>
      <c r="AL22" s="162" t="s">
        <v>1093</v>
      </c>
      <c r="AM22" s="162" t="s">
        <v>2</v>
      </c>
      <c r="AN22" s="162" t="s">
        <v>2</v>
      </c>
      <c r="AO22" s="162" t="s">
        <v>2</v>
      </c>
      <c r="AP22" s="162" t="s">
        <v>2</v>
      </c>
      <c r="AQ22" s="162" t="s">
        <v>2</v>
      </c>
      <c r="AR22" s="162" t="s">
        <v>2</v>
      </c>
      <c r="AS22" s="162" t="s">
        <v>2</v>
      </c>
    </row>
    <row r="23" spans="1:45" ht="15.75" customHeight="1" x14ac:dyDescent="0.2">
      <c r="A23" s="177">
        <v>42613.373774444444</v>
      </c>
      <c r="B23" s="162" t="s">
        <v>1543</v>
      </c>
      <c r="C23" s="162" t="s">
        <v>1544</v>
      </c>
      <c r="D23" s="178">
        <v>80437619</v>
      </c>
      <c r="E23" s="162" t="s">
        <v>1320</v>
      </c>
      <c r="F23" s="162" t="s">
        <v>1488</v>
      </c>
      <c r="G23" s="179">
        <v>35814</v>
      </c>
      <c r="H23" s="162" t="s">
        <v>1545</v>
      </c>
      <c r="I23" s="162" t="s">
        <v>3</v>
      </c>
      <c r="J23" s="162" t="s">
        <v>1092</v>
      </c>
      <c r="K23" s="162" t="s">
        <v>1092</v>
      </c>
      <c r="L23" s="162" t="s">
        <v>3</v>
      </c>
      <c r="M23" s="162" t="s">
        <v>5</v>
      </c>
      <c r="N23" s="162" t="s">
        <v>1092</v>
      </c>
      <c r="O23" s="162" t="s">
        <v>1092</v>
      </c>
      <c r="P23" s="162" t="s">
        <v>1093</v>
      </c>
      <c r="Q23" s="162" t="s">
        <v>1093</v>
      </c>
      <c r="R23" s="162" t="s">
        <v>1093</v>
      </c>
      <c r="S23" s="162" t="s">
        <v>2</v>
      </c>
      <c r="T23" s="162" t="s">
        <v>1092</v>
      </c>
      <c r="U23" s="162" t="s">
        <v>3</v>
      </c>
      <c r="V23" s="162" t="s">
        <v>1093</v>
      </c>
      <c r="W23" s="162" t="s">
        <v>1093</v>
      </c>
      <c r="X23" s="162" t="s">
        <v>1093</v>
      </c>
      <c r="Y23" s="162" t="s">
        <v>1093</v>
      </c>
      <c r="Z23" s="162" t="s">
        <v>2</v>
      </c>
      <c r="AA23" s="162" t="s">
        <v>2</v>
      </c>
      <c r="AB23" s="162" t="s">
        <v>3</v>
      </c>
      <c r="AC23" s="162" t="s">
        <v>1093</v>
      </c>
      <c r="AD23" s="162" t="s">
        <v>1</v>
      </c>
      <c r="AE23" s="162" t="s">
        <v>1093</v>
      </c>
      <c r="AF23" s="162" t="s">
        <v>1093</v>
      </c>
      <c r="AG23" s="162" t="s">
        <v>1092</v>
      </c>
      <c r="AH23" s="162" t="s">
        <v>3</v>
      </c>
      <c r="AI23" s="162" t="s">
        <v>1092</v>
      </c>
      <c r="AJ23" s="162" t="s">
        <v>1092</v>
      </c>
      <c r="AK23" s="162" t="s">
        <v>2</v>
      </c>
      <c r="AL23" s="162" t="s">
        <v>1093</v>
      </c>
      <c r="AM23" s="162" t="s">
        <v>1093</v>
      </c>
      <c r="AN23" s="162" t="s">
        <v>1093</v>
      </c>
      <c r="AO23" s="162" t="s">
        <v>2</v>
      </c>
      <c r="AP23" s="162" t="s">
        <v>1093</v>
      </c>
      <c r="AQ23" s="162" t="s">
        <v>1093</v>
      </c>
      <c r="AR23" s="162" t="s">
        <v>1093</v>
      </c>
      <c r="AS23" s="162" t="s">
        <v>1</v>
      </c>
    </row>
    <row r="24" spans="1:45" ht="15.75" customHeight="1" x14ac:dyDescent="0.2">
      <c r="A24" s="177">
        <v>42613.383435810189</v>
      </c>
      <c r="B24" s="162" t="s">
        <v>1546</v>
      </c>
      <c r="C24" s="162" t="s">
        <v>1547</v>
      </c>
      <c r="D24" s="178">
        <v>1013634061</v>
      </c>
      <c r="E24" s="162" t="s">
        <v>1482</v>
      </c>
      <c r="F24" s="162" t="s">
        <v>1488</v>
      </c>
      <c r="G24" s="179">
        <v>42201</v>
      </c>
      <c r="H24" s="162" t="s">
        <v>1548</v>
      </c>
      <c r="I24" s="162" t="s">
        <v>3</v>
      </c>
      <c r="J24" s="162" t="s">
        <v>1092</v>
      </c>
      <c r="K24" s="162" t="s">
        <v>1092</v>
      </c>
      <c r="L24" s="162" t="s">
        <v>1092</v>
      </c>
      <c r="M24" s="162" t="s">
        <v>1</v>
      </c>
      <c r="N24" s="162" t="s">
        <v>1092</v>
      </c>
      <c r="O24" s="162" t="s">
        <v>1092</v>
      </c>
      <c r="P24" s="162" t="s">
        <v>1092</v>
      </c>
      <c r="Q24" s="162" t="s">
        <v>1092</v>
      </c>
      <c r="R24" s="162" t="s">
        <v>2</v>
      </c>
      <c r="S24" s="162" t="s">
        <v>2</v>
      </c>
      <c r="T24" s="162" t="s">
        <v>2</v>
      </c>
      <c r="U24" s="162" t="s">
        <v>1092</v>
      </c>
      <c r="V24" s="162" t="s">
        <v>2</v>
      </c>
      <c r="W24" s="162" t="s">
        <v>3</v>
      </c>
      <c r="X24" s="162" t="s">
        <v>3</v>
      </c>
      <c r="Y24" s="162" t="s">
        <v>2</v>
      </c>
      <c r="Z24" s="162" t="s">
        <v>3</v>
      </c>
      <c r="AA24" s="162" t="s">
        <v>3</v>
      </c>
      <c r="AB24" s="162" t="s">
        <v>3</v>
      </c>
      <c r="AC24" s="162" t="s">
        <v>2</v>
      </c>
      <c r="AD24" s="162" t="s">
        <v>3</v>
      </c>
      <c r="AE24" s="162" t="s">
        <v>3</v>
      </c>
      <c r="AF24" s="162" t="s">
        <v>1092</v>
      </c>
      <c r="AG24" s="162" t="s">
        <v>1092</v>
      </c>
      <c r="AH24" s="162" t="s">
        <v>1092</v>
      </c>
      <c r="AI24" s="162" t="s">
        <v>1092</v>
      </c>
      <c r="AJ24" s="162" t="s">
        <v>1092</v>
      </c>
      <c r="AK24" s="162" t="s">
        <v>1092</v>
      </c>
      <c r="AL24" s="162" t="s">
        <v>1092</v>
      </c>
      <c r="AM24" s="162" t="s">
        <v>1092</v>
      </c>
      <c r="AN24" s="162" t="s">
        <v>1092</v>
      </c>
      <c r="AO24" s="162" t="s">
        <v>3</v>
      </c>
      <c r="AP24" s="162" t="s">
        <v>1092</v>
      </c>
      <c r="AQ24" s="162" t="s">
        <v>2</v>
      </c>
      <c r="AR24" s="162" t="s">
        <v>2</v>
      </c>
      <c r="AS24" s="162" t="s">
        <v>2</v>
      </c>
    </row>
    <row r="25" spans="1:45" ht="15.75" customHeight="1" x14ac:dyDescent="0.2">
      <c r="A25" s="177">
        <v>42613.391540983794</v>
      </c>
      <c r="B25" s="162" t="s">
        <v>1549</v>
      </c>
      <c r="C25" s="162" t="s">
        <v>1550</v>
      </c>
      <c r="D25" s="178">
        <v>1031124252</v>
      </c>
      <c r="E25" s="162" t="s">
        <v>1482</v>
      </c>
      <c r="F25" s="162" t="s">
        <v>1488</v>
      </c>
      <c r="G25" s="179">
        <v>40620</v>
      </c>
      <c r="H25" s="162" t="s">
        <v>1551</v>
      </c>
      <c r="I25" s="162" t="s">
        <v>3</v>
      </c>
      <c r="J25" s="162" t="s">
        <v>1092</v>
      </c>
      <c r="K25" s="162" t="s">
        <v>3</v>
      </c>
      <c r="L25" s="162" t="s">
        <v>1092</v>
      </c>
      <c r="M25" s="162" t="s">
        <v>2</v>
      </c>
      <c r="N25" s="162" t="s">
        <v>1092</v>
      </c>
      <c r="O25" s="162" t="s">
        <v>3</v>
      </c>
      <c r="P25" s="162" t="s">
        <v>1</v>
      </c>
      <c r="Q25" s="162" t="s">
        <v>1093</v>
      </c>
      <c r="R25" s="162" t="s">
        <v>1</v>
      </c>
      <c r="S25" s="162" t="s">
        <v>2</v>
      </c>
      <c r="T25" s="162" t="s">
        <v>3</v>
      </c>
      <c r="U25" s="162" t="s">
        <v>1092</v>
      </c>
      <c r="V25" s="162" t="s">
        <v>2</v>
      </c>
      <c r="W25" s="162" t="s">
        <v>3</v>
      </c>
      <c r="X25" s="162" t="s">
        <v>1</v>
      </c>
      <c r="Y25" s="162" t="s">
        <v>1093</v>
      </c>
      <c r="Z25" s="162" t="s">
        <v>3</v>
      </c>
      <c r="AA25" s="162" t="s">
        <v>3</v>
      </c>
      <c r="AB25" s="162" t="s">
        <v>1092</v>
      </c>
      <c r="AC25" s="162" t="s">
        <v>2</v>
      </c>
      <c r="AD25" s="162" t="s">
        <v>3</v>
      </c>
      <c r="AE25" s="162" t="s">
        <v>1</v>
      </c>
      <c r="AF25" s="162" t="s">
        <v>2</v>
      </c>
      <c r="AG25" s="162" t="s">
        <v>1092</v>
      </c>
      <c r="AH25" s="162" t="s">
        <v>1</v>
      </c>
      <c r="AI25" s="162" t="s">
        <v>3</v>
      </c>
      <c r="AJ25" s="162" t="s">
        <v>2</v>
      </c>
      <c r="AK25" s="162" t="s">
        <v>1093</v>
      </c>
      <c r="AL25" s="162" t="s">
        <v>1093</v>
      </c>
      <c r="AM25" s="162" t="s">
        <v>1</v>
      </c>
      <c r="AN25" s="162" t="s">
        <v>1</v>
      </c>
      <c r="AO25" s="162" t="s">
        <v>2</v>
      </c>
      <c r="AP25" s="162" t="s">
        <v>1</v>
      </c>
      <c r="AQ25" s="162" t="s">
        <v>2</v>
      </c>
      <c r="AR25" s="162" t="s">
        <v>1093</v>
      </c>
      <c r="AS25" s="162" t="s">
        <v>2</v>
      </c>
    </row>
    <row r="26" spans="1:45" ht="12.75" x14ac:dyDescent="0.2">
      <c r="A26" s="177">
        <v>42613.446170243056</v>
      </c>
      <c r="B26" s="162" t="s">
        <v>1552</v>
      </c>
      <c r="C26" s="162" t="s">
        <v>1553</v>
      </c>
      <c r="D26" s="178">
        <v>19283898</v>
      </c>
      <c r="E26" s="162" t="s">
        <v>1320</v>
      </c>
      <c r="F26" s="162" t="s">
        <v>1500</v>
      </c>
      <c r="G26" s="179">
        <v>33890</v>
      </c>
      <c r="H26" s="162" t="s">
        <v>1554</v>
      </c>
      <c r="I26" s="162" t="s">
        <v>3</v>
      </c>
      <c r="J26" s="162" t="s">
        <v>3</v>
      </c>
      <c r="K26" s="162" t="s">
        <v>3</v>
      </c>
      <c r="L26" s="162" t="s">
        <v>2</v>
      </c>
      <c r="M26" s="162" t="s">
        <v>5</v>
      </c>
      <c r="N26" s="162" t="s">
        <v>5</v>
      </c>
      <c r="O26" s="162" t="s">
        <v>5</v>
      </c>
      <c r="P26" s="162" t="s">
        <v>5</v>
      </c>
      <c r="Q26" s="162" t="s">
        <v>5</v>
      </c>
      <c r="R26" s="162" t="s">
        <v>5</v>
      </c>
      <c r="S26" s="162" t="s">
        <v>5</v>
      </c>
      <c r="T26" s="162" t="s">
        <v>5</v>
      </c>
      <c r="U26" s="162" t="s">
        <v>5</v>
      </c>
      <c r="V26" s="162" t="s">
        <v>5</v>
      </c>
      <c r="W26" s="162" t="s">
        <v>5</v>
      </c>
      <c r="X26" s="162" t="s">
        <v>5</v>
      </c>
      <c r="Y26" s="162" t="s">
        <v>5</v>
      </c>
      <c r="Z26" s="162" t="s">
        <v>5</v>
      </c>
      <c r="AA26" s="162" t="s">
        <v>5</v>
      </c>
      <c r="AB26" s="162" t="s">
        <v>5</v>
      </c>
      <c r="AC26" s="162" t="s">
        <v>2</v>
      </c>
      <c r="AD26" s="162" t="s">
        <v>2</v>
      </c>
      <c r="AE26" s="162" t="s">
        <v>2</v>
      </c>
      <c r="AF26" s="162" t="s">
        <v>2</v>
      </c>
      <c r="AG26" s="162" t="s">
        <v>3</v>
      </c>
      <c r="AH26" s="162" t="s">
        <v>3</v>
      </c>
      <c r="AI26" s="162" t="s">
        <v>2</v>
      </c>
      <c r="AJ26" s="162" t="s">
        <v>3</v>
      </c>
      <c r="AK26" s="162" t="s">
        <v>3</v>
      </c>
      <c r="AL26" s="162" t="s">
        <v>3</v>
      </c>
      <c r="AM26" s="162" t="s">
        <v>5</v>
      </c>
      <c r="AN26" s="162" t="s">
        <v>5</v>
      </c>
      <c r="AO26" s="162" t="s">
        <v>5</v>
      </c>
      <c r="AP26" s="162" t="s">
        <v>5</v>
      </c>
      <c r="AQ26" s="162" t="s">
        <v>2</v>
      </c>
      <c r="AR26" s="162" t="s">
        <v>2</v>
      </c>
      <c r="AS26" s="162" t="s">
        <v>2</v>
      </c>
    </row>
    <row r="27" spans="1:45" ht="12.75" x14ac:dyDescent="0.2">
      <c r="A27" s="177">
        <v>42613.508565694443</v>
      </c>
      <c r="B27" s="162" t="s">
        <v>1555</v>
      </c>
      <c r="C27" s="162" t="s">
        <v>1556</v>
      </c>
      <c r="D27" s="178">
        <v>52791823</v>
      </c>
      <c r="E27" s="162" t="s">
        <v>1482</v>
      </c>
      <c r="F27" s="162" t="s">
        <v>1479</v>
      </c>
      <c r="G27" s="179">
        <v>42397</v>
      </c>
      <c r="H27" s="162" t="s">
        <v>1557</v>
      </c>
      <c r="I27" s="162" t="s">
        <v>5</v>
      </c>
      <c r="J27" s="162" t="s">
        <v>5</v>
      </c>
      <c r="K27" s="162" t="s">
        <v>2</v>
      </c>
      <c r="L27" s="162" t="s">
        <v>3</v>
      </c>
      <c r="M27" s="162" t="s">
        <v>5</v>
      </c>
      <c r="N27" s="162" t="s">
        <v>3</v>
      </c>
      <c r="O27" s="162" t="s">
        <v>5</v>
      </c>
      <c r="P27" s="162" t="s">
        <v>5</v>
      </c>
      <c r="Q27" s="162" t="s">
        <v>5</v>
      </c>
      <c r="R27" s="162" t="s">
        <v>5</v>
      </c>
      <c r="S27" s="162" t="s">
        <v>5</v>
      </c>
      <c r="T27" s="162" t="s">
        <v>5</v>
      </c>
      <c r="U27" s="162" t="s">
        <v>5</v>
      </c>
      <c r="V27" s="162" t="s">
        <v>5</v>
      </c>
      <c r="W27" s="162" t="s">
        <v>5</v>
      </c>
      <c r="X27" s="162" t="s">
        <v>5</v>
      </c>
      <c r="Y27" s="162" t="s">
        <v>3</v>
      </c>
      <c r="Z27" s="162" t="s">
        <v>3</v>
      </c>
      <c r="AA27" s="162" t="s">
        <v>5</v>
      </c>
      <c r="AB27" s="162" t="s">
        <v>5</v>
      </c>
      <c r="AC27" s="162" t="s">
        <v>1093</v>
      </c>
      <c r="AD27" s="162" t="s">
        <v>1093</v>
      </c>
      <c r="AE27" s="162" t="s">
        <v>1093</v>
      </c>
      <c r="AF27" s="162" t="s">
        <v>1093</v>
      </c>
      <c r="AG27" s="162" t="s">
        <v>3</v>
      </c>
      <c r="AH27" s="162" t="s">
        <v>1</v>
      </c>
      <c r="AI27" s="162" t="s">
        <v>1093</v>
      </c>
      <c r="AJ27" s="162" t="s">
        <v>1092</v>
      </c>
      <c r="AK27" s="162" t="s">
        <v>1093</v>
      </c>
      <c r="AL27" s="162" t="s">
        <v>1093</v>
      </c>
      <c r="AM27" s="162" t="s">
        <v>1093</v>
      </c>
      <c r="AN27" s="162" t="s">
        <v>5</v>
      </c>
      <c r="AO27" s="162" t="s">
        <v>3</v>
      </c>
      <c r="AP27" s="162" t="s">
        <v>3</v>
      </c>
      <c r="AQ27" s="162" t="s">
        <v>3</v>
      </c>
      <c r="AR27" s="162" t="s">
        <v>3</v>
      </c>
      <c r="AS27" s="162" t="s">
        <v>1093</v>
      </c>
    </row>
    <row r="28" spans="1:45" ht="12.75" x14ac:dyDescent="0.2">
      <c r="A28" s="177">
        <v>42613.544038055552</v>
      </c>
      <c r="B28" s="162" t="s">
        <v>1558</v>
      </c>
      <c r="C28" s="162" t="s">
        <v>1559</v>
      </c>
      <c r="D28" s="178">
        <v>79938449</v>
      </c>
      <c r="E28" s="162" t="s">
        <v>1482</v>
      </c>
      <c r="F28" s="162" t="s">
        <v>1560</v>
      </c>
      <c r="G28" s="179">
        <v>41690</v>
      </c>
      <c r="H28" s="162" t="s">
        <v>1561</v>
      </c>
      <c r="I28" s="162" t="s">
        <v>1093</v>
      </c>
      <c r="J28" s="162" t="s">
        <v>1093</v>
      </c>
      <c r="K28" s="162" t="s">
        <v>5</v>
      </c>
      <c r="L28" s="162" t="s">
        <v>2</v>
      </c>
      <c r="M28" s="162" t="s">
        <v>3</v>
      </c>
      <c r="N28" s="162" t="s">
        <v>5</v>
      </c>
      <c r="O28" s="162" t="s">
        <v>3</v>
      </c>
      <c r="P28" s="162" t="s">
        <v>1</v>
      </c>
      <c r="Q28" s="162" t="s">
        <v>1</v>
      </c>
      <c r="R28" s="162" t="s">
        <v>1</v>
      </c>
      <c r="S28" s="162" t="s">
        <v>1092</v>
      </c>
      <c r="T28" s="162" t="s">
        <v>2</v>
      </c>
      <c r="U28" s="162" t="s">
        <v>1092</v>
      </c>
      <c r="V28" s="162" t="s">
        <v>2</v>
      </c>
      <c r="W28" s="162" t="s">
        <v>1092</v>
      </c>
      <c r="X28" s="162" t="s">
        <v>1093</v>
      </c>
      <c r="Y28" s="162" t="s">
        <v>1</v>
      </c>
      <c r="Z28" s="162" t="s">
        <v>1092</v>
      </c>
      <c r="AA28" s="162" t="s">
        <v>3</v>
      </c>
      <c r="AB28" s="162" t="s">
        <v>5</v>
      </c>
      <c r="AC28" s="162" t="s">
        <v>1</v>
      </c>
      <c r="AD28" s="162" t="s">
        <v>1</v>
      </c>
      <c r="AE28" s="162" t="s">
        <v>1092</v>
      </c>
      <c r="AF28" s="162" t="s">
        <v>3</v>
      </c>
      <c r="AG28" s="162" t="s">
        <v>1092</v>
      </c>
      <c r="AH28" s="162" t="s">
        <v>3</v>
      </c>
      <c r="AI28" s="162" t="s">
        <v>1092</v>
      </c>
      <c r="AJ28" s="162" t="s">
        <v>1092</v>
      </c>
      <c r="AK28" s="162" t="s">
        <v>1</v>
      </c>
      <c r="AL28" s="162" t="s">
        <v>1</v>
      </c>
      <c r="AM28" s="162" t="s">
        <v>3</v>
      </c>
      <c r="AN28" s="162" t="s">
        <v>1093</v>
      </c>
      <c r="AO28" s="162" t="s">
        <v>2</v>
      </c>
      <c r="AP28" s="162" t="s">
        <v>3</v>
      </c>
      <c r="AQ28" s="162" t="s">
        <v>2</v>
      </c>
      <c r="AR28" s="162" t="s">
        <v>1</v>
      </c>
      <c r="AS28" s="162" t="s">
        <v>1092</v>
      </c>
    </row>
    <row r="29" spans="1:45" ht="12.75" x14ac:dyDescent="0.2">
      <c r="A29" s="177">
        <v>42613.558774965277</v>
      </c>
      <c r="B29" s="162" t="s">
        <v>1562</v>
      </c>
      <c r="C29" s="162" t="s">
        <v>1563</v>
      </c>
      <c r="D29" s="178">
        <v>1024522183</v>
      </c>
      <c r="E29" s="162" t="s">
        <v>1482</v>
      </c>
      <c r="F29" s="162" t="s">
        <v>1516</v>
      </c>
      <c r="G29" s="179">
        <v>41334</v>
      </c>
      <c r="H29" s="162" t="s">
        <v>1564</v>
      </c>
      <c r="I29" s="162" t="s">
        <v>1092</v>
      </c>
      <c r="J29" s="162" t="s">
        <v>1092</v>
      </c>
      <c r="K29" s="162" t="s">
        <v>3</v>
      </c>
      <c r="L29" s="162" t="s">
        <v>3</v>
      </c>
      <c r="M29" s="162" t="s">
        <v>2</v>
      </c>
      <c r="N29" s="162" t="s">
        <v>3</v>
      </c>
      <c r="O29" s="162" t="s">
        <v>3</v>
      </c>
      <c r="P29" s="162" t="s">
        <v>2</v>
      </c>
      <c r="Q29" s="162" t="s">
        <v>2</v>
      </c>
      <c r="R29" s="162" t="s">
        <v>3</v>
      </c>
      <c r="S29" s="162" t="s">
        <v>3</v>
      </c>
      <c r="T29" s="162" t="s">
        <v>3</v>
      </c>
      <c r="U29" s="162" t="s">
        <v>3</v>
      </c>
      <c r="V29" s="162" t="s">
        <v>3</v>
      </c>
      <c r="W29" s="162" t="s">
        <v>3</v>
      </c>
      <c r="X29" s="162" t="s">
        <v>2</v>
      </c>
      <c r="Y29" s="162" t="s">
        <v>2</v>
      </c>
      <c r="Z29" s="162" t="s">
        <v>2</v>
      </c>
      <c r="AA29" s="162" t="s">
        <v>2</v>
      </c>
      <c r="AB29" s="162" t="s">
        <v>2</v>
      </c>
      <c r="AC29" s="162" t="s">
        <v>2</v>
      </c>
      <c r="AD29" s="162" t="s">
        <v>2</v>
      </c>
      <c r="AE29" s="162" t="s">
        <v>2</v>
      </c>
      <c r="AF29" s="162" t="s">
        <v>2</v>
      </c>
      <c r="AG29" s="162" t="s">
        <v>3</v>
      </c>
      <c r="AH29" s="162" t="s">
        <v>3</v>
      </c>
      <c r="AI29" s="162" t="s">
        <v>1092</v>
      </c>
      <c r="AJ29" s="162" t="s">
        <v>1092</v>
      </c>
      <c r="AK29" s="162" t="s">
        <v>3</v>
      </c>
      <c r="AL29" s="162" t="s">
        <v>3</v>
      </c>
      <c r="AM29" s="162" t="s">
        <v>3</v>
      </c>
      <c r="AN29" s="162" t="s">
        <v>3</v>
      </c>
      <c r="AO29" s="162" t="s">
        <v>3</v>
      </c>
      <c r="AP29" s="162" t="s">
        <v>3</v>
      </c>
      <c r="AQ29" s="162" t="s">
        <v>3</v>
      </c>
      <c r="AR29" s="162" t="s">
        <v>2</v>
      </c>
      <c r="AS29" s="162" t="s">
        <v>2</v>
      </c>
    </row>
    <row r="30" spans="1:45" ht="12.75" x14ac:dyDescent="0.2">
      <c r="A30" s="177">
        <v>42613.590525208332</v>
      </c>
      <c r="B30" s="162" t="s">
        <v>1565</v>
      </c>
      <c r="C30" s="162" t="s">
        <v>1566</v>
      </c>
      <c r="D30" s="178">
        <v>41774815</v>
      </c>
      <c r="E30" s="162" t="s">
        <v>1482</v>
      </c>
      <c r="F30" s="162" t="s">
        <v>1479</v>
      </c>
      <c r="G30" s="179">
        <v>42397</v>
      </c>
      <c r="H30" s="162" t="s">
        <v>1567</v>
      </c>
      <c r="I30" s="162" t="s">
        <v>3</v>
      </c>
      <c r="J30" s="162" t="s">
        <v>3</v>
      </c>
      <c r="K30" s="162" t="s">
        <v>3</v>
      </c>
      <c r="L30" s="162" t="s">
        <v>3</v>
      </c>
      <c r="M30" s="162" t="s">
        <v>3</v>
      </c>
      <c r="N30" s="162" t="s">
        <v>5</v>
      </c>
      <c r="O30" s="162" t="s">
        <v>5</v>
      </c>
      <c r="P30" s="162" t="s">
        <v>3</v>
      </c>
      <c r="Q30" s="162" t="s">
        <v>3</v>
      </c>
      <c r="R30" s="162" t="s">
        <v>5</v>
      </c>
      <c r="S30" s="162" t="s">
        <v>5</v>
      </c>
      <c r="T30" s="162" t="s">
        <v>5</v>
      </c>
      <c r="U30" s="162" t="s">
        <v>5</v>
      </c>
      <c r="V30" s="162" t="s">
        <v>5</v>
      </c>
      <c r="W30" s="162" t="s">
        <v>5</v>
      </c>
      <c r="X30" s="162" t="s">
        <v>5</v>
      </c>
      <c r="Y30" s="162" t="s">
        <v>5</v>
      </c>
      <c r="Z30" s="162" t="s">
        <v>5</v>
      </c>
      <c r="AA30" s="162" t="s">
        <v>5</v>
      </c>
      <c r="AB30" s="162" t="s">
        <v>5</v>
      </c>
      <c r="AC30" s="162" t="s">
        <v>1</v>
      </c>
      <c r="AD30" s="162" t="s">
        <v>1</v>
      </c>
      <c r="AE30" s="162" t="s">
        <v>1</v>
      </c>
      <c r="AF30" s="162" t="s">
        <v>1</v>
      </c>
      <c r="AG30" s="162" t="s">
        <v>3</v>
      </c>
      <c r="AH30" s="162" t="s">
        <v>3</v>
      </c>
      <c r="AI30" s="162" t="s">
        <v>3</v>
      </c>
      <c r="AJ30" s="162" t="s">
        <v>3</v>
      </c>
      <c r="AK30" s="162" t="s">
        <v>1</v>
      </c>
      <c r="AL30" s="162" t="s">
        <v>1</v>
      </c>
      <c r="AM30" s="162" t="s">
        <v>1</v>
      </c>
      <c r="AN30" s="162" t="s">
        <v>1</v>
      </c>
      <c r="AO30" s="162" t="s">
        <v>1</v>
      </c>
      <c r="AP30" s="162" t="s">
        <v>1</v>
      </c>
      <c r="AQ30" s="162" t="s">
        <v>1</v>
      </c>
      <c r="AR30" s="162" t="s">
        <v>1</v>
      </c>
      <c r="AS30" s="162" t="s">
        <v>1</v>
      </c>
    </row>
    <row r="31" spans="1:45" ht="12.75" x14ac:dyDescent="0.2">
      <c r="A31" s="177">
        <v>42613.594149317127</v>
      </c>
      <c r="B31" s="162" t="s">
        <v>1568</v>
      </c>
      <c r="C31" s="162" t="s">
        <v>1569</v>
      </c>
      <c r="D31" s="178">
        <v>51880155</v>
      </c>
      <c r="E31" s="162" t="s">
        <v>1482</v>
      </c>
      <c r="F31" s="162" t="s">
        <v>1479</v>
      </c>
      <c r="G31" s="179">
        <v>42583</v>
      </c>
      <c r="H31" s="162" t="s">
        <v>1570</v>
      </c>
      <c r="I31" s="162" t="s">
        <v>3</v>
      </c>
      <c r="J31" s="162" t="s">
        <v>2</v>
      </c>
      <c r="K31" s="162" t="s">
        <v>3</v>
      </c>
      <c r="L31" s="162" t="s">
        <v>1092</v>
      </c>
      <c r="M31" s="162" t="s">
        <v>2</v>
      </c>
      <c r="N31" s="162" t="s">
        <v>1092</v>
      </c>
      <c r="O31" s="162" t="s">
        <v>3</v>
      </c>
      <c r="P31" s="162" t="s">
        <v>2</v>
      </c>
      <c r="Q31" s="162" t="s">
        <v>3</v>
      </c>
      <c r="R31" s="162" t="s">
        <v>2</v>
      </c>
      <c r="S31" s="162" t="s">
        <v>2</v>
      </c>
      <c r="T31" s="162" t="s">
        <v>3</v>
      </c>
      <c r="U31" s="162" t="s">
        <v>1092</v>
      </c>
      <c r="V31" s="162" t="s">
        <v>2</v>
      </c>
      <c r="W31" s="162" t="s">
        <v>2</v>
      </c>
      <c r="X31" s="162" t="s">
        <v>1</v>
      </c>
      <c r="Y31" s="162" t="s">
        <v>2</v>
      </c>
      <c r="Z31" s="162" t="s">
        <v>2</v>
      </c>
      <c r="AA31" s="162" t="s">
        <v>2</v>
      </c>
      <c r="AB31" s="162" t="s">
        <v>2</v>
      </c>
      <c r="AC31" s="162" t="s">
        <v>2</v>
      </c>
      <c r="AD31" s="162" t="s">
        <v>2</v>
      </c>
      <c r="AE31" s="162" t="s">
        <v>2</v>
      </c>
      <c r="AF31" s="162" t="s">
        <v>1093</v>
      </c>
      <c r="AG31" s="162" t="s">
        <v>1092</v>
      </c>
      <c r="AH31" s="162" t="s">
        <v>3</v>
      </c>
      <c r="AI31" s="162" t="s">
        <v>1</v>
      </c>
      <c r="AJ31" s="162" t="s">
        <v>1092</v>
      </c>
      <c r="AK31" s="162" t="s">
        <v>3</v>
      </c>
      <c r="AL31" s="162" t="s">
        <v>1</v>
      </c>
      <c r="AM31" s="162" t="s">
        <v>3</v>
      </c>
      <c r="AN31" s="162" t="s">
        <v>3</v>
      </c>
      <c r="AO31" s="162" t="s">
        <v>3</v>
      </c>
      <c r="AP31" s="162" t="s">
        <v>3</v>
      </c>
      <c r="AQ31" s="162" t="s">
        <v>2</v>
      </c>
      <c r="AR31" s="162" t="s">
        <v>2</v>
      </c>
      <c r="AS31" s="162" t="s">
        <v>3</v>
      </c>
    </row>
    <row r="32" spans="1:45" ht="12.75" x14ac:dyDescent="0.2">
      <c r="A32" s="177">
        <v>42613.595261724535</v>
      </c>
      <c r="B32" s="162" t="s">
        <v>1571</v>
      </c>
      <c r="C32" s="162" t="s">
        <v>1572</v>
      </c>
      <c r="D32" s="178">
        <v>52219798</v>
      </c>
      <c r="E32" s="162" t="s">
        <v>1482</v>
      </c>
      <c r="F32" s="162" t="s">
        <v>1479</v>
      </c>
      <c r="G32" s="179">
        <v>37271</v>
      </c>
      <c r="H32" s="162" t="s">
        <v>1573</v>
      </c>
      <c r="I32" s="162" t="s">
        <v>5</v>
      </c>
      <c r="J32" s="162" t="s">
        <v>5</v>
      </c>
      <c r="K32" s="162" t="s">
        <v>3</v>
      </c>
      <c r="L32" s="162" t="s">
        <v>3</v>
      </c>
      <c r="M32" s="162" t="s">
        <v>5</v>
      </c>
      <c r="N32" s="162" t="s">
        <v>5</v>
      </c>
      <c r="O32" s="162" t="s">
        <v>5</v>
      </c>
      <c r="P32" s="162" t="s">
        <v>2</v>
      </c>
      <c r="Q32" s="162" t="s">
        <v>2</v>
      </c>
      <c r="R32" s="162" t="s">
        <v>2</v>
      </c>
      <c r="S32" s="162" t="s">
        <v>2</v>
      </c>
      <c r="T32" s="162" t="s">
        <v>5</v>
      </c>
      <c r="U32" s="162" t="s">
        <v>1092</v>
      </c>
      <c r="V32" s="162" t="s">
        <v>5</v>
      </c>
      <c r="W32" s="162" t="s">
        <v>5</v>
      </c>
      <c r="X32" s="162" t="s">
        <v>5</v>
      </c>
      <c r="Y32" s="162" t="s">
        <v>1</v>
      </c>
      <c r="Z32" s="162" t="s">
        <v>2</v>
      </c>
      <c r="AA32" s="162" t="s">
        <v>2</v>
      </c>
      <c r="AB32" s="162" t="s">
        <v>1092</v>
      </c>
      <c r="AC32" s="162" t="s">
        <v>2</v>
      </c>
      <c r="AD32" s="162" t="s">
        <v>2</v>
      </c>
      <c r="AE32" s="162" t="s">
        <v>2</v>
      </c>
      <c r="AF32" s="162" t="s">
        <v>1</v>
      </c>
      <c r="AG32" s="162" t="s">
        <v>1092</v>
      </c>
      <c r="AH32" s="162" t="s">
        <v>1</v>
      </c>
      <c r="AI32" s="162" t="s">
        <v>1</v>
      </c>
      <c r="AJ32" s="162" t="s">
        <v>2</v>
      </c>
      <c r="AK32" s="162" t="s">
        <v>1</v>
      </c>
      <c r="AL32" s="162" t="s">
        <v>2</v>
      </c>
      <c r="AM32" s="162" t="s">
        <v>2</v>
      </c>
      <c r="AN32" s="162" t="s">
        <v>2</v>
      </c>
      <c r="AO32" s="162" t="s">
        <v>3</v>
      </c>
      <c r="AP32" s="162" t="s">
        <v>3</v>
      </c>
      <c r="AQ32" s="162" t="s">
        <v>2</v>
      </c>
      <c r="AR32" s="162" t="s">
        <v>2</v>
      </c>
      <c r="AS32" s="162" t="s">
        <v>2</v>
      </c>
    </row>
    <row r="33" spans="1:45" ht="12.75" x14ac:dyDescent="0.2">
      <c r="A33" s="177">
        <v>42613.618157175923</v>
      </c>
      <c r="B33" s="162" t="s">
        <v>1574</v>
      </c>
      <c r="C33" s="162" t="s">
        <v>1575</v>
      </c>
      <c r="D33" s="178">
        <v>1031129837</v>
      </c>
      <c r="E33" s="162" t="s">
        <v>1482</v>
      </c>
      <c r="F33" s="162" t="s">
        <v>1526</v>
      </c>
      <c r="G33" s="179">
        <v>41672</v>
      </c>
      <c r="H33" s="162" t="s">
        <v>1576</v>
      </c>
      <c r="I33" s="162" t="s">
        <v>3</v>
      </c>
      <c r="J33" s="162" t="s">
        <v>3</v>
      </c>
      <c r="K33" s="162" t="s">
        <v>3</v>
      </c>
      <c r="L33" s="162" t="s">
        <v>3</v>
      </c>
      <c r="M33" s="162" t="s">
        <v>3</v>
      </c>
      <c r="N33" s="162" t="s">
        <v>3</v>
      </c>
      <c r="O33" s="162" t="s">
        <v>3</v>
      </c>
      <c r="P33" s="162" t="s">
        <v>3</v>
      </c>
      <c r="Q33" s="162" t="s">
        <v>3</v>
      </c>
      <c r="R33" s="162" t="s">
        <v>3</v>
      </c>
      <c r="S33" s="162" t="s">
        <v>3</v>
      </c>
      <c r="T33" s="162" t="s">
        <v>3</v>
      </c>
      <c r="U33" s="162" t="s">
        <v>3</v>
      </c>
      <c r="V33" s="162" t="s">
        <v>3</v>
      </c>
      <c r="W33" s="162" t="s">
        <v>3</v>
      </c>
      <c r="X33" s="162" t="s">
        <v>3</v>
      </c>
      <c r="Y33" s="162" t="s">
        <v>3</v>
      </c>
      <c r="Z33" s="162" t="s">
        <v>3</v>
      </c>
      <c r="AA33" s="162" t="s">
        <v>3</v>
      </c>
      <c r="AB33" s="162" t="s">
        <v>3</v>
      </c>
      <c r="AC33" s="162" t="s">
        <v>2</v>
      </c>
      <c r="AD33" s="162" t="s">
        <v>3</v>
      </c>
      <c r="AE33" s="162" t="s">
        <v>3</v>
      </c>
      <c r="AF33" s="162" t="s">
        <v>3</v>
      </c>
      <c r="AG33" s="162" t="s">
        <v>3</v>
      </c>
      <c r="AH33" s="162" t="s">
        <v>3</v>
      </c>
      <c r="AI33" s="162" t="s">
        <v>2</v>
      </c>
      <c r="AJ33" s="162" t="s">
        <v>3</v>
      </c>
      <c r="AK33" s="162" t="s">
        <v>2</v>
      </c>
      <c r="AL33" s="162" t="s">
        <v>3</v>
      </c>
      <c r="AM33" s="162" t="s">
        <v>3</v>
      </c>
      <c r="AN33" s="162" t="s">
        <v>3</v>
      </c>
      <c r="AO33" s="162" t="s">
        <v>3</v>
      </c>
      <c r="AP33" s="162" t="s">
        <v>3</v>
      </c>
      <c r="AQ33" s="162" t="s">
        <v>3</v>
      </c>
      <c r="AR33" s="162" t="s">
        <v>3</v>
      </c>
      <c r="AS33" s="162" t="s">
        <v>3</v>
      </c>
    </row>
    <row r="34" spans="1:45" ht="12.75" x14ac:dyDescent="0.2">
      <c r="A34" s="177">
        <v>42613.618480613426</v>
      </c>
      <c r="B34" s="162" t="s">
        <v>1577</v>
      </c>
      <c r="C34" s="162" t="s">
        <v>1578</v>
      </c>
      <c r="D34" s="178">
        <v>79895031</v>
      </c>
      <c r="E34" s="162" t="s">
        <v>1482</v>
      </c>
      <c r="F34" s="162" t="s">
        <v>1488</v>
      </c>
      <c r="G34" s="179">
        <v>38754</v>
      </c>
      <c r="H34" s="162" t="s">
        <v>1579</v>
      </c>
      <c r="I34" s="162" t="s">
        <v>3</v>
      </c>
      <c r="J34" s="162" t="s">
        <v>1092</v>
      </c>
      <c r="K34" s="162" t="s">
        <v>1092</v>
      </c>
      <c r="L34" s="162" t="s">
        <v>1092</v>
      </c>
      <c r="M34" s="162" t="s">
        <v>1</v>
      </c>
      <c r="N34" s="162" t="s">
        <v>1092</v>
      </c>
      <c r="O34" s="162" t="s">
        <v>1092</v>
      </c>
      <c r="P34" s="162" t="s">
        <v>1</v>
      </c>
      <c r="Q34" s="162" t="s">
        <v>2</v>
      </c>
      <c r="R34" s="162" t="s">
        <v>2</v>
      </c>
      <c r="S34" s="162" t="s">
        <v>2</v>
      </c>
      <c r="T34" s="162" t="s">
        <v>2</v>
      </c>
      <c r="U34" s="162" t="s">
        <v>3</v>
      </c>
      <c r="V34" s="162" t="s">
        <v>3</v>
      </c>
      <c r="W34" s="162" t="s">
        <v>3</v>
      </c>
      <c r="X34" s="162" t="s">
        <v>2</v>
      </c>
      <c r="Y34" s="162" t="s">
        <v>2</v>
      </c>
      <c r="Z34" s="162" t="s">
        <v>3</v>
      </c>
      <c r="AA34" s="162" t="s">
        <v>3</v>
      </c>
      <c r="AB34" s="162" t="s">
        <v>3</v>
      </c>
      <c r="AC34" s="162" t="s">
        <v>1</v>
      </c>
      <c r="AD34" s="162" t="s">
        <v>1</v>
      </c>
      <c r="AE34" s="162" t="s">
        <v>1</v>
      </c>
      <c r="AF34" s="162" t="s">
        <v>1093</v>
      </c>
      <c r="AG34" s="162" t="s">
        <v>1092</v>
      </c>
      <c r="AH34" s="162" t="s">
        <v>2</v>
      </c>
      <c r="AI34" s="162" t="s">
        <v>3</v>
      </c>
      <c r="AJ34" s="162" t="s">
        <v>1092</v>
      </c>
      <c r="AK34" s="162" t="s">
        <v>2</v>
      </c>
      <c r="AL34" s="162" t="s">
        <v>5</v>
      </c>
      <c r="AM34" s="162" t="s">
        <v>2</v>
      </c>
      <c r="AN34" s="162" t="s">
        <v>2</v>
      </c>
      <c r="AO34" s="162" t="s">
        <v>3</v>
      </c>
      <c r="AP34" s="162" t="s">
        <v>3</v>
      </c>
      <c r="AQ34" s="162" t="s">
        <v>2</v>
      </c>
      <c r="AR34" s="162" t="s">
        <v>2</v>
      </c>
      <c r="AS34" s="162" t="s">
        <v>1</v>
      </c>
    </row>
    <row r="35" spans="1:45" ht="12.75" x14ac:dyDescent="0.2">
      <c r="A35" s="177">
        <v>42613.660027256949</v>
      </c>
      <c r="B35" s="162" t="s">
        <v>1580</v>
      </c>
      <c r="C35" s="162" t="s">
        <v>1581</v>
      </c>
      <c r="D35" s="178">
        <v>80067605</v>
      </c>
      <c r="E35" s="162" t="s">
        <v>1482</v>
      </c>
      <c r="F35" s="162" t="s">
        <v>1526</v>
      </c>
      <c r="G35" s="179">
        <v>40527</v>
      </c>
      <c r="H35" s="162" t="s">
        <v>1582</v>
      </c>
      <c r="I35" s="162" t="s">
        <v>1092</v>
      </c>
      <c r="J35" s="162" t="s">
        <v>1092</v>
      </c>
      <c r="K35" s="162" t="s">
        <v>1092</v>
      </c>
      <c r="L35" s="162" t="s">
        <v>1092</v>
      </c>
      <c r="M35" s="162" t="s">
        <v>1092</v>
      </c>
      <c r="N35" s="162" t="s">
        <v>1092</v>
      </c>
      <c r="O35" s="162" t="s">
        <v>1092</v>
      </c>
      <c r="P35" s="162" t="s">
        <v>1092</v>
      </c>
      <c r="Q35" s="162" t="s">
        <v>3</v>
      </c>
      <c r="R35" s="162" t="s">
        <v>3</v>
      </c>
      <c r="S35" s="162" t="s">
        <v>3</v>
      </c>
      <c r="T35" s="162" t="s">
        <v>1092</v>
      </c>
      <c r="U35" s="162" t="s">
        <v>1092</v>
      </c>
      <c r="V35" s="162" t="s">
        <v>3</v>
      </c>
      <c r="W35" s="162" t="s">
        <v>3</v>
      </c>
      <c r="X35" s="162" t="s">
        <v>3</v>
      </c>
      <c r="Y35" s="162" t="s">
        <v>1092</v>
      </c>
      <c r="Z35" s="162" t="s">
        <v>3</v>
      </c>
      <c r="AA35" s="162" t="s">
        <v>3</v>
      </c>
      <c r="AB35" s="162" t="s">
        <v>1092</v>
      </c>
      <c r="AC35" s="162" t="s">
        <v>3</v>
      </c>
      <c r="AD35" s="162" t="s">
        <v>1092</v>
      </c>
      <c r="AE35" s="162" t="s">
        <v>1092</v>
      </c>
      <c r="AF35" s="162" t="s">
        <v>1092</v>
      </c>
      <c r="AG35" s="162" t="s">
        <v>1092</v>
      </c>
      <c r="AH35" s="162" t="s">
        <v>1092</v>
      </c>
      <c r="AI35" s="162" t="s">
        <v>3</v>
      </c>
      <c r="AJ35" s="162" t="s">
        <v>1092</v>
      </c>
      <c r="AK35" s="162" t="s">
        <v>3</v>
      </c>
      <c r="AL35" s="162" t="s">
        <v>3</v>
      </c>
      <c r="AM35" s="162" t="s">
        <v>3</v>
      </c>
      <c r="AN35" s="162" t="s">
        <v>3</v>
      </c>
      <c r="AO35" s="162" t="s">
        <v>3</v>
      </c>
      <c r="AP35" s="162" t="s">
        <v>1092</v>
      </c>
      <c r="AQ35" s="162" t="s">
        <v>3</v>
      </c>
      <c r="AR35" s="162" t="s">
        <v>3</v>
      </c>
      <c r="AS35" s="162" t="s">
        <v>3</v>
      </c>
    </row>
    <row r="36" spans="1:45" ht="12.75" x14ac:dyDescent="0.2">
      <c r="A36" s="177">
        <v>42613.680210740742</v>
      </c>
      <c r="B36" s="162" t="s">
        <v>1521</v>
      </c>
      <c r="C36" s="162" t="s">
        <v>1583</v>
      </c>
      <c r="D36" s="178">
        <v>79745263</v>
      </c>
      <c r="E36" s="162" t="s">
        <v>1482</v>
      </c>
      <c r="F36" s="162" t="s">
        <v>1526</v>
      </c>
      <c r="G36" s="179">
        <v>39995</v>
      </c>
      <c r="H36" s="162" t="s">
        <v>1584</v>
      </c>
      <c r="I36" s="162" t="s">
        <v>1092</v>
      </c>
      <c r="J36" s="162" t="s">
        <v>3</v>
      </c>
      <c r="K36" s="162" t="s">
        <v>3</v>
      </c>
      <c r="L36" s="162" t="s">
        <v>3</v>
      </c>
      <c r="M36" s="162" t="s">
        <v>3</v>
      </c>
      <c r="N36" s="162" t="s">
        <v>2</v>
      </c>
      <c r="O36" s="162" t="s">
        <v>3</v>
      </c>
      <c r="P36" s="162" t="s">
        <v>5</v>
      </c>
      <c r="Q36" s="162" t="s">
        <v>2</v>
      </c>
      <c r="R36" s="162" t="s">
        <v>2</v>
      </c>
      <c r="S36" s="162" t="s">
        <v>2</v>
      </c>
      <c r="T36" s="162" t="s">
        <v>1</v>
      </c>
      <c r="U36" s="162" t="s">
        <v>3</v>
      </c>
      <c r="V36" s="162" t="s">
        <v>2</v>
      </c>
      <c r="W36" s="162" t="s">
        <v>2</v>
      </c>
      <c r="X36" s="162" t="s">
        <v>2</v>
      </c>
      <c r="Y36" s="162" t="s">
        <v>2</v>
      </c>
      <c r="Z36" s="162" t="s">
        <v>2</v>
      </c>
      <c r="AA36" s="162" t="s">
        <v>2</v>
      </c>
      <c r="AB36" s="162" t="s">
        <v>3</v>
      </c>
      <c r="AC36" s="162" t="s">
        <v>2</v>
      </c>
      <c r="AD36" s="162" t="s">
        <v>3</v>
      </c>
      <c r="AE36" s="162" t="s">
        <v>3</v>
      </c>
      <c r="AF36" s="162" t="s">
        <v>1092</v>
      </c>
      <c r="AG36" s="162" t="s">
        <v>1092</v>
      </c>
      <c r="AH36" s="162" t="s">
        <v>3</v>
      </c>
      <c r="AI36" s="162" t="s">
        <v>3</v>
      </c>
      <c r="AJ36" s="162" t="s">
        <v>1092</v>
      </c>
      <c r="AK36" s="162" t="s">
        <v>2</v>
      </c>
      <c r="AL36" s="162" t="s">
        <v>2</v>
      </c>
      <c r="AM36" s="162" t="s">
        <v>2</v>
      </c>
      <c r="AN36" s="162" t="s">
        <v>2</v>
      </c>
      <c r="AO36" s="162" t="s">
        <v>2</v>
      </c>
      <c r="AP36" s="162" t="s">
        <v>2</v>
      </c>
      <c r="AQ36" s="162" t="s">
        <v>2</v>
      </c>
      <c r="AR36" s="162" t="s">
        <v>1</v>
      </c>
      <c r="AS36" s="162" t="s">
        <v>2</v>
      </c>
    </row>
    <row r="37" spans="1:45" ht="12.75" x14ac:dyDescent="0.2">
      <c r="A37" s="177">
        <v>42613.689167129633</v>
      </c>
      <c r="B37" s="162" t="s">
        <v>1585</v>
      </c>
      <c r="C37" s="162" t="s">
        <v>1586</v>
      </c>
      <c r="D37" s="178">
        <v>52201855</v>
      </c>
      <c r="E37" s="162" t="s">
        <v>1482</v>
      </c>
      <c r="F37" s="162" t="s">
        <v>1526</v>
      </c>
      <c r="G37" s="179">
        <v>41683</v>
      </c>
      <c r="H37" s="162" t="s">
        <v>1587</v>
      </c>
      <c r="I37" s="162" t="s">
        <v>3</v>
      </c>
      <c r="J37" s="162" t="s">
        <v>1092</v>
      </c>
      <c r="K37" s="162" t="s">
        <v>1092</v>
      </c>
      <c r="L37" s="162" t="s">
        <v>1092</v>
      </c>
      <c r="M37" s="162" t="s">
        <v>3</v>
      </c>
      <c r="N37" s="162" t="s">
        <v>3</v>
      </c>
      <c r="O37" s="162" t="s">
        <v>1092</v>
      </c>
      <c r="P37" s="162" t="s">
        <v>3</v>
      </c>
      <c r="Q37" s="162" t="s">
        <v>2</v>
      </c>
      <c r="R37" s="162" t="s">
        <v>2</v>
      </c>
      <c r="S37" s="162" t="s">
        <v>2</v>
      </c>
      <c r="T37" s="162" t="s">
        <v>2</v>
      </c>
      <c r="U37" s="162" t="s">
        <v>3</v>
      </c>
      <c r="V37" s="162" t="s">
        <v>2</v>
      </c>
      <c r="W37" s="162" t="s">
        <v>2</v>
      </c>
      <c r="X37" s="162" t="s">
        <v>2</v>
      </c>
      <c r="Y37" s="162" t="s">
        <v>2</v>
      </c>
      <c r="Z37" s="162" t="s">
        <v>2</v>
      </c>
      <c r="AA37" s="162" t="s">
        <v>2</v>
      </c>
      <c r="AB37" s="162" t="s">
        <v>1092</v>
      </c>
      <c r="AC37" s="162" t="s">
        <v>2</v>
      </c>
      <c r="AD37" s="162" t="s">
        <v>2</v>
      </c>
      <c r="AE37" s="162" t="s">
        <v>3</v>
      </c>
      <c r="AF37" s="162" t="s">
        <v>1092</v>
      </c>
      <c r="AG37" s="162" t="s">
        <v>1092</v>
      </c>
      <c r="AH37" s="162" t="s">
        <v>1092</v>
      </c>
      <c r="AI37" s="162" t="s">
        <v>1092</v>
      </c>
      <c r="AJ37" s="162" t="s">
        <v>1092</v>
      </c>
      <c r="AK37" s="162" t="s">
        <v>2</v>
      </c>
      <c r="AL37" s="162" t="s">
        <v>2</v>
      </c>
      <c r="AM37" s="162" t="s">
        <v>2</v>
      </c>
      <c r="AN37" s="162" t="s">
        <v>2</v>
      </c>
      <c r="AO37" s="162" t="s">
        <v>2</v>
      </c>
      <c r="AP37" s="162" t="s">
        <v>2</v>
      </c>
      <c r="AQ37" s="162" t="s">
        <v>2</v>
      </c>
      <c r="AR37" s="162" t="s">
        <v>2</v>
      </c>
      <c r="AS37" s="162" t="s">
        <v>2</v>
      </c>
    </row>
    <row r="38" spans="1:45" ht="12.75" x14ac:dyDescent="0.2">
      <c r="A38" s="177">
        <v>42613.69159480324</v>
      </c>
      <c r="B38" s="162" t="s">
        <v>1588</v>
      </c>
      <c r="C38" s="162" t="s">
        <v>1589</v>
      </c>
      <c r="D38" s="178">
        <v>51709670</v>
      </c>
      <c r="E38" s="162" t="s">
        <v>1482</v>
      </c>
      <c r="F38" s="162" t="s">
        <v>1526</v>
      </c>
      <c r="G38" s="179">
        <v>39122</v>
      </c>
      <c r="H38" s="162" t="s">
        <v>1590</v>
      </c>
      <c r="I38" s="162" t="s">
        <v>3</v>
      </c>
      <c r="J38" s="162" t="s">
        <v>3</v>
      </c>
      <c r="K38" s="162" t="s">
        <v>3</v>
      </c>
      <c r="L38" s="162" t="s">
        <v>2</v>
      </c>
      <c r="M38" s="162" t="s">
        <v>5</v>
      </c>
      <c r="N38" s="162" t="s">
        <v>3</v>
      </c>
      <c r="O38" s="162" t="s">
        <v>3</v>
      </c>
      <c r="P38" s="162" t="s">
        <v>3</v>
      </c>
      <c r="Q38" s="162" t="s">
        <v>2</v>
      </c>
      <c r="R38" s="162" t="s">
        <v>2</v>
      </c>
      <c r="S38" s="162" t="s">
        <v>3</v>
      </c>
      <c r="T38" s="162" t="s">
        <v>2</v>
      </c>
      <c r="U38" s="162" t="s">
        <v>2</v>
      </c>
      <c r="V38" s="162" t="s">
        <v>2</v>
      </c>
      <c r="W38" s="162" t="s">
        <v>2</v>
      </c>
      <c r="X38" s="162" t="s">
        <v>3</v>
      </c>
      <c r="Y38" s="162" t="s">
        <v>2</v>
      </c>
      <c r="Z38" s="162" t="s">
        <v>5</v>
      </c>
      <c r="AA38" s="162" t="s">
        <v>5</v>
      </c>
      <c r="AB38" s="162" t="s">
        <v>2</v>
      </c>
      <c r="AC38" s="162" t="s">
        <v>3</v>
      </c>
      <c r="AD38" s="162" t="s">
        <v>3</v>
      </c>
      <c r="AE38" s="162" t="s">
        <v>1092</v>
      </c>
      <c r="AF38" s="162" t="s">
        <v>3</v>
      </c>
      <c r="AG38" s="162" t="s">
        <v>3</v>
      </c>
      <c r="AH38" s="162" t="s">
        <v>3</v>
      </c>
      <c r="AI38" s="162" t="s">
        <v>3</v>
      </c>
      <c r="AJ38" s="162" t="s">
        <v>1092</v>
      </c>
      <c r="AK38" s="162" t="s">
        <v>2</v>
      </c>
      <c r="AL38" s="162" t="s">
        <v>3</v>
      </c>
      <c r="AM38" s="162" t="s">
        <v>2</v>
      </c>
      <c r="AN38" s="162" t="s">
        <v>2</v>
      </c>
      <c r="AO38" s="162" t="s">
        <v>2</v>
      </c>
      <c r="AP38" s="162" t="s">
        <v>5</v>
      </c>
      <c r="AQ38" s="162" t="s">
        <v>2</v>
      </c>
      <c r="AR38" s="162" t="s">
        <v>2</v>
      </c>
      <c r="AS38" s="162" t="s">
        <v>5</v>
      </c>
    </row>
    <row r="39" spans="1:45" ht="12.75" x14ac:dyDescent="0.2">
      <c r="A39" s="177">
        <v>42613.714377835648</v>
      </c>
      <c r="B39" s="162" t="s">
        <v>1591</v>
      </c>
      <c r="C39" s="162" t="s">
        <v>1592</v>
      </c>
      <c r="D39" s="178">
        <v>52960788</v>
      </c>
      <c r="E39" s="162" t="s">
        <v>1482</v>
      </c>
      <c r="F39" s="162" t="s">
        <v>1526</v>
      </c>
      <c r="G39" s="179">
        <v>42059</v>
      </c>
      <c r="H39" s="162" t="s">
        <v>1593</v>
      </c>
      <c r="I39" s="162" t="s">
        <v>1092</v>
      </c>
      <c r="J39" s="162" t="s">
        <v>1092</v>
      </c>
      <c r="K39" s="162" t="s">
        <v>1092</v>
      </c>
      <c r="L39" s="162" t="s">
        <v>1092</v>
      </c>
      <c r="M39" s="162" t="s">
        <v>1092</v>
      </c>
      <c r="N39" s="162" t="s">
        <v>1092</v>
      </c>
      <c r="O39" s="162" t="s">
        <v>3</v>
      </c>
      <c r="P39" s="162" t="s">
        <v>3</v>
      </c>
      <c r="Q39" s="162" t="s">
        <v>2</v>
      </c>
      <c r="R39" s="162" t="s">
        <v>3</v>
      </c>
      <c r="S39" s="162" t="s">
        <v>2</v>
      </c>
      <c r="T39" s="162" t="s">
        <v>3</v>
      </c>
      <c r="U39" s="162" t="s">
        <v>3</v>
      </c>
      <c r="V39" s="162" t="s">
        <v>3</v>
      </c>
      <c r="W39" s="162" t="s">
        <v>3</v>
      </c>
      <c r="X39" s="162" t="s">
        <v>2</v>
      </c>
      <c r="Y39" s="162" t="s">
        <v>2</v>
      </c>
      <c r="Z39" s="162" t="s">
        <v>3</v>
      </c>
      <c r="AA39" s="162" t="s">
        <v>3</v>
      </c>
      <c r="AB39" s="162" t="s">
        <v>3</v>
      </c>
      <c r="AC39" s="162" t="s">
        <v>2</v>
      </c>
      <c r="AD39" s="162" t="s">
        <v>2</v>
      </c>
      <c r="AE39" s="162" t="s">
        <v>1092</v>
      </c>
      <c r="AF39" s="162" t="s">
        <v>3</v>
      </c>
      <c r="AG39" s="162" t="s">
        <v>2</v>
      </c>
      <c r="AH39" s="162" t="s">
        <v>3</v>
      </c>
      <c r="AI39" s="162" t="s">
        <v>2</v>
      </c>
      <c r="AJ39" s="162" t="s">
        <v>1092</v>
      </c>
      <c r="AK39" s="162" t="s">
        <v>3</v>
      </c>
      <c r="AL39" s="162" t="s">
        <v>3</v>
      </c>
      <c r="AM39" s="162" t="s">
        <v>3</v>
      </c>
      <c r="AN39" s="162" t="s">
        <v>3</v>
      </c>
      <c r="AO39" s="162" t="s">
        <v>3</v>
      </c>
      <c r="AP39" s="162" t="s">
        <v>2</v>
      </c>
      <c r="AQ39" s="162" t="s">
        <v>3</v>
      </c>
      <c r="AR39" s="162" t="s">
        <v>3</v>
      </c>
      <c r="AS39" s="162" t="s">
        <v>3</v>
      </c>
    </row>
    <row r="40" spans="1:45" ht="12.75" x14ac:dyDescent="0.2">
      <c r="A40" s="177">
        <v>42614.400821643518</v>
      </c>
      <c r="B40" s="162" t="s">
        <v>1594</v>
      </c>
      <c r="C40" s="162" t="s">
        <v>1595</v>
      </c>
      <c r="D40" s="178">
        <v>40417711</v>
      </c>
      <c r="E40" s="162" t="s">
        <v>1482</v>
      </c>
      <c r="F40" s="162" t="s">
        <v>1596</v>
      </c>
      <c r="G40" s="179">
        <v>39663</v>
      </c>
      <c r="H40" s="162" t="s">
        <v>1597</v>
      </c>
      <c r="I40" s="162" t="s">
        <v>1092</v>
      </c>
      <c r="J40" s="162" t="s">
        <v>3</v>
      </c>
      <c r="K40" s="162" t="s">
        <v>3</v>
      </c>
      <c r="L40" s="162" t="s">
        <v>3</v>
      </c>
      <c r="M40" s="162" t="s">
        <v>3</v>
      </c>
      <c r="N40" s="162" t="s">
        <v>1092</v>
      </c>
      <c r="O40" s="162" t="s">
        <v>1092</v>
      </c>
      <c r="P40" s="162" t="s">
        <v>5</v>
      </c>
      <c r="Q40" s="162" t="s">
        <v>5</v>
      </c>
      <c r="R40" s="162" t="s">
        <v>5</v>
      </c>
      <c r="S40" s="162" t="s">
        <v>5</v>
      </c>
      <c r="T40" s="162" t="s">
        <v>5</v>
      </c>
      <c r="U40" s="162" t="s">
        <v>5</v>
      </c>
      <c r="V40" s="162" t="s">
        <v>5</v>
      </c>
      <c r="W40" s="162" t="s">
        <v>5</v>
      </c>
      <c r="X40" s="162" t="s">
        <v>5</v>
      </c>
      <c r="Y40" s="162" t="s">
        <v>5</v>
      </c>
      <c r="Z40" s="162" t="s">
        <v>5</v>
      </c>
      <c r="AA40" s="162" t="s">
        <v>5</v>
      </c>
      <c r="AB40" s="162" t="s">
        <v>5</v>
      </c>
      <c r="AC40" s="162" t="s">
        <v>3</v>
      </c>
      <c r="AD40" s="162" t="s">
        <v>3</v>
      </c>
      <c r="AE40" s="162" t="s">
        <v>3</v>
      </c>
      <c r="AF40" s="162" t="s">
        <v>3</v>
      </c>
      <c r="AG40" s="162" t="s">
        <v>5</v>
      </c>
      <c r="AH40" s="162" t="s">
        <v>5</v>
      </c>
      <c r="AI40" s="162" t="s">
        <v>3</v>
      </c>
      <c r="AJ40" s="162" t="s">
        <v>1092</v>
      </c>
      <c r="AK40" s="162" t="s">
        <v>3</v>
      </c>
      <c r="AL40" s="162" t="s">
        <v>3</v>
      </c>
      <c r="AM40" s="162" t="s">
        <v>5</v>
      </c>
      <c r="AN40" s="162" t="s">
        <v>5</v>
      </c>
      <c r="AO40" s="162" t="s">
        <v>5</v>
      </c>
      <c r="AP40" s="162" t="s">
        <v>5</v>
      </c>
      <c r="AQ40" s="162" t="s">
        <v>5</v>
      </c>
      <c r="AR40" s="162" t="s">
        <v>5</v>
      </c>
      <c r="AS40" s="162" t="s">
        <v>5</v>
      </c>
    </row>
    <row r="41" spans="1:45" ht="12.75" x14ac:dyDescent="0.2">
      <c r="A41" s="177">
        <v>42614.467670300925</v>
      </c>
      <c r="B41" s="162" t="s">
        <v>1598</v>
      </c>
      <c r="C41" s="162" t="s">
        <v>1599</v>
      </c>
      <c r="D41" s="178">
        <v>7333770</v>
      </c>
      <c r="E41" s="162" t="s">
        <v>1482</v>
      </c>
      <c r="F41" s="162" t="s">
        <v>1488</v>
      </c>
      <c r="G41" s="179">
        <v>42410</v>
      </c>
      <c r="H41" s="162" t="s">
        <v>1600</v>
      </c>
      <c r="I41" s="162" t="s">
        <v>3</v>
      </c>
      <c r="J41" s="162" t="s">
        <v>3</v>
      </c>
      <c r="K41" s="162" t="s">
        <v>2</v>
      </c>
      <c r="L41" s="162" t="s">
        <v>2</v>
      </c>
      <c r="M41" s="162" t="s">
        <v>2</v>
      </c>
      <c r="N41" s="162" t="s">
        <v>2</v>
      </c>
      <c r="O41" s="162" t="s">
        <v>2</v>
      </c>
      <c r="P41" s="162" t="s">
        <v>3</v>
      </c>
      <c r="Q41" s="162" t="s">
        <v>2</v>
      </c>
      <c r="R41" s="162" t="s">
        <v>1093</v>
      </c>
      <c r="S41" s="162" t="s">
        <v>1</v>
      </c>
      <c r="T41" s="162" t="s">
        <v>1093</v>
      </c>
      <c r="U41" s="162" t="s">
        <v>1092</v>
      </c>
      <c r="V41" s="162" t="s">
        <v>1</v>
      </c>
      <c r="W41" s="162" t="s">
        <v>2</v>
      </c>
      <c r="X41" s="162" t="s">
        <v>1093</v>
      </c>
      <c r="Y41" s="162" t="s">
        <v>1</v>
      </c>
      <c r="Z41" s="162" t="s">
        <v>1</v>
      </c>
      <c r="AA41" s="162" t="s">
        <v>1</v>
      </c>
      <c r="AB41" s="162" t="s">
        <v>1092</v>
      </c>
      <c r="AC41" s="162" t="s">
        <v>3</v>
      </c>
      <c r="AD41" s="162" t="s">
        <v>3</v>
      </c>
      <c r="AE41" s="162" t="s">
        <v>3</v>
      </c>
      <c r="AF41" s="162" t="s">
        <v>3</v>
      </c>
      <c r="AG41" s="162" t="s">
        <v>2</v>
      </c>
      <c r="AH41" s="162" t="s">
        <v>2</v>
      </c>
      <c r="AI41" s="162" t="s">
        <v>2</v>
      </c>
      <c r="AJ41" s="162" t="s">
        <v>2</v>
      </c>
      <c r="AK41" s="162" t="s">
        <v>5</v>
      </c>
      <c r="AL41" s="162" t="s">
        <v>5</v>
      </c>
      <c r="AM41" s="162" t="s">
        <v>5</v>
      </c>
      <c r="AN41" s="162" t="s">
        <v>2</v>
      </c>
      <c r="AO41" s="162" t="s">
        <v>2</v>
      </c>
      <c r="AP41" s="162" t="s">
        <v>2</v>
      </c>
      <c r="AQ41" s="162" t="s">
        <v>1</v>
      </c>
      <c r="AR41" s="162" t="s">
        <v>1093</v>
      </c>
      <c r="AS41" s="162" t="s">
        <v>3</v>
      </c>
    </row>
    <row r="42" spans="1:45" ht="12.75" x14ac:dyDescent="0.2">
      <c r="A42" s="177">
        <v>42614.543731655096</v>
      </c>
      <c r="B42" s="162" t="s">
        <v>1601</v>
      </c>
      <c r="C42" s="162" t="s">
        <v>1602</v>
      </c>
      <c r="D42" s="178">
        <v>1024557661</v>
      </c>
      <c r="E42" s="162" t="s">
        <v>1482</v>
      </c>
      <c r="F42" s="162" t="s">
        <v>1488</v>
      </c>
      <c r="G42" s="179">
        <v>41897</v>
      </c>
      <c r="H42" s="162" t="s">
        <v>1603</v>
      </c>
      <c r="I42" s="162" t="s">
        <v>2</v>
      </c>
      <c r="J42" s="162" t="s">
        <v>2</v>
      </c>
      <c r="K42" s="162" t="s">
        <v>1092</v>
      </c>
      <c r="L42" s="162" t="s">
        <v>3</v>
      </c>
      <c r="M42" s="162" t="s">
        <v>3</v>
      </c>
      <c r="N42" s="162" t="s">
        <v>1092</v>
      </c>
      <c r="O42" s="162" t="s">
        <v>1092</v>
      </c>
      <c r="P42" s="162" t="s">
        <v>2</v>
      </c>
      <c r="Q42" s="162" t="s">
        <v>1092</v>
      </c>
      <c r="R42" s="162" t="s">
        <v>3</v>
      </c>
      <c r="S42" s="162" t="s">
        <v>1092</v>
      </c>
      <c r="T42" s="162" t="s">
        <v>1092</v>
      </c>
      <c r="U42" s="162" t="s">
        <v>1092</v>
      </c>
      <c r="V42" s="162" t="s">
        <v>2</v>
      </c>
      <c r="W42" s="162" t="s">
        <v>3</v>
      </c>
      <c r="X42" s="162" t="s">
        <v>1092</v>
      </c>
      <c r="Y42" s="162" t="s">
        <v>2</v>
      </c>
      <c r="Z42" s="162" t="s">
        <v>2</v>
      </c>
      <c r="AA42" s="162" t="s">
        <v>2</v>
      </c>
      <c r="AB42" s="162" t="s">
        <v>3</v>
      </c>
      <c r="AC42" s="162" t="s">
        <v>1</v>
      </c>
      <c r="AD42" s="162" t="s">
        <v>2</v>
      </c>
      <c r="AE42" s="162" t="s">
        <v>1</v>
      </c>
      <c r="AF42" s="162" t="s">
        <v>1</v>
      </c>
      <c r="AG42" s="162" t="s">
        <v>1092</v>
      </c>
      <c r="AH42" s="162" t="s">
        <v>3</v>
      </c>
      <c r="AI42" s="162" t="s">
        <v>3</v>
      </c>
      <c r="AJ42" s="162" t="s">
        <v>2</v>
      </c>
      <c r="AK42" s="162" t="s">
        <v>2</v>
      </c>
      <c r="AL42" s="162" t="s">
        <v>1</v>
      </c>
      <c r="AM42" s="162" t="s">
        <v>2</v>
      </c>
      <c r="AN42" s="162" t="s">
        <v>1</v>
      </c>
      <c r="AO42" s="162" t="s">
        <v>1</v>
      </c>
      <c r="AP42" s="162" t="s">
        <v>2</v>
      </c>
      <c r="AQ42" s="162" t="s">
        <v>2</v>
      </c>
      <c r="AR42" s="162" t="s">
        <v>2</v>
      </c>
      <c r="AS42" s="162" t="s">
        <v>2</v>
      </c>
    </row>
    <row r="43" spans="1:45" ht="12.75" x14ac:dyDescent="0.2">
      <c r="A43" s="177">
        <v>42614.637493368056</v>
      </c>
      <c r="B43" s="162" t="s">
        <v>1604</v>
      </c>
      <c r="C43" s="162" t="s">
        <v>1605</v>
      </c>
      <c r="D43" s="178">
        <v>1024488493</v>
      </c>
      <c r="E43" s="162" t="s">
        <v>1482</v>
      </c>
      <c r="F43" s="162" t="s">
        <v>1500</v>
      </c>
      <c r="G43" s="179">
        <v>41307</v>
      </c>
      <c r="H43" s="162" t="s">
        <v>1606</v>
      </c>
      <c r="I43" s="162" t="s">
        <v>1092</v>
      </c>
      <c r="J43" s="162" t="s">
        <v>1092</v>
      </c>
      <c r="K43" s="162" t="s">
        <v>1092</v>
      </c>
      <c r="L43" s="162" t="s">
        <v>1092</v>
      </c>
      <c r="M43" s="162" t="s">
        <v>1092</v>
      </c>
      <c r="N43" s="162" t="s">
        <v>1092</v>
      </c>
      <c r="O43" s="162" t="s">
        <v>1092</v>
      </c>
      <c r="P43" s="162" t="s">
        <v>1092</v>
      </c>
      <c r="Q43" s="162" t="s">
        <v>1092</v>
      </c>
      <c r="R43" s="162" t="s">
        <v>3</v>
      </c>
      <c r="S43" s="162" t="s">
        <v>1092</v>
      </c>
      <c r="T43" s="162" t="s">
        <v>1092</v>
      </c>
      <c r="U43" s="162" t="s">
        <v>1092</v>
      </c>
      <c r="V43" s="162" t="s">
        <v>1092</v>
      </c>
      <c r="W43" s="162" t="s">
        <v>3</v>
      </c>
      <c r="X43" s="162" t="s">
        <v>1092</v>
      </c>
      <c r="Y43" s="162" t="s">
        <v>2</v>
      </c>
      <c r="Z43" s="162" t="s">
        <v>1092</v>
      </c>
      <c r="AA43" s="162" t="s">
        <v>1092</v>
      </c>
      <c r="AB43" s="162" t="s">
        <v>1092</v>
      </c>
      <c r="AC43" s="162" t="s">
        <v>3</v>
      </c>
      <c r="AD43" s="162" t="s">
        <v>1092</v>
      </c>
      <c r="AE43" s="162" t="s">
        <v>1092</v>
      </c>
      <c r="AF43" s="162" t="s">
        <v>1092</v>
      </c>
      <c r="AG43" s="162" t="s">
        <v>1092</v>
      </c>
      <c r="AH43" s="162" t="s">
        <v>1092</v>
      </c>
      <c r="AI43" s="162" t="s">
        <v>3</v>
      </c>
      <c r="AJ43" s="162" t="s">
        <v>1092</v>
      </c>
      <c r="AK43" s="162" t="s">
        <v>3</v>
      </c>
      <c r="AL43" s="162" t="s">
        <v>3</v>
      </c>
      <c r="AM43" s="162" t="s">
        <v>1092</v>
      </c>
      <c r="AN43" s="162" t="s">
        <v>1092</v>
      </c>
      <c r="AO43" s="162" t="s">
        <v>3</v>
      </c>
      <c r="AP43" s="162" t="s">
        <v>3</v>
      </c>
      <c r="AQ43" s="162" t="s">
        <v>1092</v>
      </c>
      <c r="AR43" s="162" t="s">
        <v>2</v>
      </c>
      <c r="AS43" s="162" t="s">
        <v>1092</v>
      </c>
    </row>
    <row r="44" spans="1:45" ht="12.75" x14ac:dyDescent="0.2">
      <c r="A44" s="177">
        <v>42614.718114675925</v>
      </c>
      <c r="B44" s="162" t="s">
        <v>1607</v>
      </c>
      <c r="C44" s="162" t="s">
        <v>1608</v>
      </c>
      <c r="D44" s="178">
        <v>52522772</v>
      </c>
      <c r="E44" s="162" t="s">
        <v>1482</v>
      </c>
      <c r="F44" s="162" t="s">
        <v>1488</v>
      </c>
      <c r="G44" s="179">
        <v>41646</v>
      </c>
      <c r="H44" s="162" t="s">
        <v>1609</v>
      </c>
      <c r="I44" s="162" t="s">
        <v>2</v>
      </c>
      <c r="J44" s="162" t="s">
        <v>2</v>
      </c>
      <c r="K44" s="162" t="s">
        <v>3</v>
      </c>
      <c r="L44" s="162" t="s">
        <v>1092</v>
      </c>
      <c r="M44" s="162" t="s">
        <v>1093</v>
      </c>
      <c r="N44" s="162" t="s">
        <v>1093</v>
      </c>
      <c r="O44" s="162" t="s">
        <v>1093</v>
      </c>
      <c r="P44" s="162" t="s">
        <v>1093</v>
      </c>
      <c r="Q44" s="162" t="s">
        <v>1093</v>
      </c>
      <c r="R44" s="162" t="s">
        <v>2</v>
      </c>
      <c r="S44" s="162" t="s">
        <v>3</v>
      </c>
      <c r="T44" s="162" t="s">
        <v>2</v>
      </c>
      <c r="U44" s="162" t="s">
        <v>5</v>
      </c>
      <c r="V44" s="162" t="s">
        <v>5</v>
      </c>
      <c r="W44" s="162" t="s">
        <v>3</v>
      </c>
      <c r="X44" s="162" t="s">
        <v>5</v>
      </c>
      <c r="Y44" s="162" t="s">
        <v>2</v>
      </c>
      <c r="Z44" s="162" t="s">
        <v>2</v>
      </c>
      <c r="AA44" s="162" t="s">
        <v>2</v>
      </c>
      <c r="AB44" s="162" t="s">
        <v>5</v>
      </c>
      <c r="AC44" s="162" t="s">
        <v>5</v>
      </c>
      <c r="AD44" s="162" t="s">
        <v>5</v>
      </c>
      <c r="AE44" s="162" t="s">
        <v>5</v>
      </c>
      <c r="AF44" s="162" t="s">
        <v>5</v>
      </c>
      <c r="AG44" s="162" t="s">
        <v>3</v>
      </c>
      <c r="AH44" s="162" t="s">
        <v>3</v>
      </c>
      <c r="AI44" s="162" t="s">
        <v>3</v>
      </c>
      <c r="AJ44" s="162" t="s">
        <v>3</v>
      </c>
      <c r="AK44" s="162" t="s">
        <v>5</v>
      </c>
      <c r="AL44" s="162" t="s">
        <v>5</v>
      </c>
      <c r="AM44" s="162" t="s">
        <v>2</v>
      </c>
      <c r="AN44" s="162" t="s">
        <v>3</v>
      </c>
      <c r="AO44" s="162" t="s">
        <v>3</v>
      </c>
      <c r="AP44" s="162" t="s">
        <v>3</v>
      </c>
      <c r="AQ44" s="162" t="s">
        <v>2</v>
      </c>
      <c r="AR44" s="162" t="s">
        <v>2</v>
      </c>
      <c r="AS44" s="162" t="s">
        <v>1092</v>
      </c>
    </row>
    <row r="45" spans="1:45" ht="12.75" x14ac:dyDescent="0.2">
      <c r="A45" s="177">
        <v>42615.461310300925</v>
      </c>
      <c r="B45" s="162" t="s">
        <v>1492</v>
      </c>
      <c r="C45" s="162" t="s">
        <v>1610</v>
      </c>
      <c r="D45" s="178">
        <v>1023864551</v>
      </c>
      <c r="E45" s="162" t="s">
        <v>1482</v>
      </c>
      <c r="F45" s="162" t="s">
        <v>1526</v>
      </c>
      <c r="G45" s="179">
        <v>40630</v>
      </c>
      <c r="H45" s="162" t="s">
        <v>1611</v>
      </c>
      <c r="I45" s="162" t="s">
        <v>2</v>
      </c>
      <c r="J45" s="162" t="s">
        <v>2</v>
      </c>
      <c r="K45" s="162" t="s">
        <v>3</v>
      </c>
      <c r="L45" s="162" t="s">
        <v>1092</v>
      </c>
      <c r="M45" s="162" t="s">
        <v>2</v>
      </c>
      <c r="N45" s="162" t="s">
        <v>2</v>
      </c>
      <c r="O45" s="162" t="s">
        <v>2</v>
      </c>
      <c r="P45" s="162" t="s">
        <v>3</v>
      </c>
      <c r="Q45" s="162" t="s">
        <v>1</v>
      </c>
      <c r="R45" s="162" t="s">
        <v>2</v>
      </c>
      <c r="S45" s="162" t="s">
        <v>2</v>
      </c>
      <c r="T45" s="162" t="s">
        <v>2</v>
      </c>
      <c r="U45" s="162" t="s">
        <v>2</v>
      </c>
      <c r="V45" s="162" t="s">
        <v>3</v>
      </c>
      <c r="W45" s="162" t="s">
        <v>3</v>
      </c>
      <c r="X45" s="162" t="s">
        <v>3</v>
      </c>
      <c r="Y45" s="162" t="s">
        <v>2</v>
      </c>
      <c r="Z45" s="162" t="s">
        <v>2</v>
      </c>
      <c r="AA45" s="162" t="s">
        <v>2</v>
      </c>
      <c r="AB45" s="162" t="s">
        <v>2</v>
      </c>
      <c r="AC45" s="162" t="s">
        <v>2</v>
      </c>
      <c r="AD45" s="162" t="s">
        <v>3</v>
      </c>
      <c r="AE45" s="162" t="s">
        <v>3</v>
      </c>
      <c r="AF45" s="162" t="s">
        <v>2</v>
      </c>
      <c r="AG45" s="162" t="s">
        <v>1092</v>
      </c>
      <c r="AH45" s="162" t="s">
        <v>3</v>
      </c>
      <c r="AI45" s="162" t="s">
        <v>3</v>
      </c>
      <c r="AJ45" s="162" t="s">
        <v>1092</v>
      </c>
      <c r="AK45" s="162" t="s">
        <v>2</v>
      </c>
      <c r="AL45" s="162" t="s">
        <v>2</v>
      </c>
      <c r="AM45" s="162" t="s">
        <v>2</v>
      </c>
      <c r="AN45" s="162" t="s">
        <v>2</v>
      </c>
      <c r="AO45" s="162" t="s">
        <v>2</v>
      </c>
      <c r="AP45" s="162" t="s">
        <v>2</v>
      </c>
      <c r="AQ45" s="162" t="s">
        <v>2</v>
      </c>
      <c r="AR45" s="162" t="s">
        <v>2</v>
      </c>
      <c r="AS45" s="162" t="s">
        <v>3</v>
      </c>
    </row>
    <row r="46" spans="1:45" ht="12.75" x14ac:dyDescent="0.2">
      <c r="A46" s="177">
        <v>42616.645432962963</v>
      </c>
      <c r="B46" s="162" t="s">
        <v>1612</v>
      </c>
      <c r="C46" s="162" t="s">
        <v>1613</v>
      </c>
      <c r="D46" s="178">
        <v>53003215</v>
      </c>
      <c r="E46" s="162" t="s">
        <v>1482</v>
      </c>
      <c r="F46" s="162" t="s">
        <v>1516</v>
      </c>
      <c r="G46" s="179">
        <v>41947</v>
      </c>
      <c r="H46" s="162" t="s">
        <v>1614</v>
      </c>
      <c r="I46" s="162" t="s">
        <v>1092</v>
      </c>
      <c r="J46" s="162" t="s">
        <v>1092</v>
      </c>
      <c r="K46" s="162" t="s">
        <v>1092</v>
      </c>
      <c r="L46" s="162" t="s">
        <v>3</v>
      </c>
      <c r="M46" s="162" t="s">
        <v>2</v>
      </c>
      <c r="N46" s="162" t="s">
        <v>1092</v>
      </c>
      <c r="O46" s="162" t="s">
        <v>1092</v>
      </c>
      <c r="P46" s="162" t="s">
        <v>2</v>
      </c>
      <c r="Q46" s="162" t="s">
        <v>1093</v>
      </c>
      <c r="R46" s="162" t="s">
        <v>3</v>
      </c>
      <c r="S46" s="162" t="s">
        <v>3</v>
      </c>
      <c r="T46" s="162" t="s">
        <v>3</v>
      </c>
      <c r="U46" s="162" t="s">
        <v>2</v>
      </c>
      <c r="V46" s="162" t="s">
        <v>2</v>
      </c>
      <c r="W46" s="162" t="s">
        <v>2</v>
      </c>
      <c r="X46" s="162" t="s">
        <v>2</v>
      </c>
      <c r="Y46" s="162" t="s">
        <v>1</v>
      </c>
      <c r="Z46" s="162" t="s">
        <v>1</v>
      </c>
      <c r="AA46" s="162" t="s">
        <v>2</v>
      </c>
      <c r="AB46" s="162" t="s">
        <v>2</v>
      </c>
      <c r="AC46" s="162" t="s">
        <v>1</v>
      </c>
      <c r="AD46" s="162" t="s">
        <v>2</v>
      </c>
      <c r="AE46" s="162" t="s">
        <v>1</v>
      </c>
      <c r="AF46" s="162" t="s">
        <v>1</v>
      </c>
      <c r="AG46" s="162" t="s">
        <v>1092</v>
      </c>
      <c r="AH46" s="162" t="s">
        <v>1092</v>
      </c>
      <c r="AI46" s="162" t="s">
        <v>1092</v>
      </c>
      <c r="AJ46" s="162" t="s">
        <v>1092</v>
      </c>
      <c r="AK46" s="162" t="s">
        <v>2</v>
      </c>
      <c r="AL46" s="162" t="s">
        <v>2</v>
      </c>
      <c r="AM46" s="162" t="s">
        <v>2</v>
      </c>
      <c r="AN46" s="162" t="s">
        <v>2</v>
      </c>
      <c r="AO46" s="162" t="s">
        <v>2</v>
      </c>
      <c r="AP46" s="162" t="s">
        <v>2</v>
      </c>
      <c r="AQ46" s="162" t="s">
        <v>2</v>
      </c>
      <c r="AR46" s="162" t="s">
        <v>1</v>
      </c>
      <c r="AS46" s="162" t="s">
        <v>1</v>
      </c>
    </row>
    <row r="47" spans="1:45" ht="12.75" x14ac:dyDescent="0.2">
      <c r="A47" s="177">
        <v>42621.701571377314</v>
      </c>
      <c r="B47" s="162" t="s">
        <v>1615</v>
      </c>
      <c r="C47" s="162" t="s">
        <v>1616</v>
      </c>
      <c r="D47" s="178">
        <v>53088941</v>
      </c>
      <c r="E47" s="162" t="s">
        <v>1482</v>
      </c>
      <c r="F47" s="162" t="s">
        <v>1479</v>
      </c>
      <c r="G47" s="179">
        <v>42401</v>
      </c>
      <c r="H47" s="162" t="s">
        <v>1617</v>
      </c>
      <c r="I47" s="162" t="s">
        <v>1092</v>
      </c>
      <c r="J47" s="162" t="s">
        <v>3</v>
      </c>
      <c r="K47" s="162" t="s">
        <v>1093</v>
      </c>
      <c r="L47" s="162" t="s">
        <v>3</v>
      </c>
      <c r="M47" s="162" t="s">
        <v>1092</v>
      </c>
      <c r="N47" s="162" t="s">
        <v>3</v>
      </c>
      <c r="O47" s="162" t="s">
        <v>1092</v>
      </c>
      <c r="P47" s="162" t="s">
        <v>3</v>
      </c>
      <c r="Q47" s="162" t="s">
        <v>3</v>
      </c>
      <c r="R47" s="162" t="s">
        <v>2</v>
      </c>
      <c r="S47" s="162" t="s">
        <v>2</v>
      </c>
      <c r="T47" s="162" t="s">
        <v>1</v>
      </c>
      <c r="U47" s="162" t="s">
        <v>3</v>
      </c>
      <c r="V47" s="162" t="s">
        <v>2</v>
      </c>
      <c r="W47" s="162" t="s">
        <v>2</v>
      </c>
      <c r="X47" s="162" t="s">
        <v>3</v>
      </c>
      <c r="Y47" s="162" t="s">
        <v>2</v>
      </c>
      <c r="Z47" s="162" t="s">
        <v>2</v>
      </c>
      <c r="AA47" s="162" t="s">
        <v>2</v>
      </c>
      <c r="AB47" s="162" t="s">
        <v>3</v>
      </c>
      <c r="AC47" s="162" t="s">
        <v>2</v>
      </c>
      <c r="AD47" s="162" t="s">
        <v>2</v>
      </c>
      <c r="AE47" s="162" t="s">
        <v>1</v>
      </c>
      <c r="AF47" s="162" t="s">
        <v>1</v>
      </c>
      <c r="AG47" s="162" t="s">
        <v>3</v>
      </c>
      <c r="AH47" s="162" t="s">
        <v>3</v>
      </c>
      <c r="AI47" s="162" t="s">
        <v>1</v>
      </c>
      <c r="AJ47" s="162" t="s">
        <v>3</v>
      </c>
      <c r="AK47" s="162" t="s">
        <v>5</v>
      </c>
      <c r="AL47" s="162" t="s">
        <v>5</v>
      </c>
      <c r="AM47" s="162" t="s">
        <v>3</v>
      </c>
      <c r="AN47" s="162" t="s">
        <v>3</v>
      </c>
      <c r="AO47" s="162" t="s">
        <v>2</v>
      </c>
      <c r="AP47" s="162" t="s">
        <v>2</v>
      </c>
      <c r="AQ47" s="162" t="s">
        <v>2</v>
      </c>
      <c r="AR47" s="162" t="s">
        <v>1</v>
      </c>
      <c r="AS47" s="162" t="s">
        <v>2</v>
      </c>
    </row>
    <row r="48" spans="1:45" ht="12.75" x14ac:dyDescent="0.2">
      <c r="A48" s="177">
        <v>42625.745165590277</v>
      </c>
      <c r="B48" s="162" t="s">
        <v>1480</v>
      </c>
      <c r="C48" s="162" t="s">
        <v>1481</v>
      </c>
      <c r="D48" s="178">
        <v>1032378957</v>
      </c>
      <c r="E48" s="162" t="s">
        <v>1482</v>
      </c>
      <c r="F48" s="162" t="s">
        <v>1479</v>
      </c>
      <c r="G48" s="179">
        <v>39846</v>
      </c>
      <c r="H48" s="162" t="s">
        <v>1332</v>
      </c>
      <c r="I48" s="162" t="s">
        <v>3</v>
      </c>
      <c r="J48" s="162" t="s">
        <v>1092</v>
      </c>
      <c r="K48" s="162" t="s">
        <v>1092</v>
      </c>
      <c r="L48" s="162" t="s">
        <v>1092</v>
      </c>
      <c r="M48" s="162" t="s">
        <v>1092</v>
      </c>
      <c r="N48" s="162" t="s">
        <v>1092</v>
      </c>
      <c r="O48" s="162" t="s">
        <v>1092</v>
      </c>
      <c r="P48" s="162" t="s">
        <v>1092</v>
      </c>
      <c r="Q48" s="162" t="s">
        <v>1092</v>
      </c>
      <c r="R48" s="162" t="s">
        <v>3</v>
      </c>
      <c r="S48" s="162" t="s">
        <v>3</v>
      </c>
      <c r="T48" s="162" t="s">
        <v>3</v>
      </c>
      <c r="U48" s="162" t="s">
        <v>1092</v>
      </c>
      <c r="V48" s="162" t="s">
        <v>2</v>
      </c>
      <c r="W48" s="162" t="s">
        <v>2</v>
      </c>
      <c r="X48" s="162" t="s">
        <v>2</v>
      </c>
      <c r="Y48" s="162" t="s">
        <v>3</v>
      </c>
      <c r="Z48" s="162" t="s">
        <v>3</v>
      </c>
      <c r="AA48" s="162" t="s">
        <v>3</v>
      </c>
      <c r="AB48" s="162" t="s">
        <v>1092</v>
      </c>
      <c r="AC48" s="162" t="s">
        <v>3</v>
      </c>
      <c r="AD48" s="162" t="s">
        <v>3</v>
      </c>
      <c r="AE48" s="162" t="s">
        <v>2</v>
      </c>
      <c r="AF48" s="162" t="s">
        <v>3</v>
      </c>
      <c r="AG48" s="162" t="s">
        <v>3</v>
      </c>
      <c r="AH48" s="162" t="s">
        <v>1092</v>
      </c>
      <c r="AI48" s="162" t="s">
        <v>3</v>
      </c>
      <c r="AJ48" s="162" t="s">
        <v>1092</v>
      </c>
      <c r="AK48" s="162" t="s">
        <v>5</v>
      </c>
      <c r="AL48" s="162" t="s">
        <v>5</v>
      </c>
      <c r="AM48" s="162" t="s">
        <v>3</v>
      </c>
      <c r="AN48" s="162" t="s">
        <v>1092</v>
      </c>
      <c r="AO48" s="162" t="s">
        <v>3</v>
      </c>
      <c r="AP48" s="162" t="s">
        <v>3</v>
      </c>
      <c r="AQ48" s="162" t="s">
        <v>2</v>
      </c>
      <c r="AR48" s="162" t="s">
        <v>1</v>
      </c>
      <c r="AS48" s="162" t="s">
        <v>1</v>
      </c>
    </row>
    <row r="49" spans="1:45" ht="12.75" x14ac:dyDescent="0.2">
      <c r="A49" s="177">
        <v>42626.570264513888</v>
      </c>
      <c r="B49" s="162" t="s">
        <v>1618</v>
      </c>
      <c r="C49" s="162" t="s">
        <v>1619</v>
      </c>
      <c r="D49" s="178">
        <v>39700943</v>
      </c>
      <c r="E49" s="162" t="s">
        <v>1482</v>
      </c>
      <c r="F49" s="162" t="s">
        <v>1620</v>
      </c>
      <c r="G49" s="179">
        <v>36001</v>
      </c>
      <c r="H49" s="162" t="s">
        <v>1621</v>
      </c>
      <c r="I49" s="162" t="s">
        <v>1092</v>
      </c>
      <c r="J49" s="162" t="s">
        <v>1092</v>
      </c>
      <c r="K49" s="162" t="s">
        <v>1092</v>
      </c>
      <c r="L49" s="162" t="s">
        <v>1092</v>
      </c>
      <c r="M49" s="162" t="s">
        <v>2</v>
      </c>
      <c r="N49" s="162" t="s">
        <v>2</v>
      </c>
      <c r="O49" s="162" t="s">
        <v>5</v>
      </c>
      <c r="P49" s="162" t="s">
        <v>2</v>
      </c>
      <c r="Q49" s="162" t="s">
        <v>2</v>
      </c>
      <c r="R49" s="162" t="s">
        <v>1093</v>
      </c>
      <c r="S49" s="162" t="s">
        <v>5</v>
      </c>
      <c r="T49" s="162" t="s">
        <v>2</v>
      </c>
      <c r="U49" s="162" t="s">
        <v>5</v>
      </c>
      <c r="V49" s="162" t="s">
        <v>5</v>
      </c>
      <c r="W49" s="162" t="s">
        <v>3</v>
      </c>
      <c r="X49" s="162" t="s">
        <v>1092</v>
      </c>
      <c r="Y49" s="162" t="s">
        <v>3</v>
      </c>
      <c r="Z49" s="162" t="s">
        <v>3</v>
      </c>
      <c r="AA49" s="162" t="s">
        <v>2</v>
      </c>
      <c r="AB49" s="162" t="s">
        <v>2</v>
      </c>
      <c r="AC49" s="162" t="s">
        <v>5</v>
      </c>
      <c r="AD49" s="162" t="s">
        <v>5</v>
      </c>
      <c r="AE49" s="162" t="s">
        <v>1092</v>
      </c>
      <c r="AF49" s="162" t="s">
        <v>2</v>
      </c>
      <c r="AG49" s="162" t="s">
        <v>1092</v>
      </c>
      <c r="AH49" s="162" t="s">
        <v>1092</v>
      </c>
      <c r="AI49" s="162" t="s">
        <v>1092</v>
      </c>
      <c r="AJ49" s="162" t="s">
        <v>1092</v>
      </c>
      <c r="AK49" s="162" t="s">
        <v>2</v>
      </c>
      <c r="AL49" s="162" t="s">
        <v>2</v>
      </c>
      <c r="AM49" s="162" t="s">
        <v>5</v>
      </c>
      <c r="AN49" s="162" t="s">
        <v>2</v>
      </c>
      <c r="AO49" s="162" t="s">
        <v>5</v>
      </c>
      <c r="AP49" s="162" t="s">
        <v>5</v>
      </c>
      <c r="AQ49" s="162" t="s">
        <v>2</v>
      </c>
      <c r="AR49" s="162" t="s">
        <v>1093</v>
      </c>
      <c r="AS49" s="162" t="s">
        <v>1092</v>
      </c>
    </row>
    <row r="50" spans="1:45" ht="12.75" x14ac:dyDescent="0.2">
      <c r="A50" s="177">
        <v>42626.57493018519</v>
      </c>
      <c r="B50" s="162" t="s">
        <v>1622</v>
      </c>
      <c r="C50" s="162" t="s">
        <v>1623</v>
      </c>
      <c r="D50" s="178">
        <v>1015996262</v>
      </c>
      <c r="E50" s="162" t="s">
        <v>1482</v>
      </c>
      <c r="F50" s="162" t="s">
        <v>1620</v>
      </c>
      <c r="G50" s="179">
        <v>41743</v>
      </c>
      <c r="H50" s="162" t="s">
        <v>1624</v>
      </c>
      <c r="I50" s="162" t="s">
        <v>1092</v>
      </c>
      <c r="J50" s="162" t="s">
        <v>1092</v>
      </c>
      <c r="K50" s="162" t="s">
        <v>1092</v>
      </c>
      <c r="L50" s="162" t="s">
        <v>1092</v>
      </c>
      <c r="M50" s="162" t="s">
        <v>1092</v>
      </c>
      <c r="N50" s="162" t="s">
        <v>1092</v>
      </c>
      <c r="O50" s="162" t="s">
        <v>1092</v>
      </c>
      <c r="P50" s="162" t="s">
        <v>2</v>
      </c>
      <c r="Q50" s="162" t="s">
        <v>3</v>
      </c>
      <c r="R50" s="162" t="s">
        <v>1092</v>
      </c>
      <c r="S50" s="162" t="s">
        <v>1092</v>
      </c>
      <c r="T50" s="162" t="s">
        <v>1092</v>
      </c>
      <c r="U50" s="162" t="s">
        <v>1092</v>
      </c>
      <c r="V50" s="162" t="s">
        <v>1092</v>
      </c>
      <c r="W50" s="162" t="s">
        <v>1092</v>
      </c>
      <c r="X50" s="162" t="s">
        <v>1092</v>
      </c>
      <c r="Y50" s="162" t="s">
        <v>1092</v>
      </c>
      <c r="Z50" s="162" t="s">
        <v>1092</v>
      </c>
      <c r="AA50" s="162" t="s">
        <v>1092</v>
      </c>
      <c r="AB50" s="162" t="s">
        <v>1092</v>
      </c>
      <c r="AC50" s="162" t="s">
        <v>1092</v>
      </c>
      <c r="AD50" s="162" t="s">
        <v>1092</v>
      </c>
      <c r="AE50" s="162" t="s">
        <v>1092</v>
      </c>
      <c r="AF50" s="162" t="s">
        <v>1092</v>
      </c>
      <c r="AG50" s="162" t="s">
        <v>1092</v>
      </c>
      <c r="AH50" s="162" t="s">
        <v>1092</v>
      </c>
      <c r="AI50" s="162" t="s">
        <v>1092</v>
      </c>
      <c r="AJ50" s="162" t="s">
        <v>1092</v>
      </c>
      <c r="AK50" s="162" t="s">
        <v>1092</v>
      </c>
      <c r="AL50" s="162" t="s">
        <v>1092</v>
      </c>
      <c r="AM50" s="162" t="s">
        <v>1092</v>
      </c>
      <c r="AN50" s="162" t="s">
        <v>1092</v>
      </c>
      <c r="AO50" s="162" t="s">
        <v>1092</v>
      </c>
      <c r="AP50" s="162" t="s">
        <v>1092</v>
      </c>
      <c r="AQ50" s="162" t="s">
        <v>1092</v>
      </c>
      <c r="AR50" s="162" t="s">
        <v>1092</v>
      </c>
      <c r="AS50" s="162" t="s">
        <v>1092</v>
      </c>
    </row>
    <row r="51" spans="1:45" ht="12.75" x14ac:dyDescent="0.2">
      <c r="A51" s="177">
        <v>42626.63193246528</v>
      </c>
      <c r="B51" s="162" t="s">
        <v>1625</v>
      </c>
      <c r="C51" s="162" t="s">
        <v>1626</v>
      </c>
      <c r="D51" s="178">
        <v>52879417</v>
      </c>
      <c r="E51" s="162" t="s">
        <v>1482</v>
      </c>
      <c r="F51" s="162" t="s">
        <v>1479</v>
      </c>
      <c r="G51" s="179">
        <v>42397</v>
      </c>
      <c r="H51" s="162" t="s">
        <v>1627</v>
      </c>
      <c r="I51" s="162" t="s">
        <v>3</v>
      </c>
      <c r="J51" s="162" t="s">
        <v>3</v>
      </c>
      <c r="K51" s="162" t="s">
        <v>3</v>
      </c>
      <c r="L51" s="162" t="s">
        <v>1092</v>
      </c>
      <c r="M51" s="162" t="s">
        <v>3</v>
      </c>
      <c r="N51" s="162" t="s">
        <v>1092</v>
      </c>
      <c r="O51" s="162" t="s">
        <v>1092</v>
      </c>
      <c r="P51" s="162" t="s">
        <v>3</v>
      </c>
      <c r="Q51" s="162" t="s">
        <v>3</v>
      </c>
      <c r="R51" s="162" t="s">
        <v>2</v>
      </c>
      <c r="S51" s="162" t="s">
        <v>3</v>
      </c>
      <c r="T51" s="162" t="s">
        <v>3</v>
      </c>
      <c r="U51" s="162" t="s">
        <v>1092</v>
      </c>
      <c r="V51" s="162" t="s">
        <v>3</v>
      </c>
      <c r="W51" s="162" t="s">
        <v>3</v>
      </c>
      <c r="X51" s="162" t="s">
        <v>3</v>
      </c>
      <c r="Y51" s="162" t="s">
        <v>3</v>
      </c>
      <c r="Z51" s="162" t="s">
        <v>1092</v>
      </c>
      <c r="AA51" s="162" t="s">
        <v>3</v>
      </c>
      <c r="AB51" s="162" t="s">
        <v>1092</v>
      </c>
      <c r="AC51" s="162" t="s">
        <v>3</v>
      </c>
      <c r="AD51" s="162" t="s">
        <v>3</v>
      </c>
      <c r="AE51" s="162" t="s">
        <v>3</v>
      </c>
      <c r="AF51" s="162" t="s">
        <v>3</v>
      </c>
      <c r="AG51" s="162" t="s">
        <v>1092</v>
      </c>
      <c r="AH51" s="162" t="s">
        <v>3</v>
      </c>
      <c r="AI51" s="162" t="s">
        <v>1092</v>
      </c>
      <c r="AJ51" s="162" t="s">
        <v>3</v>
      </c>
      <c r="AK51" s="162" t="s">
        <v>1092</v>
      </c>
      <c r="AL51" s="162" t="s">
        <v>1092</v>
      </c>
      <c r="AM51" s="162" t="s">
        <v>3</v>
      </c>
      <c r="AN51" s="162" t="s">
        <v>2</v>
      </c>
      <c r="AO51" s="162" t="s">
        <v>3</v>
      </c>
      <c r="AP51" s="162" t="s">
        <v>3</v>
      </c>
      <c r="AQ51" s="162" t="s">
        <v>2</v>
      </c>
      <c r="AR51" s="162" t="s">
        <v>2</v>
      </c>
      <c r="AS51" s="162" t="s">
        <v>3</v>
      </c>
    </row>
    <row r="52" spans="1:45" ht="12.75" x14ac:dyDescent="0.2">
      <c r="A52" s="177">
        <v>42626.633223726851</v>
      </c>
      <c r="B52" s="162" t="s">
        <v>1628</v>
      </c>
      <c r="C52" s="162" t="s">
        <v>1629</v>
      </c>
      <c r="D52" s="178">
        <v>79769053</v>
      </c>
      <c r="E52" s="162" t="s">
        <v>1482</v>
      </c>
      <c r="F52" s="162" t="s">
        <v>1479</v>
      </c>
      <c r="G52" s="179">
        <v>38261</v>
      </c>
      <c r="H52" s="162" t="s">
        <v>1630</v>
      </c>
      <c r="I52" s="162" t="s">
        <v>1092</v>
      </c>
      <c r="J52" s="162" t="s">
        <v>2</v>
      </c>
      <c r="K52" s="162" t="s">
        <v>1092</v>
      </c>
      <c r="L52" s="162" t="s">
        <v>1092</v>
      </c>
      <c r="M52" s="162" t="s">
        <v>3</v>
      </c>
      <c r="N52" s="162" t="s">
        <v>1092</v>
      </c>
      <c r="O52" s="162" t="s">
        <v>1092</v>
      </c>
      <c r="P52" s="162" t="s">
        <v>1092</v>
      </c>
      <c r="Q52" s="162" t="s">
        <v>1092</v>
      </c>
      <c r="R52" s="162" t="s">
        <v>2</v>
      </c>
      <c r="S52" s="162" t="s">
        <v>2</v>
      </c>
      <c r="T52" s="162" t="s">
        <v>2</v>
      </c>
      <c r="U52" s="162" t="s">
        <v>3</v>
      </c>
      <c r="V52" s="162" t="s">
        <v>2</v>
      </c>
      <c r="W52" s="162" t="s">
        <v>2</v>
      </c>
      <c r="X52" s="162" t="s">
        <v>3</v>
      </c>
      <c r="Y52" s="162" t="s">
        <v>1</v>
      </c>
      <c r="Z52" s="162" t="s">
        <v>1</v>
      </c>
      <c r="AA52" s="162" t="s">
        <v>2</v>
      </c>
      <c r="AB52" s="162" t="s">
        <v>3</v>
      </c>
      <c r="AC52" s="162" t="s">
        <v>1</v>
      </c>
      <c r="AD52" s="162" t="s">
        <v>1</v>
      </c>
      <c r="AE52" s="162" t="s">
        <v>2</v>
      </c>
      <c r="AF52" s="162" t="s">
        <v>2</v>
      </c>
      <c r="AG52" s="162" t="s">
        <v>1092</v>
      </c>
      <c r="AH52" s="162" t="s">
        <v>1092</v>
      </c>
      <c r="AI52" s="162" t="s">
        <v>3</v>
      </c>
      <c r="AJ52" s="162" t="s">
        <v>1092</v>
      </c>
      <c r="AK52" s="162" t="s">
        <v>1093</v>
      </c>
      <c r="AL52" s="162" t="s">
        <v>1093</v>
      </c>
      <c r="AM52" s="162" t="s">
        <v>3</v>
      </c>
      <c r="AN52" s="162" t="s">
        <v>3</v>
      </c>
      <c r="AO52" s="162" t="s">
        <v>3</v>
      </c>
      <c r="AP52" s="162" t="s">
        <v>3</v>
      </c>
      <c r="AQ52" s="162" t="s">
        <v>1</v>
      </c>
      <c r="AR52" s="162" t="s">
        <v>1</v>
      </c>
      <c r="AS52" s="162" t="s">
        <v>1</v>
      </c>
    </row>
    <row r="53" spans="1:45" ht="12.75" x14ac:dyDescent="0.2">
      <c r="A53" s="177">
        <v>42626.640827361116</v>
      </c>
      <c r="B53" s="162" t="s">
        <v>1631</v>
      </c>
      <c r="C53" s="162" t="s">
        <v>1632</v>
      </c>
      <c r="D53" s="178">
        <v>52488447</v>
      </c>
      <c r="E53" s="162" t="s">
        <v>1482</v>
      </c>
      <c r="F53" s="162" t="s">
        <v>1526</v>
      </c>
      <c r="G53" s="179">
        <v>42064</v>
      </c>
      <c r="H53" s="162" t="s">
        <v>1633</v>
      </c>
      <c r="I53" s="162" t="s">
        <v>1093</v>
      </c>
      <c r="J53" s="162" t="s">
        <v>1093</v>
      </c>
      <c r="K53" s="162" t="s">
        <v>3</v>
      </c>
      <c r="L53" s="162" t="s">
        <v>3</v>
      </c>
      <c r="M53" s="162" t="s">
        <v>5</v>
      </c>
      <c r="N53" s="162" t="s">
        <v>1093</v>
      </c>
      <c r="O53" s="162" t="s">
        <v>1093</v>
      </c>
      <c r="P53" s="162" t="s">
        <v>5</v>
      </c>
      <c r="Q53" s="162" t="s">
        <v>5</v>
      </c>
      <c r="R53" s="162" t="s">
        <v>5</v>
      </c>
      <c r="S53" s="162" t="s">
        <v>5</v>
      </c>
      <c r="T53" s="162" t="s">
        <v>5</v>
      </c>
      <c r="U53" s="162" t="s">
        <v>5</v>
      </c>
      <c r="V53" s="162" t="s">
        <v>5</v>
      </c>
      <c r="W53" s="162" t="s">
        <v>5</v>
      </c>
      <c r="X53" s="162" t="s">
        <v>5</v>
      </c>
      <c r="Y53" s="162" t="s">
        <v>5</v>
      </c>
      <c r="Z53" s="162" t="s">
        <v>3</v>
      </c>
      <c r="AA53" s="162" t="s">
        <v>3</v>
      </c>
      <c r="AB53" s="162" t="s">
        <v>3</v>
      </c>
      <c r="AC53" s="162" t="s">
        <v>2</v>
      </c>
      <c r="AD53" s="162" t="s">
        <v>3</v>
      </c>
      <c r="AE53" s="162" t="s">
        <v>3</v>
      </c>
      <c r="AF53" s="162" t="s">
        <v>3</v>
      </c>
      <c r="AG53" s="162" t="s">
        <v>3</v>
      </c>
      <c r="AH53" s="162" t="s">
        <v>5</v>
      </c>
      <c r="AI53" s="162" t="s">
        <v>1093</v>
      </c>
      <c r="AJ53" s="162" t="s">
        <v>1</v>
      </c>
      <c r="AK53" s="162" t="s">
        <v>1</v>
      </c>
      <c r="AL53" s="162" t="s">
        <v>1</v>
      </c>
      <c r="AM53" s="162" t="s">
        <v>1</v>
      </c>
      <c r="AN53" s="162" t="s">
        <v>1</v>
      </c>
      <c r="AO53" s="162" t="s">
        <v>2</v>
      </c>
      <c r="AP53" s="162" t="s">
        <v>3</v>
      </c>
      <c r="AQ53" s="162" t="s">
        <v>2</v>
      </c>
      <c r="AR53" s="162" t="s">
        <v>2</v>
      </c>
      <c r="AS53" s="162" t="s">
        <v>2</v>
      </c>
    </row>
    <row r="54" spans="1:45" ht="12.75" x14ac:dyDescent="0.2">
      <c r="A54" s="177">
        <v>42626.643034560184</v>
      </c>
      <c r="B54" s="162" t="s">
        <v>1634</v>
      </c>
      <c r="C54" s="162" t="s">
        <v>1635</v>
      </c>
      <c r="D54" s="178">
        <v>1032386966</v>
      </c>
      <c r="E54" s="162" t="s">
        <v>1482</v>
      </c>
      <c r="F54" s="162" t="s">
        <v>1488</v>
      </c>
      <c r="G54" s="179">
        <v>2301642</v>
      </c>
      <c r="H54" s="162" t="s">
        <v>1636</v>
      </c>
      <c r="I54" s="162" t="s">
        <v>1092</v>
      </c>
      <c r="J54" s="162" t="s">
        <v>2</v>
      </c>
      <c r="K54" s="162" t="s">
        <v>1092</v>
      </c>
      <c r="L54" s="162" t="s">
        <v>1093</v>
      </c>
      <c r="M54" s="162" t="s">
        <v>1092</v>
      </c>
      <c r="N54" s="162" t="s">
        <v>1092</v>
      </c>
      <c r="O54" s="162" t="s">
        <v>1092</v>
      </c>
      <c r="P54" s="162" t="s">
        <v>1092</v>
      </c>
      <c r="Q54" s="162" t="s">
        <v>1092</v>
      </c>
      <c r="R54" s="162" t="s">
        <v>1093</v>
      </c>
      <c r="S54" s="162" t="s">
        <v>1092</v>
      </c>
      <c r="T54" s="162" t="s">
        <v>1092</v>
      </c>
      <c r="U54" s="162" t="s">
        <v>1093</v>
      </c>
      <c r="V54" s="162" t="s">
        <v>1093</v>
      </c>
      <c r="W54" s="162" t="s">
        <v>1092</v>
      </c>
      <c r="X54" s="162" t="s">
        <v>1093</v>
      </c>
      <c r="Y54" s="162" t="s">
        <v>2</v>
      </c>
      <c r="Z54" s="162" t="s">
        <v>1093</v>
      </c>
      <c r="AA54" s="162" t="s">
        <v>1093</v>
      </c>
      <c r="AB54" s="162" t="s">
        <v>5</v>
      </c>
      <c r="AC54" s="162" t="s">
        <v>1092</v>
      </c>
      <c r="AD54" s="162" t="s">
        <v>1092</v>
      </c>
      <c r="AE54" s="162" t="s">
        <v>1093</v>
      </c>
      <c r="AF54" s="162" t="s">
        <v>1093</v>
      </c>
      <c r="AG54" s="162" t="s">
        <v>2</v>
      </c>
      <c r="AH54" s="162" t="s">
        <v>2</v>
      </c>
      <c r="AI54" s="162" t="s">
        <v>2</v>
      </c>
      <c r="AJ54" s="162" t="s">
        <v>1092</v>
      </c>
      <c r="AK54" s="162" t="s">
        <v>5</v>
      </c>
      <c r="AL54" s="162" t="s">
        <v>5</v>
      </c>
      <c r="AM54" s="162" t="s">
        <v>1093</v>
      </c>
      <c r="AN54" s="162" t="s">
        <v>1093</v>
      </c>
      <c r="AO54" s="162" t="s">
        <v>1092</v>
      </c>
      <c r="AP54" s="162" t="s">
        <v>1092</v>
      </c>
      <c r="AQ54" s="162" t="s">
        <v>2</v>
      </c>
      <c r="AR54" s="162" t="s">
        <v>1093</v>
      </c>
      <c r="AS54" s="162" t="s">
        <v>2</v>
      </c>
    </row>
    <row r="55" spans="1:45" ht="12.75" x14ac:dyDescent="0.2">
      <c r="A55" s="177">
        <v>42626.642894872683</v>
      </c>
      <c r="B55" s="162" t="s">
        <v>1637</v>
      </c>
      <c r="C55" s="162" t="s">
        <v>1638</v>
      </c>
      <c r="D55" s="178">
        <v>79741766</v>
      </c>
      <c r="E55" s="162" t="s">
        <v>1482</v>
      </c>
      <c r="F55" s="162" t="s">
        <v>1488</v>
      </c>
      <c r="G55" s="179">
        <v>41676</v>
      </c>
      <c r="H55" s="162" t="s">
        <v>1639</v>
      </c>
      <c r="I55" s="162" t="s">
        <v>3</v>
      </c>
      <c r="J55" s="162" t="s">
        <v>2</v>
      </c>
      <c r="K55" s="162" t="s">
        <v>1092</v>
      </c>
      <c r="L55" s="162" t="s">
        <v>2</v>
      </c>
      <c r="M55" s="162" t="s">
        <v>3</v>
      </c>
      <c r="N55" s="162" t="s">
        <v>3</v>
      </c>
      <c r="O55" s="162" t="s">
        <v>1092</v>
      </c>
      <c r="P55" s="162" t="s">
        <v>3</v>
      </c>
      <c r="Q55" s="162" t="s">
        <v>1092</v>
      </c>
      <c r="R55" s="162" t="s">
        <v>2</v>
      </c>
      <c r="S55" s="162" t="s">
        <v>3</v>
      </c>
      <c r="T55" s="162" t="s">
        <v>3</v>
      </c>
      <c r="U55" s="162" t="s">
        <v>1092</v>
      </c>
      <c r="V55" s="162" t="s">
        <v>3</v>
      </c>
      <c r="W55" s="162" t="s">
        <v>3</v>
      </c>
      <c r="X55" s="162" t="s">
        <v>3</v>
      </c>
      <c r="Y55" s="162" t="s">
        <v>2</v>
      </c>
      <c r="Z55" s="162" t="s">
        <v>3</v>
      </c>
      <c r="AA55" s="162" t="s">
        <v>2</v>
      </c>
      <c r="AB55" s="162" t="s">
        <v>1092</v>
      </c>
      <c r="AC55" s="162" t="s">
        <v>2</v>
      </c>
      <c r="AD55" s="162" t="s">
        <v>2</v>
      </c>
      <c r="AE55" s="162" t="s">
        <v>3</v>
      </c>
      <c r="AF55" s="162" t="s">
        <v>1092</v>
      </c>
      <c r="AG55" s="162" t="s">
        <v>1092</v>
      </c>
      <c r="AH55" s="162" t="s">
        <v>3</v>
      </c>
      <c r="AI55" s="162" t="s">
        <v>3</v>
      </c>
      <c r="AJ55" s="162" t="s">
        <v>3</v>
      </c>
      <c r="AK55" s="162" t="s">
        <v>2</v>
      </c>
      <c r="AL55" s="162" t="s">
        <v>2</v>
      </c>
      <c r="AM55" s="162" t="s">
        <v>2</v>
      </c>
      <c r="AN55" s="162" t="s">
        <v>2</v>
      </c>
      <c r="AO55" s="162" t="s">
        <v>2</v>
      </c>
      <c r="AP55" s="162" t="s">
        <v>2</v>
      </c>
      <c r="AQ55" s="162" t="s">
        <v>2</v>
      </c>
      <c r="AR55" s="162" t="s">
        <v>2</v>
      </c>
      <c r="AS55" s="162" t="s">
        <v>3</v>
      </c>
    </row>
    <row r="56" spans="1:45" ht="12.75" x14ac:dyDescent="0.2">
      <c r="A56" s="177">
        <v>42626.645869432876</v>
      </c>
      <c r="B56" s="162" t="s">
        <v>1640</v>
      </c>
      <c r="C56" s="162" t="s">
        <v>1641</v>
      </c>
      <c r="D56" s="178">
        <v>94379661</v>
      </c>
      <c r="E56" s="162" t="s">
        <v>1320</v>
      </c>
      <c r="F56" s="162" t="s">
        <v>1488</v>
      </c>
      <c r="G56" s="179">
        <v>40554</v>
      </c>
      <c r="H56" s="162" t="s">
        <v>1642</v>
      </c>
      <c r="I56" s="162" t="s">
        <v>1092</v>
      </c>
      <c r="J56" s="162" t="s">
        <v>1092</v>
      </c>
      <c r="K56" s="162" t="s">
        <v>3</v>
      </c>
      <c r="L56" s="162" t="s">
        <v>3</v>
      </c>
      <c r="M56" s="162" t="s">
        <v>2</v>
      </c>
      <c r="N56" s="162" t="s">
        <v>3</v>
      </c>
      <c r="O56" s="162" t="s">
        <v>3</v>
      </c>
      <c r="P56" s="162" t="s">
        <v>3</v>
      </c>
      <c r="Q56" s="162" t="s">
        <v>3</v>
      </c>
      <c r="R56" s="162" t="s">
        <v>2</v>
      </c>
      <c r="S56" s="162" t="s">
        <v>2</v>
      </c>
      <c r="T56" s="162" t="s">
        <v>2</v>
      </c>
      <c r="U56" s="162" t="s">
        <v>3</v>
      </c>
      <c r="V56" s="162" t="s">
        <v>3</v>
      </c>
      <c r="W56" s="162" t="s">
        <v>3</v>
      </c>
      <c r="X56" s="162" t="s">
        <v>2</v>
      </c>
      <c r="Y56" s="162" t="s">
        <v>2</v>
      </c>
      <c r="Z56" s="162" t="s">
        <v>2</v>
      </c>
      <c r="AA56" s="162" t="s">
        <v>1</v>
      </c>
      <c r="AB56" s="162" t="s">
        <v>2</v>
      </c>
      <c r="AC56" s="162" t="s">
        <v>2</v>
      </c>
      <c r="AD56" s="162" t="s">
        <v>2</v>
      </c>
      <c r="AE56" s="162" t="s">
        <v>3</v>
      </c>
      <c r="AF56" s="162" t="s">
        <v>2</v>
      </c>
      <c r="AG56" s="162" t="s">
        <v>3</v>
      </c>
      <c r="AH56" s="162" t="s">
        <v>3</v>
      </c>
      <c r="AI56" s="162" t="s">
        <v>2</v>
      </c>
      <c r="AJ56" s="162" t="s">
        <v>3</v>
      </c>
      <c r="AK56" s="162" t="s">
        <v>2</v>
      </c>
      <c r="AL56" s="162" t="s">
        <v>2</v>
      </c>
      <c r="AM56" s="162" t="s">
        <v>2</v>
      </c>
      <c r="AN56" s="162" t="s">
        <v>3</v>
      </c>
      <c r="AO56" s="162" t="s">
        <v>3</v>
      </c>
      <c r="AP56" s="162" t="s">
        <v>3</v>
      </c>
      <c r="AQ56" s="162" t="s">
        <v>2</v>
      </c>
      <c r="AR56" s="162" t="s">
        <v>2</v>
      </c>
      <c r="AS56" s="162" t="s">
        <v>2</v>
      </c>
    </row>
    <row r="57" spans="1:45" ht="12.75" x14ac:dyDescent="0.2">
      <c r="A57" s="177">
        <v>42626.652182939812</v>
      </c>
      <c r="B57" s="162" t="s">
        <v>1643</v>
      </c>
      <c r="C57" s="162" t="s">
        <v>1644</v>
      </c>
      <c r="D57" s="178">
        <v>79736150</v>
      </c>
      <c r="E57" s="162" t="s">
        <v>1482</v>
      </c>
      <c r="F57" s="162" t="s">
        <v>1488</v>
      </c>
      <c r="G57" s="179">
        <v>41680</v>
      </c>
      <c r="H57" s="162" t="s">
        <v>1645</v>
      </c>
      <c r="I57" s="162" t="s">
        <v>1092</v>
      </c>
      <c r="J57" s="162" t="s">
        <v>1092</v>
      </c>
      <c r="K57" s="162" t="s">
        <v>3</v>
      </c>
      <c r="L57" s="162" t="s">
        <v>3</v>
      </c>
      <c r="M57" s="162" t="s">
        <v>2</v>
      </c>
      <c r="N57" s="162" t="s">
        <v>1092</v>
      </c>
      <c r="O57" s="162" t="s">
        <v>1092</v>
      </c>
      <c r="P57" s="162" t="s">
        <v>3</v>
      </c>
      <c r="Q57" s="162" t="s">
        <v>1092</v>
      </c>
      <c r="R57" s="162" t="s">
        <v>1</v>
      </c>
      <c r="S57" s="162" t="s">
        <v>1</v>
      </c>
      <c r="T57" s="162" t="s">
        <v>1</v>
      </c>
      <c r="U57" s="162" t="s">
        <v>1092</v>
      </c>
      <c r="V57" s="162" t="s">
        <v>1092</v>
      </c>
      <c r="W57" s="162" t="s">
        <v>1092</v>
      </c>
      <c r="X57" s="162" t="s">
        <v>3</v>
      </c>
      <c r="Y57" s="162" t="s">
        <v>1093</v>
      </c>
      <c r="Z57" s="162" t="s">
        <v>2</v>
      </c>
      <c r="AA57" s="162" t="s">
        <v>2</v>
      </c>
      <c r="AB57" s="162" t="s">
        <v>1092</v>
      </c>
      <c r="AC57" s="162" t="s">
        <v>2</v>
      </c>
      <c r="AD57" s="162" t="s">
        <v>2</v>
      </c>
      <c r="AE57" s="162" t="s">
        <v>1092</v>
      </c>
      <c r="AF57" s="162" t="s">
        <v>2</v>
      </c>
      <c r="AG57" s="162" t="s">
        <v>1092</v>
      </c>
      <c r="AH57" s="162" t="s">
        <v>1092</v>
      </c>
      <c r="AI57" s="162" t="s">
        <v>1092</v>
      </c>
      <c r="AJ57" s="162" t="s">
        <v>1092</v>
      </c>
      <c r="AK57" s="162" t="s">
        <v>1</v>
      </c>
      <c r="AL57" s="162" t="s">
        <v>2</v>
      </c>
      <c r="AM57" s="162" t="s">
        <v>3</v>
      </c>
      <c r="AN57" s="162" t="s">
        <v>3</v>
      </c>
      <c r="AO57" s="162" t="s">
        <v>3</v>
      </c>
      <c r="AP57" s="162" t="s">
        <v>3</v>
      </c>
      <c r="AQ57" s="162" t="s">
        <v>1</v>
      </c>
      <c r="AR57" s="162" t="s">
        <v>1</v>
      </c>
      <c r="AS57" s="162" t="s">
        <v>1</v>
      </c>
    </row>
    <row r="58" spans="1:45" ht="12.75" x14ac:dyDescent="0.2">
      <c r="A58" s="177">
        <v>42626.660768217596</v>
      </c>
      <c r="B58" s="162" t="s">
        <v>1646</v>
      </c>
      <c r="C58" s="162" t="s">
        <v>1647</v>
      </c>
      <c r="D58" s="178">
        <v>1024471035</v>
      </c>
      <c r="E58" s="162" t="s">
        <v>1482</v>
      </c>
      <c r="F58" s="162" t="s">
        <v>1488</v>
      </c>
      <c r="G58" s="179">
        <v>40988</v>
      </c>
      <c r="H58" s="162" t="s">
        <v>1648</v>
      </c>
      <c r="I58" s="162" t="s">
        <v>1092</v>
      </c>
      <c r="J58" s="162" t="s">
        <v>1092</v>
      </c>
      <c r="K58" s="162" t="s">
        <v>1092</v>
      </c>
      <c r="L58" s="162" t="s">
        <v>3</v>
      </c>
      <c r="M58" s="162" t="s">
        <v>3</v>
      </c>
      <c r="N58" s="162" t="s">
        <v>1092</v>
      </c>
      <c r="O58" s="162" t="s">
        <v>1092</v>
      </c>
      <c r="P58" s="162" t="s">
        <v>3</v>
      </c>
      <c r="Q58" s="162" t="s">
        <v>1092</v>
      </c>
      <c r="R58" s="162" t="s">
        <v>1</v>
      </c>
      <c r="S58" s="162" t="s">
        <v>2</v>
      </c>
      <c r="T58" s="162" t="s">
        <v>1</v>
      </c>
      <c r="U58" s="162" t="s">
        <v>1092</v>
      </c>
      <c r="V58" s="162" t="s">
        <v>2</v>
      </c>
      <c r="W58" s="162" t="s">
        <v>1092</v>
      </c>
      <c r="X58" s="162" t="s">
        <v>2</v>
      </c>
      <c r="Y58" s="162" t="s">
        <v>2</v>
      </c>
      <c r="Z58" s="162" t="s">
        <v>2</v>
      </c>
      <c r="AA58" s="162" t="s">
        <v>2</v>
      </c>
      <c r="AB58" s="162" t="s">
        <v>1092</v>
      </c>
      <c r="AC58" s="162" t="s">
        <v>2</v>
      </c>
      <c r="AD58" s="162" t="s">
        <v>1092</v>
      </c>
      <c r="AE58" s="162" t="s">
        <v>3</v>
      </c>
      <c r="AF58" s="162" t="s">
        <v>3</v>
      </c>
      <c r="AG58" s="162" t="s">
        <v>1092</v>
      </c>
      <c r="AH58" s="162" t="s">
        <v>1092</v>
      </c>
      <c r="AI58" s="162" t="s">
        <v>1092</v>
      </c>
      <c r="AJ58" s="162" t="s">
        <v>1092</v>
      </c>
      <c r="AK58" s="162" t="s">
        <v>3</v>
      </c>
      <c r="AL58" s="162" t="s">
        <v>3</v>
      </c>
      <c r="AM58" s="162" t="s">
        <v>1092</v>
      </c>
      <c r="AN58" s="162" t="s">
        <v>3</v>
      </c>
      <c r="AO58" s="162" t="s">
        <v>2</v>
      </c>
      <c r="AP58" s="162" t="s">
        <v>1092</v>
      </c>
      <c r="AQ58" s="162" t="s">
        <v>2</v>
      </c>
      <c r="AR58" s="162" t="s">
        <v>1</v>
      </c>
      <c r="AS58" s="162" t="s">
        <v>2</v>
      </c>
    </row>
    <row r="59" spans="1:45" ht="12.75" x14ac:dyDescent="0.2">
      <c r="A59" s="177">
        <v>42626.666612280096</v>
      </c>
      <c r="B59" s="162" t="s">
        <v>1649</v>
      </c>
      <c r="C59" s="162" t="s">
        <v>1650</v>
      </c>
      <c r="D59" s="178">
        <v>1024501542</v>
      </c>
      <c r="E59" s="162" t="s">
        <v>1482</v>
      </c>
      <c r="F59" s="162" t="s">
        <v>1488</v>
      </c>
      <c r="G59" s="179">
        <v>42339</v>
      </c>
      <c r="H59" s="162" t="s">
        <v>1651</v>
      </c>
      <c r="I59" s="162" t="s">
        <v>3</v>
      </c>
      <c r="J59" s="162" t="s">
        <v>3</v>
      </c>
      <c r="K59" s="162" t="s">
        <v>1092</v>
      </c>
      <c r="L59" s="162" t="s">
        <v>1092</v>
      </c>
      <c r="M59" s="162" t="s">
        <v>2</v>
      </c>
      <c r="N59" s="162" t="s">
        <v>1092</v>
      </c>
      <c r="O59" s="162" t="s">
        <v>1092</v>
      </c>
      <c r="P59" s="162" t="s">
        <v>3</v>
      </c>
      <c r="Q59" s="162" t="s">
        <v>3</v>
      </c>
      <c r="R59" s="162" t="s">
        <v>3</v>
      </c>
      <c r="S59" s="162" t="s">
        <v>3</v>
      </c>
      <c r="T59" s="162" t="s">
        <v>3</v>
      </c>
      <c r="U59" s="162" t="s">
        <v>3</v>
      </c>
      <c r="V59" s="162" t="s">
        <v>3</v>
      </c>
      <c r="W59" s="162" t="s">
        <v>3</v>
      </c>
      <c r="X59" s="162" t="s">
        <v>3</v>
      </c>
      <c r="Y59" s="162" t="s">
        <v>3</v>
      </c>
      <c r="Z59" s="162" t="s">
        <v>3</v>
      </c>
      <c r="AA59" s="162" t="s">
        <v>3</v>
      </c>
      <c r="AB59" s="162" t="s">
        <v>3</v>
      </c>
      <c r="AC59" s="162" t="s">
        <v>2</v>
      </c>
      <c r="AD59" s="162" t="s">
        <v>3</v>
      </c>
      <c r="AE59" s="162" t="s">
        <v>3</v>
      </c>
      <c r="AF59" s="162" t="s">
        <v>3</v>
      </c>
      <c r="AG59" s="162" t="s">
        <v>1092</v>
      </c>
      <c r="AH59" s="162" t="s">
        <v>3</v>
      </c>
      <c r="AI59" s="162" t="s">
        <v>3</v>
      </c>
      <c r="AJ59" s="162" t="s">
        <v>3</v>
      </c>
      <c r="AK59" s="162" t="s">
        <v>3</v>
      </c>
      <c r="AL59" s="162" t="s">
        <v>3</v>
      </c>
      <c r="AM59" s="162" t="s">
        <v>3</v>
      </c>
      <c r="AN59" s="162" t="s">
        <v>3</v>
      </c>
      <c r="AO59" s="162" t="s">
        <v>3</v>
      </c>
      <c r="AP59" s="162" t="s">
        <v>3</v>
      </c>
      <c r="AQ59" s="162" t="s">
        <v>3</v>
      </c>
      <c r="AR59" s="162" t="s">
        <v>3</v>
      </c>
      <c r="AS59" s="162" t="s">
        <v>3</v>
      </c>
    </row>
    <row r="60" spans="1:45" ht="12.75" x14ac:dyDescent="0.2">
      <c r="A60" s="177">
        <v>42626.669541527779</v>
      </c>
      <c r="B60" s="162" t="s">
        <v>1652</v>
      </c>
      <c r="C60" s="162" t="s">
        <v>1653</v>
      </c>
      <c r="D60" s="178">
        <v>79807540</v>
      </c>
      <c r="E60" s="162" t="s">
        <v>1482</v>
      </c>
      <c r="F60" s="162" t="s">
        <v>1516</v>
      </c>
      <c r="G60" s="179">
        <v>40955</v>
      </c>
      <c r="H60" s="162" t="s">
        <v>1654</v>
      </c>
      <c r="I60" s="162" t="s">
        <v>2</v>
      </c>
      <c r="J60" s="162" t="s">
        <v>2</v>
      </c>
      <c r="K60" s="162" t="s">
        <v>2</v>
      </c>
      <c r="L60" s="162" t="s">
        <v>2</v>
      </c>
      <c r="M60" s="162" t="s">
        <v>5</v>
      </c>
      <c r="N60" s="162" t="s">
        <v>3</v>
      </c>
      <c r="O60" s="162" t="s">
        <v>2</v>
      </c>
      <c r="P60" s="162" t="s">
        <v>3</v>
      </c>
      <c r="Q60" s="162" t="s">
        <v>2</v>
      </c>
      <c r="R60" s="162" t="s">
        <v>3</v>
      </c>
      <c r="S60" s="162" t="s">
        <v>3</v>
      </c>
      <c r="T60" s="162" t="s">
        <v>2</v>
      </c>
      <c r="U60" s="162" t="s">
        <v>3</v>
      </c>
      <c r="V60" s="162" t="s">
        <v>3</v>
      </c>
      <c r="W60" s="162" t="s">
        <v>3</v>
      </c>
      <c r="X60" s="162" t="s">
        <v>3</v>
      </c>
      <c r="Y60" s="162" t="s">
        <v>2</v>
      </c>
      <c r="Z60" s="162" t="s">
        <v>2</v>
      </c>
      <c r="AA60" s="162" t="s">
        <v>2</v>
      </c>
      <c r="AB60" s="162" t="s">
        <v>3</v>
      </c>
      <c r="AC60" s="162" t="s">
        <v>3</v>
      </c>
      <c r="AD60" s="162" t="s">
        <v>3</v>
      </c>
      <c r="AE60" s="162" t="s">
        <v>3</v>
      </c>
      <c r="AF60" s="162" t="s">
        <v>3</v>
      </c>
      <c r="AG60" s="162" t="s">
        <v>3</v>
      </c>
      <c r="AH60" s="162" t="s">
        <v>3</v>
      </c>
      <c r="AI60" s="162" t="s">
        <v>3</v>
      </c>
      <c r="AJ60" s="162" t="s">
        <v>3</v>
      </c>
      <c r="AK60" s="162" t="s">
        <v>3</v>
      </c>
      <c r="AL60" s="162" t="s">
        <v>3</v>
      </c>
      <c r="AM60" s="162" t="s">
        <v>3</v>
      </c>
      <c r="AN60" s="162" t="s">
        <v>3</v>
      </c>
      <c r="AO60" s="162" t="s">
        <v>3</v>
      </c>
      <c r="AP60" s="162" t="s">
        <v>3</v>
      </c>
      <c r="AQ60" s="162" t="s">
        <v>3</v>
      </c>
      <c r="AR60" s="162" t="s">
        <v>3</v>
      </c>
      <c r="AS60" s="162" t="s">
        <v>2</v>
      </c>
    </row>
    <row r="61" spans="1:45" ht="12.75" x14ac:dyDescent="0.2">
      <c r="A61" s="177">
        <v>42626.670536006946</v>
      </c>
      <c r="B61" s="162" t="s">
        <v>1655</v>
      </c>
      <c r="C61" s="162" t="s">
        <v>1656</v>
      </c>
      <c r="D61" s="178">
        <v>1069738168</v>
      </c>
      <c r="E61" s="162" t="s">
        <v>1482</v>
      </c>
      <c r="F61" s="162" t="s">
        <v>1488</v>
      </c>
      <c r="G61" s="179">
        <v>41672</v>
      </c>
      <c r="H61" s="162" t="s">
        <v>1657</v>
      </c>
      <c r="I61" s="162" t="s">
        <v>3</v>
      </c>
      <c r="J61" s="162" t="s">
        <v>3</v>
      </c>
      <c r="K61" s="162" t="s">
        <v>3</v>
      </c>
      <c r="L61" s="162" t="s">
        <v>3</v>
      </c>
      <c r="M61" s="162" t="s">
        <v>2</v>
      </c>
      <c r="N61" s="162" t="s">
        <v>1092</v>
      </c>
      <c r="O61" s="162" t="s">
        <v>3</v>
      </c>
      <c r="P61" s="162" t="s">
        <v>1092</v>
      </c>
      <c r="Q61" s="162" t="s">
        <v>3</v>
      </c>
      <c r="R61" s="162" t="s">
        <v>2</v>
      </c>
      <c r="S61" s="162" t="s">
        <v>2</v>
      </c>
      <c r="T61" s="162" t="s">
        <v>2</v>
      </c>
      <c r="U61" s="162" t="s">
        <v>1092</v>
      </c>
      <c r="V61" s="162" t="s">
        <v>3</v>
      </c>
      <c r="W61" s="162" t="s">
        <v>3</v>
      </c>
      <c r="X61" s="162" t="s">
        <v>2</v>
      </c>
      <c r="Y61" s="162" t="s">
        <v>2</v>
      </c>
      <c r="Z61" s="162" t="s">
        <v>2</v>
      </c>
      <c r="AA61" s="162" t="s">
        <v>3</v>
      </c>
      <c r="AB61" s="162" t="s">
        <v>1092</v>
      </c>
      <c r="AC61" s="162" t="s">
        <v>2</v>
      </c>
      <c r="AD61" s="162" t="s">
        <v>2</v>
      </c>
      <c r="AE61" s="162" t="s">
        <v>2</v>
      </c>
      <c r="AF61" s="162" t="s">
        <v>2</v>
      </c>
      <c r="AG61" s="162" t="s">
        <v>3</v>
      </c>
      <c r="AH61" s="162" t="s">
        <v>3</v>
      </c>
      <c r="AI61" s="162" t="s">
        <v>3</v>
      </c>
      <c r="AJ61" s="162" t="s">
        <v>1092</v>
      </c>
      <c r="AK61" s="162" t="s">
        <v>3</v>
      </c>
      <c r="AL61" s="162" t="s">
        <v>3</v>
      </c>
      <c r="AM61" s="162" t="s">
        <v>3</v>
      </c>
      <c r="AN61" s="162" t="s">
        <v>3</v>
      </c>
      <c r="AO61" s="162" t="s">
        <v>3</v>
      </c>
      <c r="AP61" s="162" t="s">
        <v>3</v>
      </c>
      <c r="AQ61" s="162" t="s">
        <v>3</v>
      </c>
      <c r="AR61" s="162" t="s">
        <v>3</v>
      </c>
      <c r="AS61" s="162" t="s">
        <v>3</v>
      </c>
    </row>
    <row r="62" spans="1:45" ht="12.75" x14ac:dyDescent="0.2">
      <c r="A62" s="177">
        <v>42626.674921365746</v>
      </c>
      <c r="B62" s="162" t="s">
        <v>1658</v>
      </c>
      <c r="C62" s="162" t="s">
        <v>1659</v>
      </c>
      <c r="D62" s="178">
        <v>80161326</v>
      </c>
      <c r="E62" s="162" t="s">
        <v>1482</v>
      </c>
      <c r="F62" s="162" t="s">
        <v>1660</v>
      </c>
      <c r="G62" s="179">
        <v>39573</v>
      </c>
      <c r="H62" s="162" t="s">
        <v>1661</v>
      </c>
      <c r="I62" s="162" t="s">
        <v>3</v>
      </c>
      <c r="J62" s="162" t="s">
        <v>3</v>
      </c>
      <c r="K62" s="162" t="s">
        <v>3</v>
      </c>
      <c r="L62" s="162" t="s">
        <v>3</v>
      </c>
      <c r="M62" s="162" t="s">
        <v>3</v>
      </c>
      <c r="N62" s="162" t="s">
        <v>3</v>
      </c>
      <c r="O62" s="162" t="s">
        <v>3</v>
      </c>
      <c r="P62" s="162" t="s">
        <v>3</v>
      </c>
      <c r="Q62" s="162" t="s">
        <v>3</v>
      </c>
      <c r="R62" s="162" t="s">
        <v>1</v>
      </c>
      <c r="S62" s="162" t="s">
        <v>2</v>
      </c>
      <c r="T62" s="162" t="s">
        <v>2</v>
      </c>
      <c r="U62" s="162" t="s">
        <v>1092</v>
      </c>
      <c r="V62" s="162" t="s">
        <v>2</v>
      </c>
      <c r="W62" s="162" t="s">
        <v>2</v>
      </c>
      <c r="X62" s="162" t="s">
        <v>1093</v>
      </c>
      <c r="Y62" s="162" t="s">
        <v>1093</v>
      </c>
      <c r="Z62" s="162" t="s">
        <v>1</v>
      </c>
      <c r="AA62" s="162" t="s">
        <v>2</v>
      </c>
      <c r="AB62" s="162" t="s">
        <v>2</v>
      </c>
      <c r="AC62" s="162" t="s">
        <v>2</v>
      </c>
      <c r="AD62" s="162" t="s">
        <v>1</v>
      </c>
      <c r="AE62" s="162" t="s">
        <v>1</v>
      </c>
      <c r="AF62" s="162" t="s">
        <v>1</v>
      </c>
      <c r="AG62" s="162" t="s">
        <v>2</v>
      </c>
      <c r="AH62" s="162" t="s">
        <v>1</v>
      </c>
      <c r="AI62" s="162" t="s">
        <v>2</v>
      </c>
      <c r="AJ62" s="162" t="s">
        <v>3</v>
      </c>
      <c r="AK62" s="162" t="s">
        <v>2</v>
      </c>
      <c r="AL62" s="162" t="s">
        <v>2</v>
      </c>
      <c r="AM62" s="162" t="s">
        <v>2</v>
      </c>
      <c r="AN62" s="162" t="s">
        <v>2</v>
      </c>
      <c r="AO62" s="162" t="s">
        <v>2</v>
      </c>
      <c r="AP62" s="162" t="s">
        <v>3</v>
      </c>
      <c r="AQ62" s="162" t="s">
        <v>2</v>
      </c>
      <c r="AR62" s="162" t="s">
        <v>1</v>
      </c>
      <c r="AS62" s="162" t="s">
        <v>1</v>
      </c>
    </row>
    <row r="63" spans="1:45" ht="12.75" x14ac:dyDescent="0.2">
      <c r="A63" s="177">
        <v>42626.676220335648</v>
      </c>
      <c r="B63" s="162" t="s">
        <v>1662</v>
      </c>
      <c r="C63" s="162" t="s">
        <v>1663</v>
      </c>
      <c r="D63" s="178">
        <v>1033737698</v>
      </c>
      <c r="E63" s="162" t="s">
        <v>1482</v>
      </c>
      <c r="F63" s="162" t="s">
        <v>1488</v>
      </c>
      <c r="G63" s="179">
        <v>42402</v>
      </c>
      <c r="H63" s="162" t="s">
        <v>1664</v>
      </c>
      <c r="I63" s="162" t="s">
        <v>1092</v>
      </c>
      <c r="J63" s="162" t="s">
        <v>1092</v>
      </c>
      <c r="K63" s="162" t="s">
        <v>3</v>
      </c>
      <c r="L63" s="162" t="s">
        <v>2</v>
      </c>
      <c r="M63" s="162" t="s">
        <v>3</v>
      </c>
      <c r="N63" s="162" t="s">
        <v>1092</v>
      </c>
      <c r="O63" s="162" t="s">
        <v>3</v>
      </c>
      <c r="P63" s="162" t="s">
        <v>2</v>
      </c>
      <c r="Q63" s="162" t="s">
        <v>1092</v>
      </c>
      <c r="R63" s="162" t="s">
        <v>2</v>
      </c>
      <c r="S63" s="162" t="s">
        <v>2</v>
      </c>
      <c r="T63" s="162" t="s">
        <v>2</v>
      </c>
      <c r="U63" s="162" t="s">
        <v>1092</v>
      </c>
      <c r="V63" s="162" t="s">
        <v>2</v>
      </c>
      <c r="W63" s="162" t="s">
        <v>3</v>
      </c>
      <c r="X63" s="162" t="s">
        <v>3</v>
      </c>
      <c r="Y63" s="162" t="s">
        <v>2</v>
      </c>
      <c r="Z63" s="162" t="s">
        <v>2</v>
      </c>
      <c r="AA63" s="162" t="s">
        <v>2</v>
      </c>
      <c r="AB63" s="162" t="s">
        <v>1092</v>
      </c>
      <c r="AC63" s="162" t="s">
        <v>5</v>
      </c>
      <c r="AD63" s="162" t="s">
        <v>2</v>
      </c>
      <c r="AE63" s="162" t="s">
        <v>2</v>
      </c>
      <c r="AF63" s="162" t="s">
        <v>2</v>
      </c>
      <c r="AG63" s="162" t="s">
        <v>3</v>
      </c>
      <c r="AH63" s="162" t="s">
        <v>3</v>
      </c>
      <c r="AI63" s="162" t="s">
        <v>3</v>
      </c>
      <c r="AJ63" s="162" t="s">
        <v>1092</v>
      </c>
      <c r="AK63" s="162" t="s">
        <v>1092</v>
      </c>
      <c r="AL63" s="162" t="s">
        <v>1092</v>
      </c>
      <c r="AM63" s="162" t="s">
        <v>2</v>
      </c>
      <c r="AN63" s="162" t="s">
        <v>2</v>
      </c>
      <c r="AO63" s="162" t="s">
        <v>3</v>
      </c>
      <c r="AP63" s="162" t="s">
        <v>2</v>
      </c>
      <c r="AQ63" s="162" t="s">
        <v>2</v>
      </c>
      <c r="AR63" s="162" t="s">
        <v>2</v>
      </c>
      <c r="AS63" s="162" t="s">
        <v>2</v>
      </c>
    </row>
    <row r="64" spans="1:45" ht="12.75" x14ac:dyDescent="0.2">
      <c r="A64" s="177">
        <v>42627.486184594905</v>
      </c>
      <c r="B64" s="162" t="s">
        <v>1665</v>
      </c>
      <c r="C64" s="162" t="s">
        <v>1666</v>
      </c>
      <c r="D64" s="178">
        <v>1031126420</v>
      </c>
      <c r="E64" s="162" t="s">
        <v>1482</v>
      </c>
      <c r="F64" s="162" t="s">
        <v>1516</v>
      </c>
      <c r="G64" s="179">
        <v>41920</v>
      </c>
      <c r="H64" s="162" t="s">
        <v>1667</v>
      </c>
      <c r="I64" s="162" t="s">
        <v>1</v>
      </c>
      <c r="J64" s="162" t="s">
        <v>2</v>
      </c>
      <c r="K64" s="162" t="s">
        <v>3</v>
      </c>
      <c r="L64" s="162" t="s">
        <v>3</v>
      </c>
      <c r="M64" s="162" t="s">
        <v>1</v>
      </c>
      <c r="N64" s="162" t="s">
        <v>1</v>
      </c>
      <c r="O64" s="162" t="s">
        <v>1</v>
      </c>
      <c r="P64" s="162" t="s">
        <v>1</v>
      </c>
      <c r="Q64" s="162" t="s">
        <v>1093</v>
      </c>
      <c r="R64" s="162" t="s">
        <v>5</v>
      </c>
      <c r="S64" s="162" t="s">
        <v>5</v>
      </c>
      <c r="T64" s="162" t="s">
        <v>5</v>
      </c>
      <c r="U64" s="162" t="s">
        <v>5</v>
      </c>
      <c r="V64" s="162" t="s">
        <v>5</v>
      </c>
      <c r="W64" s="162" t="s">
        <v>5</v>
      </c>
      <c r="X64" s="162" t="s">
        <v>5</v>
      </c>
      <c r="Y64" s="162" t="s">
        <v>5</v>
      </c>
      <c r="Z64" s="162" t="s">
        <v>5</v>
      </c>
      <c r="AA64" s="162" t="s">
        <v>5</v>
      </c>
      <c r="AB64" s="162" t="s">
        <v>5</v>
      </c>
      <c r="AC64" s="162" t="s">
        <v>5</v>
      </c>
      <c r="AD64" s="162" t="s">
        <v>5</v>
      </c>
      <c r="AE64" s="162" t="s">
        <v>3</v>
      </c>
      <c r="AF64" s="162" t="s">
        <v>5</v>
      </c>
      <c r="AG64" s="162" t="s">
        <v>2</v>
      </c>
      <c r="AH64" s="162" t="s">
        <v>5</v>
      </c>
      <c r="AI64" s="162" t="s">
        <v>3</v>
      </c>
      <c r="AJ64" s="162" t="s">
        <v>1092</v>
      </c>
      <c r="AK64" s="162" t="s">
        <v>3</v>
      </c>
      <c r="AL64" s="162" t="s">
        <v>5</v>
      </c>
      <c r="AM64" s="162" t="s">
        <v>5</v>
      </c>
      <c r="AN64" s="162" t="s">
        <v>5</v>
      </c>
      <c r="AO64" s="162" t="s">
        <v>5</v>
      </c>
      <c r="AP64" s="162" t="s">
        <v>5</v>
      </c>
      <c r="AQ64" s="162" t="s">
        <v>5</v>
      </c>
      <c r="AR64" s="162" t="s">
        <v>5</v>
      </c>
      <c r="AS64" s="162" t="s">
        <v>5</v>
      </c>
    </row>
    <row r="65" spans="1:45" ht="12.75" x14ac:dyDescent="0.2">
      <c r="A65" s="177">
        <v>42627.575089930557</v>
      </c>
      <c r="B65" s="162" t="s">
        <v>1668</v>
      </c>
      <c r="C65" s="162" t="s">
        <v>1619</v>
      </c>
      <c r="D65" s="178">
        <v>39700943</v>
      </c>
      <c r="E65" s="162" t="s">
        <v>1482</v>
      </c>
      <c r="F65" s="162" t="s">
        <v>1620</v>
      </c>
      <c r="G65" s="179">
        <v>42627</v>
      </c>
      <c r="H65" s="162" t="s">
        <v>1669</v>
      </c>
      <c r="I65" s="162" t="s">
        <v>1092</v>
      </c>
      <c r="J65" s="162" t="s">
        <v>1092</v>
      </c>
      <c r="K65" s="162" t="s">
        <v>1092</v>
      </c>
      <c r="L65" s="162" t="s">
        <v>1092</v>
      </c>
      <c r="M65" s="162" t="s">
        <v>2</v>
      </c>
      <c r="N65" s="162" t="s">
        <v>2</v>
      </c>
      <c r="O65" s="162" t="s">
        <v>2</v>
      </c>
      <c r="P65" s="162" t="s">
        <v>2</v>
      </c>
      <c r="Q65" s="162" t="s">
        <v>2</v>
      </c>
      <c r="R65" s="162" t="s">
        <v>2</v>
      </c>
      <c r="S65" s="162" t="s">
        <v>5</v>
      </c>
      <c r="T65" s="162" t="s">
        <v>5</v>
      </c>
      <c r="U65" s="162" t="s">
        <v>2</v>
      </c>
      <c r="V65" s="162" t="s">
        <v>1092</v>
      </c>
      <c r="W65" s="162" t="s">
        <v>1092</v>
      </c>
      <c r="X65" s="162" t="s">
        <v>2</v>
      </c>
      <c r="Y65" s="162" t="s">
        <v>1093</v>
      </c>
      <c r="Z65" s="162" t="s">
        <v>2</v>
      </c>
      <c r="AA65" s="162" t="s">
        <v>2</v>
      </c>
      <c r="AB65" s="162" t="s">
        <v>1092</v>
      </c>
      <c r="AC65" s="162" t="s">
        <v>2</v>
      </c>
      <c r="AD65" s="162" t="s">
        <v>2</v>
      </c>
      <c r="AE65" s="162" t="s">
        <v>2</v>
      </c>
      <c r="AF65" s="162" t="s">
        <v>1092</v>
      </c>
      <c r="AG65" s="162" t="s">
        <v>1092</v>
      </c>
      <c r="AH65" s="162" t="s">
        <v>1092</v>
      </c>
      <c r="AI65" s="162" t="s">
        <v>1092</v>
      </c>
      <c r="AJ65" s="162" t="s">
        <v>1092</v>
      </c>
      <c r="AK65" s="162" t="s">
        <v>2</v>
      </c>
      <c r="AL65" s="162" t="s">
        <v>5</v>
      </c>
      <c r="AM65" s="162" t="s">
        <v>2</v>
      </c>
      <c r="AN65" s="162" t="s">
        <v>2</v>
      </c>
      <c r="AO65" s="162" t="s">
        <v>5</v>
      </c>
      <c r="AP65" s="162" t="s">
        <v>5</v>
      </c>
      <c r="AQ65" s="162" t="s">
        <v>2</v>
      </c>
      <c r="AR65" s="162" t="s">
        <v>2</v>
      </c>
      <c r="AS65" s="162" t="s">
        <v>2</v>
      </c>
    </row>
    <row r="66" spans="1:45" ht="12.75" x14ac:dyDescent="0.2">
      <c r="A66" s="177">
        <v>42627.579830763891</v>
      </c>
      <c r="B66" s="162" t="s">
        <v>1670</v>
      </c>
      <c r="C66" s="162" t="s">
        <v>1671</v>
      </c>
      <c r="D66" s="178">
        <v>3013802211</v>
      </c>
      <c r="E66" s="162" t="s">
        <v>1482</v>
      </c>
      <c r="F66" s="162" t="s">
        <v>1488</v>
      </c>
      <c r="G66" s="179">
        <v>42217</v>
      </c>
      <c r="H66" s="162" t="s">
        <v>1672</v>
      </c>
      <c r="I66" s="162" t="s">
        <v>2</v>
      </c>
      <c r="J66" s="162" t="s">
        <v>3</v>
      </c>
      <c r="K66" s="162" t="s">
        <v>1092</v>
      </c>
      <c r="L66" s="162" t="s">
        <v>2</v>
      </c>
      <c r="M66" s="162" t="s">
        <v>3</v>
      </c>
      <c r="N66" s="162" t="s">
        <v>1092</v>
      </c>
      <c r="O66" s="162" t="s">
        <v>1092</v>
      </c>
      <c r="P66" s="162" t="s">
        <v>1</v>
      </c>
      <c r="Q66" s="162" t="s">
        <v>1093</v>
      </c>
      <c r="R66" s="162" t="s">
        <v>1093</v>
      </c>
      <c r="S66" s="162" t="s">
        <v>2</v>
      </c>
      <c r="T66" s="162" t="s">
        <v>2</v>
      </c>
      <c r="U66" s="162" t="s">
        <v>2</v>
      </c>
      <c r="V66" s="162" t="s">
        <v>1</v>
      </c>
      <c r="W66" s="162" t="s">
        <v>1</v>
      </c>
      <c r="X66" s="162" t="s">
        <v>1</v>
      </c>
      <c r="Y66" s="162" t="s">
        <v>2</v>
      </c>
      <c r="Z66" s="162" t="s">
        <v>1</v>
      </c>
      <c r="AA66" s="162" t="s">
        <v>3</v>
      </c>
      <c r="AB66" s="162" t="s">
        <v>2</v>
      </c>
      <c r="AC66" s="162" t="s">
        <v>1</v>
      </c>
      <c r="AD66" s="162" t="s">
        <v>1</v>
      </c>
      <c r="AE66" s="162" t="s">
        <v>1</v>
      </c>
      <c r="AF66" s="162" t="s">
        <v>1</v>
      </c>
      <c r="AG66" s="162" t="s">
        <v>2</v>
      </c>
      <c r="AH66" s="162" t="s">
        <v>3</v>
      </c>
      <c r="AI66" s="162" t="s">
        <v>3</v>
      </c>
      <c r="AJ66" s="162" t="s">
        <v>3</v>
      </c>
      <c r="AK66" s="162" t="s">
        <v>2</v>
      </c>
      <c r="AL66" s="162" t="s">
        <v>1</v>
      </c>
      <c r="AM66" s="162" t="s">
        <v>1</v>
      </c>
      <c r="AN66" s="162" t="s">
        <v>3</v>
      </c>
      <c r="AO66" s="162" t="s">
        <v>3</v>
      </c>
      <c r="AP66" s="162" t="s">
        <v>2</v>
      </c>
      <c r="AQ66" s="162" t="s">
        <v>2</v>
      </c>
      <c r="AR66" s="162" t="s">
        <v>2</v>
      </c>
      <c r="AS66" s="162" t="s">
        <v>2</v>
      </c>
    </row>
    <row r="67" spans="1:45" ht="12.75" x14ac:dyDescent="0.2">
      <c r="A67" s="177">
        <v>42628.582545821759</v>
      </c>
      <c r="B67" s="162" t="s">
        <v>1673</v>
      </c>
      <c r="C67" s="162" t="s">
        <v>1674</v>
      </c>
      <c r="D67" s="178">
        <v>1024543666</v>
      </c>
      <c r="E67" s="162" t="s">
        <v>1482</v>
      </c>
      <c r="F67" s="162" t="s">
        <v>1488</v>
      </c>
      <c r="G67" s="179">
        <v>42250</v>
      </c>
      <c r="H67" s="162" t="s">
        <v>1675</v>
      </c>
      <c r="I67" s="162" t="s">
        <v>3</v>
      </c>
      <c r="J67" s="162" t="s">
        <v>3</v>
      </c>
      <c r="K67" s="162" t="s">
        <v>2</v>
      </c>
      <c r="L67" s="162" t="s">
        <v>2</v>
      </c>
      <c r="M67" s="162" t="s">
        <v>2</v>
      </c>
      <c r="N67" s="162" t="s">
        <v>3</v>
      </c>
      <c r="O67" s="162" t="s">
        <v>3</v>
      </c>
      <c r="P67" s="162" t="s">
        <v>2</v>
      </c>
      <c r="Q67" s="162" t="s">
        <v>2</v>
      </c>
      <c r="R67" s="162" t="s">
        <v>3</v>
      </c>
      <c r="S67" s="162" t="s">
        <v>3</v>
      </c>
      <c r="T67" s="162" t="s">
        <v>3</v>
      </c>
      <c r="U67" s="162" t="s">
        <v>3</v>
      </c>
      <c r="V67" s="162" t="s">
        <v>3</v>
      </c>
      <c r="W67" s="162" t="s">
        <v>3</v>
      </c>
      <c r="X67" s="162" t="s">
        <v>2</v>
      </c>
      <c r="Y67" s="162" t="s">
        <v>1092</v>
      </c>
      <c r="Z67" s="162" t="s">
        <v>1092</v>
      </c>
      <c r="AA67" s="162" t="s">
        <v>3</v>
      </c>
      <c r="AB67" s="162" t="s">
        <v>3</v>
      </c>
      <c r="AC67" s="162" t="s">
        <v>2</v>
      </c>
      <c r="AD67" s="162" t="s">
        <v>2</v>
      </c>
      <c r="AE67" s="162" t="s">
        <v>2</v>
      </c>
      <c r="AF67" s="162" t="s">
        <v>3</v>
      </c>
      <c r="AG67" s="162" t="s">
        <v>2</v>
      </c>
      <c r="AH67" s="162" t="s">
        <v>3</v>
      </c>
      <c r="AI67" s="162" t="s">
        <v>3</v>
      </c>
      <c r="AJ67" s="162" t="s">
        <v>1092</v>
      </c>
      <c r="AK67" s="162" t="s">
        <v>1</v>
      </c>
      <c r="AL67" s="162" t="s">
        <v>1</v>
      </c>
      <c r="AM67" s="162" t="s">
        <v>3</v>
      </c>
      <c r="AN67" s="162" t="s">
        <v>3</v>
      </c>
      <c r="AO67" s="162" t="s">
        <v>3</v>
      </c>
      <c r="AP67" s="162" t="s">
        <v>3</v>
      </c>
      <c r="AQ67" s="162" t="s">
        <v>3</v>
      </c>
      <c r="AR67" s="162" t="s">
        <v>3</v>
      </c>
      <c r="AS67" s="162" t="s">
        <v>3</v>
      </c>
    </row>
    <row r="68" spans="1:45" ht="12.75" x14ac:dyDescent="0.2">
      <c r="A68" s="177">
        <v>42628.61565305556</v>
      </c>
      <c r="B68" s="162" t="s">
        <v>1676</v>
      </c>
      <c r="C68" s="162" t="s">
        <v>1677</v>
      </c>
      <c r="D68" s="178">
        <v>20470593</v>
      </c>
      <c r="E68" s="162" t="s">
        <v>1320</v>
      </c>
      <c r="F68" s="162" t="s">
        <v>1620</v>
      </c>
      <c r="G68" s="179">
        <v>35340</v>
      </c>
      <c r="H68" s="162" t="s">
        <v>1678</v>
      </c>
      <c r="I68" s="162" t="s">
        <v>3</v>
      </c>
      <c r="J68" s="162" t="s">
        <v>3</v>
      </c>
      <c r="K68" s="162" t="s">
        <v>3</v>
      </c>
      <c r="L68" s="162" t="s">
        <v>3</v>
      </c>
      <c r="M68" s="162" t="s">
        <v>2</v>
      </c>
      <c r="N68" s="162" t="s">
        <v>2</v>
      </c>
      <c r="O68" s="162" t="s">
        <v>2</v>
      </c>
      <c r="P68" s="162" t="s">
        <v>2</v>
      </c>
      <c r="Q68" s="162" t="s">
        <v>2</v>
      </c>
      <c r="R68" s="162" t="s">
        <v>2</v>
      </c>
      <c r="S68" s="162" t="s">
        <v>2</v>
      </c>
      <c r="T68" s="162" t="s">
        <v>2</v>
      </c>
      <c r="U68" s="162" t="s">
        <v>2</v>
      </c>
      <c r="V68" s="162" t="s">
        <v>2</v>
      </c>
      <c r="W68" s="162" t="s">
        <v>2</v>
      </c>
      <c r="X68" s="162" t="s">
        <v>2</v>
      </c>
      <c r="Y68" s="162" t="s">
        <v>2</v>
      </c>
      <c r="Z68" s="162" t="s">
        <v>2</v>
      </c>
      <c r="AA68" s="162" t="s">
        <v>2</v>
      </c>
      <c r="AB68" s="162" t="s">
        <v>2</v>
      </c>
      <c r="AC68" s="162" t="s">
        <v>2</v>
      </c>
      <c r="AD68" s="162" t="s">
        <v>2</v>
      </c>
      <c r="AE68" s="162" t="s">
        <v>2</v>
      </c>
      <c r="AF68" s="162" t="s">
        <v>2</v>
      </c>
      <c r="AG68" s="162" t="s">
        <v>2</v>
      </c>
      <c r="AH68" s="162" t="s">
        <v>2</v>
      </c>
      <c r="AI68" s="162" t="s">
        <v>2</v>
      </c>
      <c r="AJ68" s="162" t="s">
        <v>2</v>
      </c>
      <c r="AK68" s="162" t="s">
        <v>2</v>
      </c>
      <c r="AL68" s="162" t="s">
        <v>2</v>
      </c>
      <c r="AM68" s="162" t="s">
        <v>2</v>
      </c>
      <c r="AN68" s="162" t="s">
        <v>2</v>
      </c>
      <c r="AO68" s="162" t="s">
        <v>2</v>
      </c>
      <c r="AP68" s="162" t="s">
        <v>2</v>
      </c>
      <c r="AQ68" s="162" t="s">
        <v>2</v>
      </c>
      <c r="AR68" s="162" t="s">
        <v>2</v>
      </c>
      <c r="AS68" s="162" t="s">
        <v>2</v>
      </c>
    </row>
    <row r="69" spans="1:45" ht="12.75" x14ac:dyDescent="0.2">
      <c r="A69" s="177">
        <v>42628.869821458335</v>
      </c>
      <c r="B69" s="162" t="s">
        <v>1679</v>
      </c>
      <c r="C69" s="162" t="s">
        <v>1680</v>
      </c>
      <c r="D69" s="178">
        <v>80026180</v>
      </c>
      <c r="E69" s="162" t="s">
        <v>1482</v>
      </c>
      <c r="F69" s="162" t="s">
        <v>1526</v>
      </c>
      <c r="G69" s="179">
        <v>42404</v>
      </c>
      <c r="H69" s="162" t="s">
        <v>1681</v>
      </c>
      <c r="I69" s="162" t="s">
        <v>1092</v>
      </c>
      <c r="J69" s="162" t="s">
        <v>1092</v>
      </c>
      <c r="K69" s="162" t="s">
        <v>2</v>
      </c>
      <c r="L69" s="162" t="s">
        <v>2</v>
      </c>
      <c r="M69" s="162" t="s">
        <v>1092</v>
      </c>
      <c r="N69" s="162" t="s">
        <v>2</v>
      </c>
      <c r="O69" s="162" t="s">
        <v>2</v>
      </c>
      <c r="P69" s="162" t="s">
        <v>2</v>
      </c>
      <c r="Q69" s="162" t="s">
        <v>3</v>
      </c>
      <c r="R69" s="162" t="s">
        <v>5</v>
      </c>
      <c r="S69" s="162" t="s">
        <v>5</v>
      </c>
      <c r="T69" s="162" t="s">
        <v>5</v>
      </c>
      <c r="U69" s="162" t="s">
        <v>5</v>
      </c>
      <c r="V69" s="162" t="s">
        <v>5</v>
      </c>
      <c r="W69" s="162" t="s">
        <v>5</v>
      </c>
      <c r="X69" s="162" t="s">
        <v>3</v>
      </c>
      <c r="Y69" s="162" t="s">
        <v>3</v>
      </c>
      <c r="Z69" s="162" t="s">
        <v>3</v>
      </c>
      <c r="AA69" s="162" t="s">
        <v>2</v>
      </c>
      <c r="AB69" s="162" t="s">
        <v>3</v>
      </c>
      <c r="AC69" s="162" t="s">
        <v>1092</v>
      </c>
      <c r="AD69" s="162" t="s">
        <v>1092</v>
      </c>
      <c r="AE69" s="162" t="s">
        <v>1092</v>
      </c>
      <c r="AF69" s="162" t="s">
        <v>1092</v>
      </c>
      <c r="AG69" s="162" t="s">
        <v>1092</v>
      </c>
      <c r="AH69" s="162" t="s">
        <v>1092</v>
      </c>
      <c r="AI69" s="162" t="s">
        <v>1092</v>
      </c>
      <c r="AJ69" s="162" t="s">
        <v>1092</v>
      </c>
      <c r="AK69" s="162" t="s">
        <v>2</v>
      </c>
      <c r="AL69" s="162" t="s">
        <v>2</v>
      </c>
      <c r="AM69" s="162" t="s">
        <v>2</v>
      </c>
      <c r="AN69" s="162" t="s">
        <v>2</v>
      </c>
      <c r="AO69" s="162" t="s">
        <v>3</v>
      </c>
      <c r="AP69" s="162" t="s">
        <v>3</v>
      </c>
      <c r="AQ69" s="162" t="s">
        <v>2</v>
      </c>
      <c r="AR69" s="162" t="s">
        <v>2</v>
      </c>
      <c r="AS69" s="162" t="s">
        <v>3</v>
      </c>
    </row>
    <row r="70" spans="1:45" ht="12.75" x14ac:dyDescent="0.2">
      <c r="A70" s="177">
        <v>42629.377396412034</v>
      </c>
      <c r="B70" s="162" t="s">
        <v>1682</v>
      </c>
      <c r="C70" s="162" t="s">
        <v>1683</v>
      </c>
      <c r="D70" s="178">
        <v>79409532</v>
      </c>
      <c r="E70" s="162" t="s">
        <v>1482</v>
      </c>
      <c r="F70" s="162" t="s">
        <v>1488</v>
      </c>
      <c r="G70" s="179">
        <v>40400</v>
      </c>
      <c r="H70" s="162" t="s">
        <v>1684</v>
      </c>
      <c r="I70" s="162" t="s">
        <v>3</v>
      </c>
      <c r="J70" s="162" t="s">
        <v>3</v>
      </c>
      <c r="K70" s="162" t="s">
        <v>1092</v>
      </c>
      <c r="L70" s="162" t="s">
        <v>3</v>
      </c>
      <c r="M70" s="162" t="s">
        <v>2</v>
      </c>
      <c r="N70" s="162" t="s">
        <v>1092</v>
      </c>
      <c r="O70" s="162" t="s">
        <v>2</v>
      </c>
      <c r="P70" s="162" t="s">
        <v>3</v>
      </c>
      <c r="Q70" s="162" t="s">
        <v>3</v>
      </c>
      <c r="R70" s="162" t="s">
        <v>1</v>
      </c>
      <c r="S70" s="162" t="s">
        <v>1</v>
      </c>
      <c r="T70" s="162" t="s">
        <v>2</v>
      </c>
      <c r="U70" s="162" t="s">
        <v>1092</v>
      </c>
      <c r="V70" s="162" t="s">
        <v>1</v>
      </c>
      <c r="W70" s="162" t="s">
        <v>2</v>
      </c>
      <c r="X70" s="162" t="s">
        <v>2</v>
      </c>
      <c r="Y70" s="162" t="s">
        <v>2</v>
      </c>
      <c r="Z70" s="162" t="s">
        <v>2</v>
      </c>
      <c r="AA70" s="162" t="s">
        <v>2</v>
      </c>
      <c r="AB70" s="162" t="s">
        <v>1092</v>
      </c>
      <c r="AC70" s="162" t="s">
        <v>2</v>
      </c>
      <c r="AD70" s="162" t="s">
        <v>2</v>
      </c>
      <c r="AE70" s="162" t="s">
        <v>3</v>
      </c>
      <c r="AF70" s="162" t="s">
        <v>2</v>
      </c>
      <c r="AG70" s="162" t="s">
        <v>3</v>
      </c>
      <c r="AH70" s="162" t="s">
        <v>1092</v>
      </c>
      <c r="AI70" s="162" t="s">
        <v>1092</v>
      </c>
      <c r="AJ70" s="162" t="s">
        <v>1092</v>
      </c>
      <c r="AK70" s="162" t="s">
        <v>3</v>
      </c>
      <c r="AL70" s="162" t="s">
        <v>3</v>
      </c>
      <c r="AM70" s="162" t="s">
        <v>3</v>
      </c>
      <c r="AN70" s="162" t="s">
        <v>2</v>
      </c>
      <c r="AO70" s="162" t="s">
        <v>2</v>
      </c>
      <c r="AP70" s="162" t="s">
        <v>3</v>
      </c>
      <c r="AQ70" s="162" t="s">
        <v>2</v>
      </c>
      <c r="AR70" s="162" t="s">
        <v>2</v>
      </c>
      <c r="AS70" s="162" t="s">
        <v>2</v>
      </c>
    </row>
    <row r="71" spans="1:45" ht="12.75" x14ac:dyDescent="0.2">
      <c r="A71" s="177">
        <v>42629.438999039354</v>
      </c>
      <c r="B71" s="162" t="s">
        <v>1685</v>
      </c>
      <c r="C71" s="162" t="s">
        <v>1686</v>
      </c>
      <c r="D71" s="178">
        <v>1013622686</v>
      </c>
      <c r="E71" s="162" t="s">
        <v>1482</v>
      </c>
      <c r="F71" s="162" t="s">
        <v>1488</v>
      </c>
      <c r="G71" s="179">
        <v>42262</v>
      </c>
      <c r="H71" s="162" t="s">
        <v>1687</v>
      </c>
      <c r="I71" s="162" t="s">
        <v>2</v>
      </c>
      <c r="J71" s="162" t="s">
        <v>5</v>
      </c>
      <c r="K71" s="162" t="s">
        <v>1092</v>
      </c>
      <c r="L71" s="162" t="s">
        <v>3</v>
      </c>
      <c r="M71" s="162" t="s">
        <v>3</v>
      </c>
      <c r="N71" s="162" t="s">
        <v>1092</v>
      </c>
      <c r="O71" s="162" t="s">
        <v>3</v>
      </c>
      <c r="P71" s="162" t="s">
        <v>3</v>
      </c>
      <c r="Q71" s="162" t="s">
        <v>3</v>
      </c>
      <c r="R71" s="162" t="s">
        <v>2</v>
      </c>
      <c r="S71" s="162" t="s">
        <v>1092</v>
      </c>
      <c r="T71" s="162" t="s">
        <v>3</v>
      </c>
      <c r="U71" s="162" t="s">
        <v>1092</v>
      </c>
      <c r="V71" s="162" t="s">
        <v>3</v>
      </c>
      <c r="W71" s="162" t="s">
        <v>1092</v>
      </c>
      <c r="X71" s="162" t="s">
        <v>2</v>
      </c>
      <c r="Y71" s="162" t="s">
        <v>2</v>
      </c>
      <c r="Z71" s="162" t="s">
        <v>2</v>
      </c>
      <c r="AA71" s="162" t="s">
        <v>3</v>
      </c>
      <c r="AB71" s="162" t="s">
        <v>1092</v>
      </c>
      <c r="AC71" s="162" t="s">
        <v>5</v>
      </c>
      <c r="AD71" s="162" t="s">
        <v>3</v>
      </c>
      <c r="AE71" s="162" t="s">
        <v>3</v>
      </c>
      <c r="AF71" s="162" t="s">
        <v>5</v>
      </c>
      <c r="AG71" s="162" t="s">
        <v>1092</v>
      </c>
      <c r="AH71" s="162" t="s">
        <v>1092</v>
      </c>
      <c r="AI71" s="162" t="s">
        <v>1092</v>
      </c>
      <c r="AJ71" s="162" t="s">
        <v>1092</v>
      </c>
      <c r="AK71" s="162" t="s">
        <v>3</v>
      </c>
      <c r="AL71" s="162" t="s">
        <v>2</v>
      </c>
      <c r="AM71" s="162" t="s">
        <v>2</v>
      </c>
      <c r="AN71" s="162" t="s">
        <v>2</v>
      </c>
      <c r="AO71" s="162" t="s">
        <v>2</v>
      </c>
      <c r="AP71" s="162" t="s">
        <v>3</v>
      </c>
      <c r="AQ71" s="162" t="s">
        <v>3</v>
      </c>
      <c r="AR71" s="162" t="s">
        <v>2</v>
      </c>
      <c r="AS71" s="162" t="s">
        <v>2</v>
      </c>
    </row>
    <row r="72" spans="1:45" ht="12.75" x14ac:dyDescent="0.2">
      <c r="A72" s="177">
        <v>42629.522515983801</v>
      </c>
      <c r="B72" s="162" t="s">
        <v>1688</v>
      </c>
      <c r="C72" s="162" t="s">
        <v>1689</v>
      </c>
      <c r="D72" s="178">
        <v>17016362</v>
      </c>
      <c r="E72" s="162" t="s">
        <v>1482</v>
      </c>
      <c r="F72" s="162" t="s">
        <v>1488</v>
      </c>
      <c r="G72" s="179">
        <v>35445</v>
      </c>
      <c r="H72" s="162" t="s">
        <v>1690</v>
      </c>
      <c r="I72" s="162" t="s">
        <v>1092</v>
      </c>
      <c r="J72" s="162" t="s">
        <v>1092</v>
      </c>
      <c r="K72" s="162" t="s">
        <v>1092</v>
      </c>
      <c r="L72" s="162" t="s">
        <v>1092</v>
      </c>
      <c r="M72" s="162" t="s">
        <v>1092</v>
      </c>
      <c r="N72" s="162" t="s">
        <v>1092</v>
      </c>
      <c r="O72" s="162" t="s">
        <v>1092</v>
      </c>
      <c r="P72" s="162" t="s">
        <v>1092</v>
      </c>
      <c r="Q72" s="162" t="s">
        <v>1092</v>
      </c>
      <c r="R72" s="162" t="s">
        <v>3</v>
      </c>
      <c r="S72" s="162" t="s">
        <v>3</v>
      </c>
      <c r="T72" s="162" t="s">
        <v>2</v>
      </c>
      <c r="U72" s="162" t="s">
        <v>1092</v>
      </c>
      <c r="V72" s="162" t="s">
        <v>1092</v>
      </c>
      <c r="W72" s="162" t="s">
        <v>1092</v>
      </c>
      <c r="X72" s="162" t="s">
        <v>3</v>
      </c>
      <c r="Y72" s="162" t="s">
        <v>1092</v>
      </c>
      <c r="Z72" s="162" t="s">
        <v>1092</v>
      </c>
      <c r="AA72" s="162" t="s">
        <v>1092</v>
      </c>
      <c r="AB72" s="162" t="s">
        <v>1092</v>
      </c>
      <c r="AC72" s="162" t="s">
        <v>1092</v>
      </c>
      <c r="AD72" s="162" t="s">
        <v>1092</v>
      </c>
      <c r="AE72" s="162" t="s">
        <v>1092</v>
      </c>
      <c r="AF72" s="162" t="s">
        <v>1092</v>
      </c>
      <c r="AG72" s="162" t="s">
        <v>1092</v>
      </c>
      <c r="AH72" s="162" t="s">
        <v>1092</v>
      </c>
      <c r="AI72" s="162" t="s">
        <v>1092</v>
      </c>
      <c r="AJ72" s="162" t="s">
        <v>1092</v>
      </c>
      <c r="AK72" s="162" t="s">
        <v>1092</v>
      </c>
      <c r="AL72" s="162" t="s">
        <v>1092</v>
      </c>
      <c r="AM72" s="162" t="s">
        <v>1092</v>
      </c>
      <c r="AN72" s="162" t="s">
        <v>1092</v>
      </c>
      <c r="AO72" s="162" t="s">
        <v>1092</v>
      </c>
      <c r="AP72" s="162" t="s">
        <v>1092</v>
      </c>
      <c r="AQ72" s="162" t="s">
        <v>1092</v>
      </c>
      <c r="AR72" s="162" t="s">
        <v>3</v>
      </c>
      <c r="AS72" s="162" t="s">
        <v>1092</v>
      </c>
    </row>
    <row r="73" spans="1:45" ht="12.75" x14ac:dyDescent="0.2">
      <c r="A73" s="177">
        <v>42629.617753090279</v>
      </c>
      <c r="B73" s="162" t="s">
        <v>1691</v>
      </c>
      <c r="C73" s="162" t="s">
        <v>1692</v>
      </c>
      <c r="D73" s="178">
        <v>20885480</v>
      </c>
      <c r="E73" s="162" t="s">
        <v>1320</v>
      </c>
      <c r="F73" s="162" t="s">
        <v>1620</v>
      </c>
      <c r="G73" s="179">
        <v>35600</v>
      </c>
      <c r="H73" s="162" t="s">
        <v>1693</v>
      </c>
      <c r="I73" s="162" t="s">
        <v>5</v>
      </c>
      <c r="J73" s="162" t="s">
        <v>5</v>
      </c>
      <c r="K73" s="162" t="s">
        <v>1093</v>
      </c>
      <c r="L73" s="162" t="s">
        <v>1093</v>
      </c>
      <c r="M73" s="162" t="s">
        <v>5</v>
      </c>
      <c r="N73" s="162" t="s">
        <v>5</v>
      </c>
      <c r="O73" s="162" t="s">
        <v>5</v>
      </c>
      <c r="P73" s="162" t="s">
        <v>1092</v>
      </c>
      <c r="Q73" s="162" t="s">
        <v>5</v>
      </c>
      <c r="R73" s="162" t="s">
        <v>5</v>
      </c>
      <c r="S73" s="162" t="s">
        <v>1093</v>
      </c>
      <c r="T73" s="162" t="s">
        <v>5</v>
      </c>
      <c r="U73" s="162" t="s">
        <v>1093</v>
      </c>
      <c r="V73" s="162" t="s">
        <v>1093</v>
      </c>
      <c r="W73" s="162" t="s">
        <v>1093</v>
      </c>
      <c r="X73" s="162" t="s">
        <v>1093</v>
      </c>
      <c r="Y73" s="162" t="s">
        <v>5</v>
      </c>
      <c r="Z73" s="162" t="s">
        <v>3</v>
      </c>
      <c r="AA73" s="162" t="s">
        <v>5</v>
      </c>
      <c r="AB73" s="162" t="s">
        <v>1093</v>
      </c>
      <c r="AC73" s="162" t="s">
        <v>3</v>
      </c>
      <c r="AD73" s="162" t="s">
        <v>2</v>
      </c>
      <c r="AE73" s="162" t="s">
        <v>1092</v>
      </c>
      <c r="AF73" s="162" t="s">
        <v>1093</v>
      </c>
      <c r="AG73" s="162" t="s">
        <v>1093</v>
      </c>
      <c r="AH73" s="162" t="s">
        <v>1093</v>
      </c>
      <c r="AI73" s="162" t="s">
        <v>1093</v>
      </c>
      <c r="AJ73" s="162" t="s">
        <v>1093</v>
      </c>
      <c r="AK73" s="162" t="s">
        <v>2</v>
      </c>
      <c r="AL73" s="162" t="s">
        <v>5</v>
      </c>
      <c r="AM73" s="162" t="s">
        <v>3</v>
      </c>
      <c r="AN73" s="162" t="s">
        <v>1092</v>
      </c>
      <c r="AO73" s="162" t="s">
        <v>3</v>
      </c>
      <c r="AP73" s="162" t="s">
        <v>3</v>
      </c>
      <c r="AQ73" s="162" t="s">
        <v>3</v>
      </c>
      <c r="AR73" s="162" t="s">
        <v>3</v>
      </c>
      <c r="AS73" s="162" t="s">
        <v>3</v>
      </c>
    </row>
    <row r="74" spans="1:45" ht="12.75" x14ac:dyDescent="0.2">
      <c r="A74" s="177">
        <v>42629.624884942124</v>
      </c>
      <c r="B74" s="162" t="s">
        <v>1694</v>
      </c>
      <c r="C74" s="162" t="s">
        <v>1695</v>
      </c>
      <c r="D74" s="178">
        <v>19376389</v>
      </c>
      <c r="E74" s="162" t="s">
        <v>1320</v>
      </c>
      <c r="F74" s="162" t="s">
        <v>1620</v>
      </c>
      <c r="G74" s="179">
        <v>32954</v>
      </c>
      <c r="H74" s="162" t="s">
        <v>1696</v>
      </c>
      <c r="I74" s="162" t="s">
        <v>3</v>
      </c>
      <c r="J74" s="162" t="s">
        <v>3</v>
      </c>
      <c r="K74" s="162" t="s">
        <v>1093</v>
      </c>
      <c r="L74" s="162" t="s">
        <v>1093</v>
      </c>
      <c r="M74" s="162" t="s">
        <v>5</v>
      </c>
      <c r="N74" s="162" t="s">
        <v>5</v>
      </c>
      <c r="O74" s="162" t="s">
        <v>5</v>
      </c>
      <c r="P74" s="162" t="s">
        <v>5</v>
      </c>
      <c r="Q74" s="162" t="s">
        <v>5</v>
      </c>
      <c r="R74" s="162" t="s">
        <v>3</v>
      </c>
      <c r="S74" s="162" t="s">
        <v>3</v>
      </c>
      <c r="T74" s="162" t="s">
        <v>3</v>
      </c>
      <c r="U74" s="162" t="s">
        <v>3</v>
      </c>
      <c r="V74" s="162" t="s">
        <v>3</v>
      </c>
      <c r="W74" s="162" t="s">
        <v>3</v>
      </c>
      <c r="X74" s="162" t="s">
        <v>3</v>
      </c>
      <c r="Y74" s="162" t="s">
        <v>3</v>
      </c>
      <c r="Z74" s="162" t="s">
        <v>3</v>
      </c>
      <c r="AA74" s="162" t="s">
        <v>3</v>
      </c>
      <c r="AB74" s="162" t="s">
        <v>3</v>
      </c>
      <c r="AC74" s="162" t="s">
        <v>3</v>
      </c>
      <c r="AD74" s="162" t="s">
        <v>3</v>
      </c>
      <c r="AE74" s="162" t="s">
        <v>3</v>
      </c>
      <c r="AF74" s="162" t="s">
        <v>3</v>
      </c>
      <c r="AG74" s="162" t="s">
        <v>3</v>
      </c>
      <c r="AH74" s="162" t="s">
        <v>1</v>
      </c>
      <c r="AI74" s="162" t="s">
        <v>3</v>
      </c>
      <c r="AJ74" s="162" t="s">
        <v>1092</v>
      </c>
      <c r="AK74" s="162" t="s">
        <v>3</v>
      </c>
      <c r="AL74" s="162" t="s">
        <v>3</v>
      </c>
      <c r="AM74" s="162" t="s">
        <v>3</v>
      </c>
      <c r="AN74" s="162" t="s">
        <v>3</v>
      </c>
      <c r="AO74" s="162" t="s">
        <v>3</v>
      </c>
      <c r="AP74" s="162" t="s">
        <v>3</v>
      </c>
      <c r="AQ74" s="162" t="s">
        <v>3</v>
      </c>
      <c r="AR74" s="162" t="s">
        <v>3</v>
      </c>
      <c r="AS74" s="162" t="s">
        <v>3</v>
      </c>
    </row>
    <row r="75" spans="1:45" ht="12.75" x14ac:dyDescent="0.2">
      <c r="A75" s="177">
        <v>42629.630234837961</v>
      </c>
      <c r="B75" s="162" t="s">
        <v>1697</v>
      </c>
      <c r="C75" s="162" t="s">
        <v>1698</v>
      </c>
      <c r="D75" s="178">
        <v>1016003847</v>
      </c>
      <c r="E75" s="162" t="s">
        <v>1482</v>
      </c>
      <c r="F75" s="162" t="s">
        <v>1488</v>
      </c>
      <c r="G75" s="179">
        <v>40983</v>
      </c>
      <c r="H75" s="162" t="s">
        <v>1699</v>
      </c>
      <c r="I75" s="162" t="s">
        <v>2</v>
      </c>
      <c r="J75" s="162" t="s">
        <v>3</v>
      </c>
      <c r="K75" s="162" t="s">
        <v>2</v>
      </c>
      <c r="L75" s="162" t="s">
        <v>2</v>
      </c>
      <c r="M75" s="162" t="s">
        <v>5</v>
      </c>
      <c r="N75" s="162" t="s">
        <v>1092</v>
      </c>
      <c r="O75" s="162" t="s">
        <v>1092</v>
      </c>
      <c r="P75" s="162" t="s">
        <v>1</v>
      </c>
      <c r="Q75" s="162" t="s">
        <v>1</v>
      </c>
      <c r="R75" s="162" t="s">
        <v>1</v>
      </c>
      <c r="S75" s="162" t="s">
        <v>2</v>
      </c>
      <c r="T75" s="162" t="s">
        <v>1</v>
      </c>
      <c r="U75" s="162" t="s">
        <v>3</v>
      </c>
      <c r="V75" s="162" t="s">
        <v>2</v>
      </c>
      <c r="W75" s="162" t="s">
        <v>3</v>
      </c>
      <c r="X75" s="162" t="s">
        <v>1</v>
      </c>
      <c r="Y75" s="162" t="s">
        <v>1</v>
      </c>
      <c r="Z75" s="162" t="s">
        <v>1</v>
      </c>
      <c r="AA75" s="162" t="s">
        <v>1</v>
      </c>
      <c r="AB75" s="162" t="s">
        <v>3</v>
      </c>
      <c r="AC75" s="162" t="s">
        <v>1</v>
      </c>
      <c r="AD75" s="162" t="s">
        <v>1</v>
      </c>
      <c r="AE75" s="162" t="s">
        <v>1</v>
      </c>
      <c r="AF75" s="162" t="s">
        <v>3</v>
      </c>
      <c r="AG75" s="162" t="s">
        <v>3</v>
      </c>
      <c r="AH75" s="162" t="s">
        <v>2</v>
      </c>
      <c r="AI75" s="162" t="s">
        <v>3</v>
      </c>
      <c r="AJ75" s="162" t="s">
        <v>1092</v>
      </c>
      <c r="AK75" s="162" t="s">
        <v>1092</v>
      </c>
      <c r="AL75" s="162" t="s">
        <v>5</v>
      </c>
      <c r="AM75" s="162" t="s">
        <v>3</v>
      </c>
      <c r="AN75" s="162" t="s">
        <v>3</v>
      </c>
      <c r="AO75" s="162" t="s">
        <v>3</v>
      </c>
      <c r="AP75" s="162" t="s">
        <v>1092</v>
      </c>
      <c r="AQ75" s="162" t="s">
        <v>3</v>
      </c>
      <c r="AR75" s="162" t="s">
        <v>1</v>
      </c>
      <c r="AS75" s="162" t="s">
        <v>3</v>
      </c>
    </row>
    <row r="76" spans="1:45" ht="12.75" x14ac:dyDescent="0.2">
      <c r="A76" s="177">
        <v>42629.6332706713</v>
      </c>
      <c r="B76" s="162" t="s">
        <v>1700</v>
      </c>
      <c r="C76" s="162" t="s">
        <v>1701</v>
      </c>
      <c r="D76" s="178">
        <v>79728604</v>
      </c>
      <c r="E76" s="162" t="s">
        <v>1482</v>
      </c>
      <c r="F76" s="162" t="s">
        <v>1488</v>
      </c>
      <c r="G76" s="179">
        <v>41487</v>
      </c>
      <c r="H76" s="162" t="s">
        <v>1702</v>
      </c>
      <c r="I76" s="162" t="s">
        <v>2</v>
      </c>
      <c r="J76" s="162" t="s">
        <v>5</v>
      </c>
      <c r="K76" s="162" t="s">
        <v>3</v>
      </c>
      <c r="L76" s="162" t="s">
        <v>2</v>
      </c>
      <c r="M76" s="162" t="s">
        <v>1093</v>
      </c>
      <c r="N76" s="162" t="s">
        <v>1093</v>
      </c>
      <c r="O76" s="162" t="s">
        <v>1093</v>
      </c>
      <c r="P76" s="162" t="s">
        <v>3</v>
      </c>
      <c r="Q76" s="162" t="s">
        <v>1092</v>
      </c>
      <c r="R76" s="162" t="s">
        <v>1</v>
      </c>
      <c r="S76" s="162" t="s">
        <v>2</v>
      </c>
      <c r="T76" s="162" t="s">
        <v>2</v>
      </c>
      <c r="U76" s="162" t="s">
        <v>5</v>
      </c>
      <c r="V76" s="162" t="s">
        <v>2</v>
      </c>
      <c r="W76" s="162" t="s">
        <v>2</v>
      </c>
      <c r="X76" s="162" t="s">
        <v>1</v>
      </c>
      <c r="Y76" s="162" t="s">
        <v>2</v>
      </c>
      <c r="Z76" s="162" t="s">
        <v>2</v>
      </c>
      <c r="AA76" s="162" t="s">
        <v>2</v>
      </c>
      <c r="AB76" s="162" t="s">
        <v>2</v>
      </c>
      <c r="AC76" s="162" t="s">
        <v>2</v>
      </c>
      <c r="AD76" s="162" t="s">
        <v>2</v>
      </c>
      <c r="AE76" s="162" t="s">
        <v>3</v>
      </c>
      <c r="AF76" s="162" t="s">
        <v>5</v>
      </c>
      <c r="AG76" s="162" t="s">
        <v>1092</v>
      </c>
      <c r="AH76" s="162" t="s">
        <v>2</v>
      </c>
      <c r="AI76" s="162" t="s">
        <v>3</v>
      </c>
      <c r="AJ76" s="162" t="s">
        <v>3</v>
      </c>
      <c r="AK76" s="162" t="s">
        <v>2</v>
      </c>
      <c r="AL76" s="162" t="s">
        <v>3</v>
      </c>
      <c r="AM76" s="162" t="s">
        <v>2</v>
      </c>
      <c r="AN76" s="162" t="s">
        <v>2</v>
      </c>
      <c r="AO76" s="162" t="s">
        <v>3</v>
      </c>
      <c r="AP76" s="162" t="s">
        <v>3</v>
      </c>
      <c r="AQ76" s="162" t="s">
        <v>2</v>
      </c>
      <c r="AR76" s="162" t="s">
        <v>2</v>
      </c>
      <c r="AS76" s="162" t="s">
        <v>2</v>
      </c>
    </row>
    <row r="77" spans="1:45" ht="12.75" x14ac:dyDescent="0.2">
      <c r="A77" s="177">
        <v>42629.638177407411</v>
      </c>
      <c r="B77" s="162" t="s">
        <v>1703</v>
      </c>
      <c r="C77" s="162" t="s">
        <v>1704</v>
      </c>
      <c r="D77" s="178">
        <v>1024498949</v>
      </c>
      <c r="E77" s="162" t="s">
        <v>1482</v>
      </c>
      <c r="F77" s="162" t="s">
        <v>1516</v>
      </c>
      <c r="G77" s="179">
        <v>40801</v>
      </c>
      <c r="H77" s="162" t="s">
        <v>1705</v>
      </c>
      <c r="I77" s="162" t="s">
        <v>3</v>
      </c>
      <c r="J77" s="162" t="s">
        <v>1092</v>
      </c>
      <c r="K77" s="162" t="s">
        <v>1092</v>
      </c>
      <c r="L77" s="162" t="s">
        <v>1092</v>
      </c>
      <c r="M77" s="162" t="s">
        <v>3</v>
      </c>
      <c r="N77" s="162" t="s">
        <v>1092</v>
      </c>
      <c r="O77" s="162" t="s">
        <v>1092</v>
      </c>
      <c r="P77" s="162" t="s">
        <v>3</v>
      </c>
      <c r="Q77" s="162" t="s">
        <v>1092</v>
      </c>
      <c r="R77" s="162" t="s">
        <v>1092</v>
      </c>
      <c r="S77" s="162" t="s">
        <v>1092</v>
      </c>
      <c r="T77" s="162" t="s">
        <v>3</v>
      </c>
      <c r="U77" s="162" t="s">
        <v>1092</v>
      </c>
      <c r="V77" s="162" t="s">
        <v>3</v>
      </c>
      <c r="W77" s="162" t="s">
        <v>3</v>
      </c>
      <c r="X77" s="162" t="s">
        <v>3</v>
      </c>
      <c r="Y77" s="162" t="s">
        <v>3</v>
      </c>
      <c r="Z77" s="162" t="s">
        <v>3</v>
      </c>
      <c r="AA77" s="162" t="s">
        <v>3</v>
      </c>
      <c r="AB77" s="162" t="s">
        <v>3</v>
      </c>
      <c r="AC77" s="162" t="s">
        <v>3</v>
      </c>
      <c r="AD77" s="162" t="s">
        <v>3</v>
      </c>
      <c r="AE77" s="162" t="s">
        <v>3</v>
      </c>
      <c r="AF77" s="162" t="s">
        <v>3</v>
      </c>
      <c r="AG77" s="162" t="s">
        <v>3</v>
      </c>
      <c r="AH77" s="162" t="s">
        <v>3</v>
      </c>
      <c r="AI77" s="162" t="s">
        <v>3</v>
      </c>
      <c r="AJ77" s="162" t="s">
        <v>1092</v>
      </c>
      <c r="AK77" s="162" t="s">
        <v>3</v>
      </c>
      <c r="AL77" s="162" t="s">
        <v>3</v>
      </c>
      <c r="AM77" s="162" t="s">
        <v>3</v>
      </c>
      <c r="AN77" s="162" t="s">
        <v>3</v>
      </c>
      <c r="AO77" s="162" t="s">
        <v>3</v>
      </c>
      <c r="AP77" s="162" t="s">
        <v>3</v>
      </c>
      <c r="AQ77" s="162" t="s">
        <v>3</v>
      </c>
      <c r="AR77" s="162" t="s">
        <v>3</v>
      </c>
      <c r="AS77" s="162" t="s">
        <v>3</v>
      </c>
    </row>
    <row r="78" spans="1:45" ht="12.75" x14ac:dyDescent="0.2">
      <c r="A78" s="177">
        <v>42629.689726817131</v>
      </c>
      <c r="B78" s="162" t="s">
        <v>1706</v>
      </c>
      <c r="C78" s="162" t="s">
        <v>1707</v>
      </c>
      <c r="D78" s="178">
        <v>1022974804</v>
      </c>
      <c r="E78" s="162" t="s">
        <v>1482</v>
      </c>
      <c r="F78" s="162" t="s">
        <v>1488</v>
      </c>
      <c r="G78" s="179">
        <v>42043</v>
      </c>
      <c r="H78" s="162" t="s">
        <v>1708</v>
      </c>
      <c r="I78" s="162" t="s">
        <v>1092</v>
      </c>
      <c r="J78" s="162" t="s">
        <v>1092</v>
      </c>
      <c r="K78" s="162" t="s">
        <v>1092</v>
      </c>
      <c r="L78" s="162" t="s">
        <v>1092</v>
      </c>
      <c r="M78" s="162" t="s">
        <v>2</v>
      </c>
      <c r="N78" s="162" t="s">
        <v>1092</v>
      </c>
      <c r="O78" s="162" t="s">
        <v>2</v>
      </c>
      <c r="P78" s="162" t="s">
        <v>3</v>
      </c>
      <c r="Q78" s="162" t="s">
        <v>1093</v>
      </c>
      <c r="R78" s="162" t="s">
        <v>2</v>
      </c>
      <c r="S78" s="162" t="s">
        <v>1092</v>
      </c>
      <c r="T78" s="162" t="s">
        <v>2</v>
      </c>
      <c r="U78" s="162" t="s">
        <v>1092</v>
      </c>
      <c r="V78" s="162" t="s">
        <v>1</v>
      </c>
      <c r="W78" s="162" t="s">
        <v>5</v>
      </c>
      <c r="X78" s="162" t="s">
        <v>1092</v>
      </c>
      <c r="Y78" s="162" t="s">
        <v>2</v>
      </c>
      <c r="Z78" s="162" t="s">
        <v>2</v>
      </c>
      <c r="AA78" s="162" t="s">
        <v>3</v>
      </c>
      <c r="AB78" s="162" t="s">
        <v>1092</v>
      </c>
      <c r="AC78" s="162" t="s">
        <v>1</v>
      </c>
      <c r="AD78" s="162" t="s">
        <v>2</v>
      </c>
      <c r="AE78" s="162" t="s">
        <v>2</v>
      </c>
      <c r="AF78" s="162" t="s">
        <v>1</v>
      </c>
      <c r="AG78" s="162" t="s">
        <v>1092</v>
      </c>
      <c r="AH78" s="162" t="s">
        <v>1092</v>
      </c>
      <c r="AI78" s="162" t="s">
        <v>1092</v>
      </c>
      <c r="AJ78" s="162" t="s">
        <v>5</v>
      </c>
      <c r="AK78" s="162" t="s">
        <v>1093</v>
      </c>
      <c r="AL78" s="162" t="s">
        <v>1092</v>
      </c>
      <c r="AM78" s="162" t="s">
        <v>1092</v>
      </c>
      <c r="AN78" s="162" t="s">
        <v>1092</v>
      </c>
      <c r="AO78" s="162" t="s">
        <v>1092</v>
      </c>
      <c r="AP78" s="162" t="s">
        <v>1092</v>
      </c>
      <c r="AQ78" s="162" t="s">
        <v>1092</v>
      </c>
      <c r="AR78" s="162" t="s">
        <v>1092</v>
      </c>
      <c r="AS78" s="162" t="s">
        <v>1</v>
      </c>
    </row>
    <row r="79" spans="1:45" ht="12.75" x14ac:dyDescent="0.2">
      <c r="A79" s="177">
        <v>42629.690127187496</v>
      </c>
      <c r="B79" s="162" t="s">
        <v>1709</v>
      </c>
      <c r="C79" s="162" t="s">
        <v>1710</v>
      </c>
      <c r="D79" s="178">
        <v>19444537</v>
      </c>
      <c r="E79" s="162" t="s">
        <v>1320</v>
      </c>
      <c r="F79" s="162" t="s">
        <v>1660</v>
      </c>
      <c r="G79" s="179">
        <v>36376</v>
      </c>
      <c r="H79" s="162" t="s">
        <v>1711</v>
      </c>
      <c r="I79" s="162" t="s">
        <v>3</v>
      </c>
      <c r="J79" s="162" t="s">
        <v>3</v>
      </c>
      <c r="K79" s="162" t="s">
        <v>2</v>
      </c>
      <c r="L79" s="162" t="s">
        <v>2</v>
      </c>
      <c r="M79" s="162" t="s">
        <v>1</v>
      </c>
      <c r="N79" s="162" t="s">
        <v>2</v>
      </c>
      <c r="O79" s="162" t="s">
        <v>1093</v>
      </c>
      <c r="P79" s="162" t="s">
        <v>1093</v>
      </c>
      <c r="Q79" s="162" t="s">
        <v>1093</v>
      </c>
      <c r="R79" s="162" t="s">
        <v>1093</v>
      </c>
      <c r="S79" s="162" t="s">
        <v>1</v>
      </c>
      <c r="T79" s="162" t="s">
        <v>1</v>
      </c>
      <c r="U79" s="162" t="s">
        <v>1093</v>
      </c>
      <c r="V79" s="162" t="s">
        <v>1</v>
      </c>
      <c r="W79" s="162" t="s">
        <v>2</v>
      </c>
      <c r="X79" s="162" t="s">
        <v>1</v>
      </c>
      <c r="Y79" s="162" t="s">
        <v>1093</v>
      </c>
      <c r="Z79" s="162" t="s">
        <v>1</v>
      </c>
      <c r="AA79" s="162" t="s">
        <v>1</v>
      </c>
      <c r="AB79" s="162" t="s">
        <v>1093</v>
      </c>
      <c r="AC79" s="162" t="s">
        <v>1093</v>
      </c>
      <c r="AD79" s="162" t="s">
        <v>1093</v>
      </c>
      <c r="AE79" s="162" t="s">
        <v>1093</v>
      </c>
      <c r="AF79" s="162" t="s">
        <v>1093</v>
      </c>
      <c r="AG79" s="162" t="s">
        <v>2</v>
      </c>
      <c r="AH79" s="162" t="s">
        <v>2</v>
      </c>
      <c r="AI79" s="162" t="s">
        <v>2</v>
      </c>
      <c r="AJ79" s="162" t="s">
        <v>3</v>
      </c>
      <c r="AK79" s="162" t="s">
        <v>1</v>
      </c>
      <c r="AL79" s="162" t="s">
        <v>1093</v>
      </c>
      <c r="AM79" s="162" t="s">
        <v>1</v>
      </c>
      <c r="AN79" s="162" t="s">
        <v>1</v>
      </c>
      <c r="AO79" s="162" t="s">
        <v>1</v>
      </c>
      <c r="AP79" s="162" t="s">
        <v>1</v>
      </c>
      <c r="AQ79" s="162" t="s">
        <v>1</v>
      </c>
      <c r="AR79" s="162" t="s">
        <v>1</v>
      </c>
      <c r="AS79" s="162" t="s">
        <v>2</v>
      </c>
    </row>
    <row r="80" spans="1:45" ht="12.75" x14ac:dyDescent="0.2">
      <c r="A80" s="177">
        <v>42629.695366284723</v>
      </c>
      <c r="B80" s="162" t="s">
        <v>1712</v>
      </c>
      <c r="C80" s="162" t="s">
        <v>1713</v>
      </c>
      <c r="D80" s="178">
        <v>79205591</v>
      </c>
      <c r="E80" s="162" t="s">
        <v>1482</v>
      </c>
      <c r="F80" s="162" t="s">
        <v>1660</v>
      </c>
      <c r="G80" s="179">
        <v>41351</v>
      </c>
      <c r="H80" s="162" t="s">
        <v>1714</v>
      </c>
      <c r="I80" s="162" t="s">
        <v>3</v>
      </c>
      <c r="J80" s="162" t="s">
        <v>3</v>
      </c>
      <c r="K80" s="162" t="s">
        <v>3</v>
      </c>
      <c r="L80" s="162" t="s">
        <v>3</v>
      </c>
      <c r="M80" s="162" t="s">
        <v>3</v>
      </c>
      <c r="N80" s="162" t="s">
        <v>3</v>
      </c>
      <c r="O80" s="162" t="s">
        <v>5</v>
      </c>
      <c r="P80" s="162" t="s">
        <v>5</v>
      </c>
      <c r="Q80" s="162" t="s">
        <v>5</v>
      </c>
      <c r="R80" s="162" t="s">
        <v>2</v>
      </c>
      <c r="S80" s="162" t="s">
        <v>3</v>
      </c>
      <c r="T80" s="162" t="s">
        <v>3</v>
      </c>
      <c r="U80" s="162" t="s">
        <v>3</v>
      </c>
      <c r="V80" s="162" t="s">
        <v>3</v>
      </c>
      <c r="W80" s="162" t="s">
        <v>3</v>
      </c>
      <c r="X80" s="162" t="s">
        <v>3</v>
      </c>
      <c r="Y80" s="162" t="s">
        <v>3</v>
      </c>
      <c r="Z80" s="162" t="s">
        <v>3</v>
      </c>
      <c r="AA80" s="162" t="s">
        <v>2</v>
      </c>
      <c r="AB80" s="162" t="s">
        <v>3</v>
      </c>
      <c r="AC80" s="162" t="s">
        <v>3</v>
      </c>
      <c r="AD80" s="162" t="s">
        <v>3</v>
      </c>
      <c r="AE80" s="162" t="s">
        <v>3</v>
      </c>
      <c r="AF80" s="162" t="s">
        <v>3</v>
      </c>
      <c r="AG80" s="162" t="s">
        <v>3</v>
      </c>
      <c r="AH80" s="162" t="s">
        <v>3</v>
      </c>
      <c r="AI80" s="162" t="s">
        <v>3</v>
      </c>
      <c r="AJ80" s="162" t="s">
        <v>3</v>
      </c>
      <c r="AK80" s="162" t="s">
        <v>3</v>
      </c>
      <c r="AL80" s="162" t="s">
        <v>3</v>
      </c>
      <c r="AM80" s="162" t="s">
        <v>3</v>
      </c>
      <c r="AN80" s="162" t="s">
        <v>3</v>
      </c>
      <c r="AO80" s="162" t="s">
        <v>5</v>
      </c>
      <c r="AP80" s="162" t="s">
        <v>5</v>
      </c>
      <c r="AQ80" s="162" t="s">
        <v>3</v>
      </c>
      <c r="AR80" s="162" t="s">
        <v>3</v>
      </c>
      <c r="AS80" s="162" t="s">
        <v>3</v>
      </c>
    </row>
    <row r="81" spans="1:45" ht="12.75" x14ac:dyDescent="0.2">
      <c r="A81" s="177">
        <v>42629.700689687495</v>
      </c>
      <c r="B81" s="162" t="s">
        <v>1715</v>
      </c>
      <c r="C81" s="162" t="s">
        <v>1716</v>
      </c>
      <c r="D81" s="178">
        <v>79273199</v>
      </c>
      <c r="E81" s="162" t="s">
        <v>1320</v>
      </c>
      <c r="F81" s="162" t="s">
        <v>1660</v>
      </c>
      <c r="G81" s="179">
        <v>37228</v>
      </c>
      <c r="H81" s="162" t="s">
        <v>1717</v>
      </c>
      <c r="I81" s="162" t="s">
        <v>3</v>
      </c>
      <c r="J81" s="162" t="s">
        <v>3</v>
      </c>
      <c r="K81" s="162" t="s">
        <v>2</v>
      </c>
      <c r="L81" s="162" t="s">
        <v>2</v>
      </c>
      <c r="M81" s="162" t="s">
        <v>1</v>
      </c>
      <c r="N81" s="162" t="s">
        <v>2</v>
      </c>
      <c r="O81" s="162" t="s">
        <v>1093</v>
      </c>
      <c r="P81" s="162" t="s">
        <v>1093</v>
      </c>
      <c r="Q81" s="162" t="s">
        <v>1093</v>
      </c>
      <c r="R81" s="162" t="s">
        <v>1093</v>
      </c>
      <c r="S81" s="162" t="s">
        <v>1</v>
      </c>
      <c r="T81" s="162" t="s">
        <v>1</v>
      </c>
      <c r="U81" s="162" t="s">
        <v>1093</v>
      </c>
      <c r="V81" s="162" t="s">
        <v>1</v>
      </c>
      <c r="W81" s="162" t="s">
        <v>2</v>
      </c>
      <c r="X81" s="162" t="s">
        <v>1</v>
      </c>
      <c r="Y81" s="162" t="s">
        <v>1093</v>
      </c>
      <c r="Z81" s="162" t="s">
        <v>1</v>
      </c>
      <c r="AA81" s="162" t="s">
        <v>1</v>
      </c>
      <c r="AB81" s="162" t="s">
        <v>1093</v>
      </c>
      <c r="AC81" s="162" t="s">
        <v>1093</v>
      </c>
      <c r="AD81" s="162" t="s">
        <v>1093</v>
      </c>
      <c r="AE81" s="162" t="s">
        <v>1093</v>
      </c>
      <c r="AF81" s="162" t="s">
        <v>1093</v>
      </c>
      <c r="AG81" s="162" t="s">
        <v>2</v>
      </c>
      <c r="AH81" s="162" t="s">
        <v>2</v>
      </c>
      <c r="AI81" s="162" t="s">
        <v>2</v>
      </c>
      <c r="AJ81" s="162" t="s">
        <v>3</v>
      </c>
      <c r="AK81" s="162" t="s">
        <v>1</v>
      </c>
      <c r="AL81" s="162" t="s">
        <v>1093</v>
      </c>
      <c r="AM81" s="162" t="s">
        <v>1</v>
      </c>
      <c r="AN81" s="162" t="s">
        <v>1</v>
      </c>
      <c r="AO81" s="162" t="s">
        <v>1</v>
      </c>
      <c r="AP81" s="162" t="s">
        <v>1</v>
      </c>
      <c r="AQ81" s="162" t="s">
        <v>1</v>
      </c>
      <c r="AR81" s="162" t="s">
        <v>1093</v>
      </c>
      <c r="AS81" s="162" t="s">
        <v>2</v>
      </c>
    </row>
    <row r="82" spans="1:45" ht="12.75" x14ac:dyDescent="0.2">
      <c r="A82" s="177">
        <v>42629.705809108797</v>
      </c>
      <c r="B82" s="162" t="s">
        <v>1718</v>
      </c>
      <c r="C82" s="162" t="s">
        <v>1719</v>
      </c>
      <c r="D82" s="178">
        <v>79468749</v>
      </c>
      <c r="E82" s="162" t="s">
        <v>1482</v>
      </c>
      <c r="F82" s="162" t="s">
        <v>1660</v>
      </c>
      <c r="G82" s="179">
        <v>41306</v>
      </c>
      <c r="H82" s="162" t="s">
        <v>1720</v>
      </c>
      <c r="I82" s="162" t="s">
        <v>3</v>
      </c>
      <c r="J82" s="162" t="s">
        <v>3</v>
      </c>
      <c r="K82" s="162" t="s">
        <v>3</v>
      </c>
      <c r="L82" s="162" t="s">
        <v>3</v>
      </c>
      <c r="M82" s="162" t="s">
        <v>3</v>
      </c>
      <c r="N82" s="162" t="s">
        <v>3</v>
      </c>
      <c r="O82" s="162" t="s">
        <v>5</v>
      </c>
      <c r="P82" s="162" t="s">
        <v>3</v>
      </c>
      <c r="Q82" s="162" t="s">
        <v>3</v>
      </c>
      <c r="R82" s="162" t="s">
        <v>3</v>
      </c>
      <c r="S82" s="162" t="s">
        <v>3</v>
      </c>
      <c r="T82" s="162" t="s">
        <v>3</v>
      </c>
      <c r="U82" s="162" t="s">
        <v>3</v>
      </c>
      <c r="V82" s="162" t="s">
        <v>3</v>
      </c>
      <c r="W82" s="162" t="s">
        <v>3</v>
      </c>
      <c r="X82" s="162" t="s">
        <v>3</v>
      </c>
      <c r="Y82" s="162" t="s">
        <v>3</v>
      </c>
      <c r="Z82" s="162" t="s">
        <v>3</v>
      </c>
      <c r="AA82" s="162" t="s">
        <v>3</v>
      </c>
      <c r="AB82" s="162" t="s">
        <v>3</v>
      </c>
      <c r="AC82" s="162" t="s">
        <v>3</v>
      </c>
      <c r="AD82" s="162" t="s">
        <v>3</v>
      </c>
      <c r="AE82" s="162" t="s">
        <v>3</v>
      </c>
      <c r="AF82" s="162" t="s">
        <v>3</v>
      </c>
      <c r="AG82" s="162" t="s">
        <v>3</v>
      </c>
      <c r="AH82" s="162" t="s">
        <v>1092</v>
      </c>
      <c r="AI82" s="162" t="s">
        <v>3</v>
      </c>
      <c r="AJ82" s="162" t="s">
        <v>3</v>
      </c>
      <c r="AK82" s="162" t="s">
        <v>3</v>
      </c>
      <c r="AL82" s="162" t="s">
        <v>3</v>
      </c>
      <c r="AM82" s="162" t="s">
        <v>3</v>
      </c>
      <c r="AN82" s="162" t="s">
        <v>3</v>
      </c>
      <c r="AO82" s="162" t="s">
        <v>5</v>
      </c>
      <c r="AP82" s="162" t="s">
        <v>5</v>
      </c>
      <c r="AQ82" s="162" t="s">
        <v>3</v>
      </c>
      <c r="AR82" s="162" t="s">
        <v>3</v>
      </c>
      <c r="AS82" s="162" t="s">
        <v>3</v>
      </c>
    </row>
    <row r="83" spans="1:45" ht="12.75" x14ac:dyDescent="0.2">
      <c r="A83" s="177">
        <v>42629.853635069449</v>
      </c>
      <c r="B83" s="162" t="s">
        <v>1721</v>
      </c>
      <c r="C83" s="162" t="s">
        <v>1722</v>
      </c>
      <c r="D83" s="178">
        <v>75002333</v>
      </c>
      <c r="E83" s="162" t="s">
        <v>1482</v>
      </c>
      <c r="F83" s="162" t="s">
        <v>1488</v>
      </c>
      <c r="G83" s="179">
        <v>42384</v>
      </c>
      <c r="H83" s="162" t="s">
        <v>1723</v>
      </c>
      <c r="I83" s="162" t="s">
        <v>3</v>
      </c>
      <c r="J83" s="162" t="s">
        <v>3</v>
      </c>
      <c r="K83" s="162" t="s">
        <v>1092</v>
      </c>
      <c r="L83" s="162" t="s">
        <v>1093</v>
      </c>
      <c r="M83" s="162" t="s">
        <v>1092</v>
      </c>
      <c r="N83" s="162" t="s">
        <v>1</v>
      </c>
      <c r="O83" s="162" t="s">
        <v>1093</v>
      </c>
      <c r="P83" s="162" t="s">
        <v>1093</v>
      </c>
      <c r="Q83" s="162" t="s">
        <v>1093</v>
      </c>
      <c r="R83" s="162" t="s">
        <v>1093</v>
      </c>
      <c r="S83" s="162" t="s">
        <v>1093</v>
      </c>
      <c r="T83" s="162" t="s">
        <v>1093</v>
      </c>
      <c r="U83" s="162" t="s">
        <v>1092</v>
      </c>
      <c r="V83" s="162" t="s">
        <v>1092</v>
      </c>
      <c r="W83" s="162" t="s">
        <v>1092</v>
      </c>
      <c r="X83" s="162" t="s">
        <v>3</v>
      </c>
      <c r="Y83" s="162" t="s">
        <v>1093</v>
      </c>
      <c r="Z83" s="162" t="s">
        <v>1093</v>
      </c>
      <c r="AA83" s="162" t="s">
        <v>1093</v>
      </c>
      <c r="AB83" s="162" t="s">
        <v>3</v>
      </c>
      <c r="AC83" s="162" t="s">
        <v>5</v>
      </c>
      <c r="AD83" s="162" t="s">
        <v>5</v>
      </c>
      <c r="AE83" s="162" t="s">
        <v>5</v>
      </c>
      <c r="AF83" s="162" t="s">
        <v>5</v>
      </c>
      <c r="AG83" s="162" t="s">
        <v>1092</v>
      </c>
      <c r="AH83" s="162" t="s">
        <v>1093</v>
      </c>
      <c r="AI83" s="162" t="s">
        <v>1092</v>
      </c>
      <c r="AJ83" s="162" t="s">
        <v>1092</v>
      </c>
      <c r="AK83" s="162" t="s">
        <v>1093</v>
      </c>
      <c r="AL83" s="162" t="s">
        <v>1093</v>
      </c>
      <c r="AM83" s="162" t="s">
        <v>2</v>
      </c>
      <c r="AN83" s="162" t="s">
        <v>2</v>
      </c>
      <c r="AO83" s="162" t="s">
        <v>2</v>
      </c>
      <c r="AP83" s="162" t="s">
        <v>3</v>
      </c>
      <c r="AQ83" s="162" t="s">
        <v>2</v>
      </c>
      <c r="AR83" s="162" t="s">
        <v>1093</v>
      </c>
      <c r="AS83" s="162" t="s">
        <v>2</v>
      </c>
    </row>
    <row r="84" spans="1:45" ht="12.75" x14ac:dyDescent="0.2">
      <c r="A84" s="177">
        <v>42630.278727037032</v>
      </c>
      <c r="B84" s="162" t="s">
        <v>1724</v>
      </c>
      <c r="C84" s="162" t="s">
        <v>1725</v>
      </c>
      <c r="D84" s="178">
        <v>1055272879</v>
      </c>
      <c r="E84" s="162" t="s">
        <v>1482</v>
      </c>
      <c r="F84" s="162" t="s">
        <v>1500</v>
      </c>
      <c r="G84" s="179">
        <v>40920</v>
      </c>
      <c r="H84" s="162" t="s">
        <v>1726</v>
      </c>
      <c r="I84" s="162" t="s">
        <v>3</v>
      </c>
      <c r="J84" s="162" t="s">
        <v>2</v>
      </c>
      <c r="K84" s="162" t="s">
        <v>1092</v>
      </c>
      <c r="L84" s="162" t="s">
        <v>1092</v>
      </c>
      <c r="M84" s="162" t="s">
        <v>2</v>
      </c>
      <c r="N84" s="162" t="s">
        <v>1092</v>
      </c>
      <c r="O84" s="162" t="s">
        <v>1092</v>
      </c>
      <c r="P84" s="162" t="s">
        <v>2</v>
      </c>
      <c r="Q84" s="162" t="s">
        <v>1093</v>
      </c>
      <c r="R84" s="162" t="s">
        <v>1093</v>
      </c>
      <c r="S84" s="162" t="s">
        <v>1093</v>
      </c>
      <c r="T84" s="162" t="s">
        <v>2</v>
      </c>
      <c r="U84" s="162" t="s">
        <v>1092</v>
      </c>
      <c r="V84" s="162" t="s">
        <v>3</v>
      </c>
      <c r="W84" s="162" t="s">
        <v>1092</v>
      </c>
      <c r="X84" s="162" t="s">
        <v>3</v>
      </c>
      <c r="Y84" s="162" t="s">
        <v>1093</v>
      </c>
      <c r="Z84" s="162" t="s">
        <v>3</v>
      </c>
      <c r="AA84" s="162" t="s">
        <v>1</v>
      </c>
      <c r="AB84" s="162" t="s">
        <v>1092</v>
      </c>
      <c r="AC84" s="162" t="s">
        <v>2</v>
      </c>
      <c r="AD84" s="162" t="s">
        <v>1092</v>
      </c>
      <c r="AE84" s="162" t="s">
        <v>1092</v>
      </c>
      <c r="AF84" s="162" t="s">
        <v>1092</v>
      </c>
      <c r="AG84" s="162" t="s">
        <v>3</v>
      </c>
      <c r="AH84" s="162" t="s">
        <v>1092</v>
      </c>
      <c r="AI84" s="162" t="s">
        <v>1092</v>
      </c>
      <c r="AJ84" s="162" t="s">
        <v>1092</v>
      </c>
      <c r="AK84" s="162" t="s">
        <v>2</v>
      </c>
      <c r="AL84" s="162" t="s">
        <v>1</v>
      </c>
      <c r="AM84" s="162" t="s">
        <v>3</v>
      </c>
      <c r="AN84" s="162" t="s">
        <v>1092</v>
      </c>
      <c r="AO84" s="162" t="s">
        <v>1092</v>
      </c>
      <c r="AP84" s="162" t="s">
        <v>3</v>
      </c>
      <c r="AQ84" s="162" t="s">
        <v>2</v>
      </c>
      <c r="AR84" s="162" t="s">
        <v>2</v>
      </c>
      <c r="AS84" s="162" t="s">
        <v>3</v>
      </c>
    </row>
    <row r="85" spans="1:45" ht="12.75" x14ac:dyDescent="0.2">
      <c r="A85" s="177">
        <v>42632.399866979162</v>
      </c>
      <c r="B85" s="162" t="s">
        <v>1727</v>
      </c>
      <c r="C85" s="162" t="s">
        <v>1728</v>
      </c>
      <c r="D85" s="178">
        <v>51719299</v>
      </c>
      <c r="E85" s="162" t="s">
        <v>1320</v>
      </c>
      <c r="F85" s="162" t="s">
        <v>1500</v>
      </c>
      <c r="G85" s="179">
        <v>33913</v>
      </c>
      <c r="H85" s="162" t="s">
        <v>1729</v>
      </c>
      <c r="I85" s="162" t="s">
        <v>1092</v>
      </c>
      <c r="J85" s="162" t="s">
        <v>1092</v>
      </c>
      <c r="K85" s="162" t="s">
        <v>1092</v>
      </c>
      <c r="L85" s="162" t="s">
        <v>1092</v>
      </c>
      <c r="M85" s="162" t="s">
        <v>3</v>
      </c>
      <c r="N85" s="162" t="s">
        <v>3</v>
      </c>
      <c r="O85" s="162" t="s">
        <v>3</v>
      </c>
      <c r="P85" s="162" t="s">
        <v>3</v>
      </c>
      <c r="Q85" s="162" t="s">
        <v>2</v>
      </c>
      <c r="R85" s="162" t="s">
        <v>5</v>
      </c>
      <c r="S85" s="162" t="s">
        <v>5</v>
      </c>
      <c r="T85" s="162" t="s">
        <v>5</v>
      </c>
      <c r="U85" s="162" t="s">
        <v>3</v>
      </c>
      <c r="V85" s="162" t="s">
        <v>5</v>
      </c>
      <c r="W85" s="162" t="s">
        <v>5</v>
      </c>
      <c r="X85" s="162" t="s">
        <v>2</v>
      </c>
      <c r="Y85" s="162" t="s">
        <v>2</v>
      </c>
      <c r="Z85" s="162" t="s">
        <v>5</v>
      </c>
      <c r="AA85" s="162" t="s">
        <v>5</v>
      </c>
      <c r="AB85" s="162" t="s">
        <v>2</v>
      </c>
      <c r="AC85" s="162" t="s">
        <v>1093</v>
      </c>
      <c r="AD85" s="162" t="s">
        <v>1093</v>
      </c>
      <c r="AE85" s="162" t="s">
        <v>2</v>
      </c>
      <c r="AF85" s="162" t="s">
        <v>1</v>
      </c>
      <c r="AG85" s="162" t="s">
        <v>1092</v>
      </c>
      <c r="AH85" s="162" t="s">
        <v>1092</v>
      </c>
      <c r="AI85" s="162" t="s">
        <v>3</v>
      </c>
      <c r="AJ85" s="162" t="s">
        <v>1092</v>
      </c>
      <c r="AK85" s="162" t="s">
        <v>2</v>
      </c>
      <c r="AL85" s="162" t="s">
        <v>2</v>
      </c>
      <c r="AM85" s="162" t="s">
        <v>1093</v>
      </c>
      <c r="AN85" s="162" t="s">
        <v>1093</v>
      </c>
      <c r="AO85" s="162" t="s">
        <v>2</v>
      </c>
      <c r="AP85" s="162" t="s">
        <v>2</v>
      </c>
      <c r="AQ85" s="162" t="s">
        <v>2</v>
      </c>
      <c r="AR85" s="162" t="s">
        <v>2</v>
      </c>
      <c r="AS85" s="162" t="s">
        <v>2</v>
      </c>
    </row>
    <row r="86" spans="1:45" ht="12.75" x14ac:dyDescent="0.2">
      <c r="A86" s="177">
        <v>42632.683384849537</v>
      </c>
      <c r="B86" s="162" t="s">
        <v>1730</v>
      </c>
      <c r="C86" s="162" t="s">
        <v>1731</v>
      </c>
      <c r="D86" s="178">
        <v>1022385097</v>
      </c>
      <c r="E86" s="162" t="s">
        <v>1482</v>
      </c>
      <c r="F86" s="162" t="s">
        <v>1479</v>
      </c>
      <c r="G86" s="179">
        <v>41533</v>
      </c>
      <c r="H86" s="162" t="s">
        <v>1732</v>
      </c>
      <c r="I86" s="162" t="s">
        <v>3</v>
      </c>
      <c r="J86" s="162" t="s">
        <v>3</v>
      </c>
      <c r="K86" s="162" t="s">
        <v>3</v>
      </c>
      <c r="L86" s="162" t="s">
        <v>1092</v>
      </c>
      <c r="M86" s="162" t="s">
        <v>2</v>
      </c>
      <c r="N86" s="162" t="s">
        <v>1092</v>
      </c>
      <c r="O86" s="162" t="s">
        <v>1092</v>
      </c>
      <c r="P86" s="162" t="s">
        <v>1092</v>
      </c>
      <c r="Q86" s="162" t="s">
        <v>3</v>
      </c>
      <c r="R86" s="162" t="s">
        <v>2</v>
      </c>
      <c r="S86" s="162" t="s">
        <v>3</v>
      </c>
      <c r="T86" s="162" t="s">
        <v>3</v>
      </c>
      <c r="U86" s="162" t="s">
        <v>3</v>
      </c>
      <c r="V86" s="162" t="s">
        <v>3</v>
      </c>
      <c r="W86" s="162" t="s">
        <v>3</v>
      </c>
      <c r="X86" s="162" t="s">
        <v>3</v>
      </c>
      <c r="Y86" s="162" t="s">
        <v>2</v>
      </c>
      <c r="Z86" s="162" t="s">
        <v>3</v>
      </c>
      <c r="AA86" s="162" t="s">
        <v>3</v>
      </c>
      <c r="AB86" s="162" t="s">
        <v>3</v>
      </c>
      <c r="AC86" s="162" t="s">
        <v>3</v>
      </c>
      <c r="AD86" s="162" t="s">
        <v>3</v>
      </c>
      <c r="AE86" s="162" t="s">
        <v>2</v>
      </c>
      <c r="AF86" s="162" t="s">
        <v>2</v>
      </c>
      <c r="AG86" s="162" t="s">
        <v>1092</v>
      </c>
      <c r="AH86" s="162" t="s">
        <v>3</v>
      </c>
      <c r="AI86" s="162" t="s">
        <v>3</v>
      </c>
      <c r="AJ86" s="162" t="s">
        <v>1092</v>
      </c>
      <c r="AK86" s="162" t="s">
        <v>2</v>
      </c>
      <c r="AL86" s="162" t="s">
        <v>2</v>
      </c>
      <c r="AM86" s="162" t="s">
        <v>3</v>
      </c>
      <c r="AN86" s="162" t="s">
        <v>3</v>
      </c>
      <c r="AO86" s="162" t="s">
        <v>1092</v>
      </c>
      <c r="AP86" s="162" t="s">
        <v>1092</v>
      </c>
      <c r="AQ86" s="162" t="s">
        <v>3</v>
      </c>
      <c r="AR86" s="162" t="s">
        <v>1</v>
      </c>
      <c r="AS86" s="162" t="s">
        <v>2</v>
      </c>
    </row>
    <row r="87" spans="1:45" ht="12.75" x14ac:dyDescent="0.2">
      <c r="A87" s="177">
        <v>42632.751080127317</v>
      </c>
      <c r="B87" s="162" t="s">
        <v>1733</v>
      </c>
      <c r="C87" s="162" t="s">
        <v>1734</v>
      </c>
      <c r="D87" s="178">
        <v>19063971</v>
      </c>
      <c r="E87" s="162" t="s">
        <v>1320</v>
      </c>
      <c r="F87" s="162" t="s">
        <v>1500</v>
      </c>
      <c r="G87" s="179">
        <v>36942</v>
      </c>
      <c r="H87" s="162" t="s">
        <v>1735</v>
      </c>
      <c r="I87" s="162" t="s">
        <v>1092</v>
      </c>
      <c r="J87" s="162" t="s">
        <v>1092</v>
      </c>
      <c r="K87" s="162" t="s">
        <v>1092</v>
      </c>
      <c r="L87" s="162" t="s">
        <v>1092</v>
      </c>
      <c r="M87" s="162" t="s">
        <v>1092</v>
      </c>
      <c r="N87" s="162" t="s">
        <v>1092</v>
      </c>
      <c r="O87" s="162" t="s">
        <v>1092</v>
      </c>
      <c r="P87" s="162" t="s">
        <v>1092</v>
      </c>
      <c r="Q87" s="162" t="s">
        <v>1092</v>
      </c>
      <c r="R87" s="162" t="s">
        <v>2</v>
      </c>
      <c r="S87" s="162" t="s">
        <v>3</v>
      </c>
      <c r="T87" s="162" t="s">
        <v>3</v>
      </c>
      <c r="U87" s="162" t="s">
        <v>1092</v>
      </c>
      <c r="V87" s="162" t="s">
        <v>3</v>
      </c>
      <c r="W87" s="162" t="s">
        <v>3</v>
      </c>
      <c r="X87" s="162" t="s">
        <v>3</v>
      </c>
      <c r="Y87" s="162" t="s">
        <v>2</v>
      </c>
      <c r="Z87" s="162" t="s">
        <v>2</v>
      </c>
      <c r="AA87" s="162" t="s">
        <v>2</v>
      </c>
      <c r="AB87" s="162" t="s">
        <v>1092</v>
      </c>
      <c r="AC87" s="162" t="s">
        <v>2</v>
      </c>
      <c r="AD87" s="162" t="s">
        <v>3</v>
      </c>
      <c r="AE87" s="162" t="s">
        <v>3</v>
      </c>
      <c r="AF87" s="162" t="s">
        <v>2</v>
      </c>
      <c r="AG87" s="162" t="s">
        <v>1092</v>
      </c>
      <c r="AH87" s="162" t="s">
        <v>1092</v>
      </c>
      <c r="AI87" s="162" t="s">
        <v>1092</v>
      </c>
      <c r="AJ87" s="162" t="s">
        <v>1092</v>
      </c>
      <c r="AK87" s="162" t="s">
        <v>3</v>
      </c>
      <c r="AL87" s="162" t="s">
        <v>3</v>
      </c>
      <c r="AM87" s="162" t="s">
        <v>3</v>
      </c>
      <c r="AN87" s="162" t="s">
        <v>3</v>
      </c>
      <c r="AO87" s="162" t="s">
        <v>1092</v>
      </c>
      <c r="AP87" s="162" t="s">
        <v>1092</v>
      </c>
      <c r="AQ87" s="162" t="s">
        <v>1</v>
      </c>
      <c r="AR87" s="162" t="s">
        <v>1</v>
      </c>
      <c r="AS87" s="162" t="s">
        <v>2</v>
      </c>
    </row>
    <row r="88" spans="1:45" ht="12.75" x14ac:dyDescent="0.2">
      <c r="A88" s="177">
        <v>42632.815342858798</v>
      </c>
      <c r="B88" s="162" t="s">
        <v>1736</v>
      </c>
      <c r="C88" s="162" t="s">
        <v>1737</v>
      </c>
      <c r="D88" s="178">
        <v>79573660</v>
      </c>
      <c r="E88" s="162" t="s">
        <v>1482</v>
      </c>
      <c r="F88" s="162" t="s">
        <v>1488</v>
      </c>
      <c r="G88" s="179">
        <v>42374</v>
      </c>
      <c r="H88" s="162" t="s">
        <v>1738</v>
      </c>
      <c r="I88" s="162" t="s">
        <v>3</v>
      </c>
      <c r="J88" s="162" t="s">
        <v>3</v>
      </c>
      <c r="K88" s="162" t="s">
        <v>3</v>
      </c>
      <c r="L88" s="162" t="s">
        <v>3</v>
      </c>
      <c r="M88" s="162" t="s">
        <v>2</v>
      </c>
      <c r="N88" s="162" t="s">
        <v>1092</v>
      </c>
      <c r="O88" s="162" t="s">
        <v>1092</v>
      </c>
      <c r="P88" s="162" t="s">
        <v>1092</v>
      </c>
      <c r="Q88" s="162" t="s">
        <v>1092</v>
      </c>
      <c r="R88" s="162" t="s">
        <v>1092</v>
      </c>
      <c r="S88" s="162" t="s">
        <v>1092</v>
      </c>
      <c r="T88" s="162" t="s">
        <v>3</v>
      </c>
      <c r="U88" s="162" t="s">
        <v>1092</v>
      </c>
      <c r="V88" s="162" t="s">
        <v>3</v>
      </c>
      <c r="W88" s="162" t="s">
        <v>3</v>
      </c>
      <c r="X88" s="162" t="s">
        <v>3</v>
      </c>
      <c r="Y88" s="162" t="s">
        <v>2</v>
      </c>
      <c r="Z88" s="162" t="s">
        <v>2</v>
      </c>
      <c r="AA88" s="162" t="s">
        <v>2</v>
      </c>
      <c r="AB88" s="162" t="s">
        <v>1092</v>
      </c>
      <c r="AC88" s="162" t="s">
        <v>1</v>
      </c>
      <c r="AD88" s="162" t="s">
        <v>1</v>
      </c>
      <c r="AE88" s="162" t="s">
        <v>3</v>
      </c>
      <c r="AF88" s="162" t="s">
        <v>2</v>
      </c>
      <c r="AG88" s="162" t="s">
        <v>1092</v>
      </c>
      <c r="AH88" s="162" t="s">
        <v>1092</v>
      </c>
      <c r="AI88" s="162" t="s">
        <v>1092</v>
      </c>
      <c r="AJ88" s="162" t="s">
        <v>1092</v>
      </c>
      <c r="AK88" s="162" t="s">
        <v>1</v>
      </c>
      <c r="AL88" s="162" t="s">
        <v>2</v>
      </c>
      <c r="AM88" s="162" t="s">
        <v>3</v>
      </c>
      <c r="AN88" s="162" t="s">
        <v>3</v>
      </c>
      <c r="AO88" s="162" t="s">
        <v>1092</v>
      </c>
      <c r="AP88" s="162" t="s">
        <v>1092</v>
      </c>
      <c r="AQ88" s="162" t="s">
        <v>2</v>
      </c>
      <c r="AR88" s="162" t="s">
        <v>2</v>
      </c>
      <c r="AS88" s="162" t="s">
        <v>1</v>
      </c>
    </row>
    <row r="89" spans="1:45" ht="12.75" x14ac:dyDescent="0.2">
      <c r="A89" s="177">
        <v>42632.990772500001</v>
      </c>
      <c r="B89" s="162" t="s">
        <v>1739</v>
      </c>
      <c r="C89" s="162" t="s">
        <v>1740</v>
      </c>
      <c r="D89" s="178">
        <v>88221997</v>
      </c>
      <c r="E89" s="162" t="s">
        <v>1482</v>
      </c>
      <c r="F89" s="162" t="s">
        <v>1660</v>
      </c>
      <c r="G89" s="179">
        <v>41407</v>
      </c>
      <c r="H89" s="162" t="s">
        <v>1741</v>
      </c>
      <c r="I89" s="162" t="s">
        <v>1092</v>
      </c>
      <c r="J89" s="162" t="s">
        <v>3</v>
      </c>
      <c r="K89" s="162" t="s">
        <v>1092</v>
      </c>
      <c r="L89" s="162" t="s">
        <v>1092</v>
      </c>
      <c r="M89" s="162" t="s">
        <v>1092</v>
      </c>
      <c r="N89" s="162" t="s">
        <v>2</v>
      </c>
      <c r="O89" s="162" t="s">
        <v>2</v>
      </c>
      <c r="P89" s="162" t="s">
        <v>3</v>
      </c>
      <c r="Q89" s="162" t="s">
        <v>1092</v>
      </c>
      <c r="R89" s="162" t="s">
        <v>3</v>
      </c>
      <c r="S89" s="162" t="s">
        <v>2</v>
      </c>
      <c r="T89" s="162" t="s">
        <v>2</v>
      </c>
      <c r="U89" s="162" t="s">
        <v>3</v>
      </c>
      <c r="V89" s="162" t="s">
        <v>2</v>
      </c>
      <c r="W89" s="162" t="s">
        <v>3</v>
      </c>
      <c r="X89" s="162" t="s">
        <v>1</v>
      </c>
      <c r="Y89" s="162" t="s">
        <v>1092</v>
      </c>
      <c r="Z89" s="162" t="s">
        <v>1092</v>
      </c>
      <c r="AA89" s="162" t="s">
        <v>3</v>
      </c>
      <c r="AB89" s="162" t="s">
        <v>1092</v>
      </c>
      <c r="AC89" s="162" t="s">
        <v>1</v>
      </c>
      <c r="AD89" s="162" t="s">
        <v>2</v>
      </c>
      <c r="AE89" s="162" t="s">
        <v>2</v>
      </c>
      <c r="AF89" s="162" t="s">
        <v>2</v>
      </c>
      <c r="AG89" s="162" t="s">
        <v>1092</v>
      </c>
      <c r="AH89" s="162" t="s">
        <v>1092</v>
      </c>
      <c r="AI89" s="162" t="s">
        <v>1092</v>
      </c>
      <c r="AJ89" s="162" t="s">
        <v>1092</v>
      </c>
      <c r="AK89" s="162" t="s">
        <v>3</v>
      </c>
      <c r="AL89" s="162" t="s">
        <v>3</v>
      </c>
      <c r="AM89" s="162" t="s">
        <v>3</v>
      </c>
      <c r="AN89" s="162" t="s">
        <v>2</v>
      </c>
      <c r="AO89" s="162" t="s">
        <v>2</v>
      </c>
      <c r="AP89" s="162" t="s">
        <v>3</v>
      </c>
      <c r="AQ89" s="162" t="s">
        <v>3</v>
      </c>
      <c r="AR89" s="162" t="s">
        <v>2</v>
      </c>
      <c r="AS89" s="162" t="s">
        <v>3</v>
      </c>
    </row>
    <row r="90" spans="1:45" ht="12.75" x14ac:dyDescent="0.2">
      <c r="A90" s="177">
        <v>42633.286061087958</v>
      </c>
      <c r="B90" s="162" t="s">
        <v>1742</v>
      </c>
      <c r="C90" s="162" t="s">
        <v>1743</v>
      </c>
      <c r="D90" s="178">
        <v>1022398396</v>
      </c>
      <c r="E90" s="162" t="s">
        <v>1482</v>
      </c>
      <c r="F90" s="162" t="s">
        <v>1488</v>
      </c>
      <c r="G90" s="179">
        <v>42415</v>
      </c>
      <c r="H90" s="162" t="s">
        <v>1744</v>
      </c>
      <c r="I90" s="162" t="s">
        <v>3</v>
      </c>
      <c r="J90" s="162" t="s">
        <v>3</v>
      </c>
      <c r="K90" s="162" t="s">
        <v>1092</v>
      </c>
      <c r="L90" s="162" t="s">
        <v>3</v>
      </c>
      <c r="M90" s="162" t="s">
        <v>2</v>
      </c>
      <c r="N90" s="162" t="s">
        <v>1092</v>
      </c>
      <c r="O90" s="162" t="s">
        <v>1092</v>
      </c>
      <c r="P90" s="162" t="s">
        <v>3</v>
      </c>
      <c r="Q90" s="162" t="s">
        <v>3</v>
      </c>
      <c r="R90" s="162" t="s">
        <v>1</v>
      </c>
      <c r="S90" s="162" t="s">
        <v>1092</v>
      </c>
      <c r="T90" s="162" t="s">
        <v>1092</v>
      </c>
      <c r="U90" s="162" t="s">
        <v>1092</v>
      </c>
      <c r="V90" s="162" t="s">
        <v>3</v>
      </c>
      <c r="W90" s="162" t="s">
        <v>1092</v>
      </c>
      <c r="X90" s="162" t="s">
        <v>3</v>
      </c>
      <c r="Y90" s="162" t="s">
        <v>5</v>
      </c>
      <c r="Z90" s="162" t="s">
        <v>5</v>
      </c>
      <c r="AA90" s="162" t="s">
        <v>5</v>
      </c>
      <c r="AB90" s="162" t="s">
        <v>5</v>
      </c>
      <c r="AC90" s="162" t="s">
        <v>1</v>
      </c>
      <c r="AD90" s="162" t="s">
        <v>1</v>
      </c>
      <c r="AE90" s="162" t="s">
        <v>3</v>
      </c>
      <c r="AF90" s="162" t="s">
        <v>2</v>
      </c>
      <c r="AG90" s="162" t="s">
        <v>1092</v>
      </c>
      <c r="AH90" s="162" t="s">
        <v>1092</v>
      </c>
      <c r="AI90" s="162" t="s">
        <v>1092</v>
      </c>
      <c r="AJ90" s="162" t="s">
        <v>1092</v>
      </c>
      <c r="AK90" s="162" t="s">
        <v>3</v>
      </c>
      <c r="AL90" s="162" t="s">
        <v>1092</v>
      </c>
      <c r="AM90" s="162" t="s">
        <v>1092</v>
      </c>
      <c r="AN90" s="162" t="s">
        <v>1092</v>
      </c>
      <c r="AO90" s="162" t="s">
        <v>1092</v>
      </c>
      <c r="AP90" s="162" t="s">
        <v>1092</v>
      </c>
      <c r="AQ90" s="162" t="s">
        <v>3</v>
      </c>
      <c r="AR90" s="162" t="s">
        <v>1</v>
      </c>
      <c r="AS90" s="162" t="s">
        <v>1092</v>
      </c>
    </row>
    <row r="91" spans="1:45" ht="12.75" x14ac:dyDescent="0.2">
      <c r="A91" s="177">
        <v>42633.380533449075</v>
      </c>
      <c r="B91" s="162" t="s">
        <v>1745</v>
      </c>
      <c r="C91" s="162" t="s">
        <v>1746</v>
      </c>
      <c r="D91" s="178">
        <v>43522069</v>
      </c>
      <c r="E91" s="162" t="s">
        <v>1320</v>
      </c>
      <c r="F91" s="162" t="s">
        <v>1620</v>
      </c>
      <c r="G91" s="179">
        <v>33975</v>
      </c>
      <c r="H91" s="162" t="s">
        <v>1747</v>
      </c>
      <c r="I91" s="162" t="s">
        <v>3</v>
      </c>
      <c r="J91" s="162" t="s">
        <v>3</v>
      </c>
      <c r="K91" s="162" t="s">
        <v>3</v>
      </c>
      <c r="L91" s="162" t="s">
        <v>3</v>
      </c>
      <c r="M91" s="162" t="s">
        <v>2</v>
      </c>
      <c r="N91" s="162" t="s">
        <v>5</v>
      </c>
      <c r="O91" s="162" t="s">
        <v>5</v>
      </c>
      <c r="P91" s="162" t="s">
        <v>3</v>
      </c>
      <c r="Q91" s="162" t="s">
        <v>2</v>
      </c>
      <c r="R91" s="162" t="s">
        <v>3</v>
      </c>
      <c r="S91" s="162" t="s">
        <v>3</v>
      </c>
      <c r="T91" s="162" t="s">
        <v>5</v>
      </c>
      <c r="U91" s="162" t="s">
        <v>2</v>
      </c>
      <c r="V91" s="162" t="s">
        <v>3</v>
      </c>
      <c r="W91" s="162" t="s">
        <v>3</v>
      </c>
      <c r="X91" s="162" t="s">
        <v>2</v>
      </c>
      <c r="Y91" s="162" t="s">
        <v>3</v>
      </c>
      <c r="Z91" s="162" t="s">
        <v>3</v>
      </c>
      <c r="AA91" s="162" t="s">
        <v>5</v>
      </c>
      <c r="AB91" s="162" t="s">
        <v>5</v>
      </c>
      <c r="AC91" s="162" t="s">
        <v>5</v>
      </c>
      <c r="AD91" s="162" t="s">
        <v>5</v>
      </c>
      <c r="AE91" s="162" t="s">
        <v>5</v>
      </c>
      <c r="AF91" s="162" t="s">
        <v>5</v>
      </c>
      <c r="AG91" s="162" t="s">
        <v>3</v>
      </c>
      <c r="AH91" s="162" t="s">
        <v>3</v>
      </c>
      <c r="AI91" s="162" t="s">
        <v>5</v>
      </c>
      <c r="AJ91" s="162" t="s">
        <v>3</v>
      </c>
      <c r="AK91" s="162" t="s">
        <v>5</v>
      </c>
      <c r="AL91" s="162" t="s">
        <v>5</v>
      </c>
      <c r="AM91" s="162" t="s">
        <v>5</v>
      </c>
      <c r="AN91" s="162" t="s">
        <v>3</v>
      </c>
      <c r="AO91" s="162" t="s">
        <v>3</v>
      </c>
      <c r="AP91" s="162" t="s">
        <v>5</v>
      </c>
      <c r="AQ91" s="162" t="s">
        <v>1</v>
      </c>
      <c r="AR91" s="162" t="s">
        <v>1</v>
      </c>
      <c r="AS91" s="162" t="s">
        <v>5</v>
      </c>
    </row>
    <row r="92" spans="1:45" ht="12.75" x14ac:dyDescent="0.2">
      <c r="A92" s="177">
        <v>42633.454454097227</v>
      </c>
      <c r="B92" s="162" t="s">
        <v>1658</v>
      </c>
      <c r="C92" s="162" t="s">
        <v>1748</v>
      </c>
      <c r="D92" s="178">
        <v>80232942</v>
      </c>
      <c r="E92" s="162" t="s">
        <v>1482</v>
      </c>
      <c r="F92" s="162" t="s">
        <v>1749</v>
      </c>
      <c r="G92" s="179">
        <v>40087</v>
      </c>
      <c r="H92" s="162" t="s">
        <v>1750</v>
      </c>
      <c r="I92" s="162" t="s">
        <v>2</v>
      </c>
      <c r="J92" s="162" t="s">
        <v>2</v>
      </c>
      <c r="K92" s="162" t="s">
        <v>2</v>
      </c>
      <c r="L92" s="162" t="s">
        <v>2</v>
      </c>
      <c r="M92" s="162" t="s">
        <v>3</v>
      </c>
      <c r="N92" s="162" t="s">
        <v>1092</v>
      </c>
      <c r="O92" s="162" t="s">
        <v>1092</v>
      </c>
      <c r="P92" s="162" t="s">
        <v>1092</v>
      </c>
      <c r="Q92" s="162" t="s">
        <v>1092</v>
      </c>
      <c r="R92" s="162" t="s">
        <v>2</v>
      </c>
      <c r="S92" s="162" t="s">
        <v>2</v>
      </c>
      <c r="T92" s="162" t="s">
        <v>2</v>
      </c>
      <c r="U92" s="162" t="s">
        <v>3</v>
      </c>
      <c r="V92" s="162" t="s">
        <v>2</v>
      </c>
      <c r="W92" s="162" t="s">
        <v>2</v>
      </c>
      <c r="X92" s="162" t="s">
        <v>2</v>
      </c>
      <c r="Y92" s="162" t="s">
        <v>1</v>
      </c>
      <c r="Z92" s="162" t="s">
        <v>2</v>
      </c>
      <c r="AA92" s="162" t="s">
        <v>2</v>
      </c>
      <c r="AB92" s="162" t="s">
        <v>3</v>
      </c>
      <c r="AC92" s="162" t="s">
        <v>1</v>
      </c>
      <c r="AD92" s="162" t="s">
        <v>2</v>
      </c>
      <c r="AE92" s="162" t="s">
        <v>2</v>
      </c>
      <c r="AF92" s="162" t="s">
        <v>1</v>
      </c>
      <c r="AG92" s="162" t="s">
        <v>3</v>
      </c>
      <c r="AH92" s="162" t="s">
        <v>2</v>
      </c>
      <c r="AI92" s="162" t="s">
        <v>2</v>
      </c>
      <c r="AJ92" s="162" t="s">
        <v>1092</v>
      </c>
      <c r="AK92" s="162" t="s">
        <v>2</v>
      </c>
      <c r="AL92" s="162" t="s">
        <v>1</v>
      </c>
      <c r="AM92" s="162" t="s">
        <v>2</v>
      </c>
      <c r="AN92" s="162" t="s">
        <v>2</v>
      </c>
      <c r="AO92" s="162" t="s">
        <v>2</v>
      </c>
      <c r="AP92" s="162" t="s">
        <v>2</v>
      </c>
      <c r="AQ92" s="162" t="s">
        <v>2</v>
      </c>
      <c r="AR92" s="162" t="s">
        <v>2</v>
      </c>
      <c r="AS92" s="162" t="s">
        <v>2</v>
      </c>
    </row>
    <row r="93" spans="1:45" ht="12.75" x14ac:dyDescent="0.2">
      <c r="A93" s="177">
        <v>42633.516659594912</v>
      </c>
      <c r="B93" s="162" t="s">
        <v>1751</v>
      </c>
      <c r="C93" s="162" t="s">
        <v>1752</v>
      </c>
      <c r="D93" s="178">
        <v>65768125</v>
      </c>
      <c r="E93" s="162" t="s">
        <v>1482</v>
      </c>
      <c r="F93" s="162" t="s">
        <v>1500</v>
      </c>
      <c r="G93" s="179">
        <v>41961</v>
      </c>
      <c r="H93" s="162" t="s">
        <v>1753</v>
      </c>
      <c r="I93" s="162" t="s">
        <v>5</v>
      </c>
      <c r="J93" s="162" t="s">
        <v>5</v>
      </c>
      <c r="K93" s="162" t="s">
        <v>2</v>
      </c>
      <c r="L93" s="162" t="s">
        <v>3</v>
      </c>
      <c r="M93" s="162" t="s">
        <v>5</v>
      </c>
      <c r="N93" s="162" t="s">
        <v>5</v>
      </c>
      <c r="O93" s="162" t="s">
        <v>3</v>
      </c>
      <c r="P93" s="162" t="s">
        <v>5</v>
      </c>
      <c r="Q93" s="162" t="s">
        <v>5</v>
      </c>
      <c r="R93" s="162" t="s">
        <v>1</v>
      </c>
      <c r="S93" s="162" t="s">
        <v>5</v>
      </c>
      <c r="T93" s="162" t="s">
        <v>5</v>
      </c>
      <c r="U93" s="162" t="s">
        <v>5</v>
      </c>
      <c r="V93" s="162" t="s">
        <v>5</v>
      </c>
      <c r="W93" s="162" t="s">
        <v>5</v>
      </c>
      <c r="X93" s="162" t="s">
        <v>5</v>
      </c>
      <c r="Y93" s="162" t="s">
        <v>5</v>
      </c>
      <c r="Z93" s="162" t="s">
        <v>2</v>
      </c>
      <c r="AA93" s="162" t="s">
        <v>5</v>
      </c>
      <c r="AB93" s="162" t="s">
        <v>3</v>
      </c>
      <c r="AC93" s="162" t="s">
        <v>1093</v>
      </c>
      <c r="AD93" s="162" t="s">
        <v>1093</v>
      </c>
      <c r="AE93" s="162" t="s">
        <v>3</v>
      </c>
      <c r="AF93" s="162" t="s">
        <v>1093</v>
      </c>
      <c r="AG93" s="162" t="s">
        <v>1092</v>
      </c>
      <c r="AH93" s="162" t="s">
        <v>1092</v>
      </c>
      <c r="AI93" s="162" t="s">
        <v>1092</v>
      </c>
      <c r="AJ93" s="162" t="s">
        <v>1092</v>
      </c>
      <c r="AK93" s="162" t="s">
        <v>1092</v>
      </c>
      <c r="AL93" s="162" t="s">
        <v>5</v>
      </c>
      <c r="AM93" s="162" t="s">
        <v>3</v>
      </c>
      <c r="AN93" s="162" t="s">
        <v>3</v>
      </c>
      <c r="AO93" s="162" t="s">
        <v>1092</v>
      </c>
      <c r="AP93" s="162" t="s">
        <v>1092</v>
      </c>
      <c r="AQ93" s="162" t="s">
        <v>1</v>
      </c>
      <c r="AR93" s="162" t="s">
        <v>1</v>
      </c>
      <c r="AS93" s="162" t="s">
        <v>3</v>
      </c>
    </row>
    <row r="94" spans="1:45" ht="12.75" x14ac:dyDescent="0.2">
      <c r="A94" s="177">
        <v>42633.577512361109</v>
      </c>
      <c r="B94" s="162" t="s">
        <v>1754</v>
      </c>
      <c r="C94" s="162" t="s">
        <v>1755</v>
      </c>
      <c r="D94" s="178">
        <v>79360420</v>
      </c>
      <c r="E94" s="162" t="s">
        <v>1320</v>
      </c>
      <c r="F94" s="162" t="s">
        <v>1620</v>
      </c>
      <c r="G94" s="179">
        <v>34638</v>
      </c>
      <c r="H94" s="162" t="s">
        <v>1756</v>
      </c>
      <c r="I94" s="162" t="s">
        <v>3</v>
      </c>
      <c r="J94" s="162" t="s">
        <v>3</v>
      </c>
      <c r="K94" s="162" t="s">
        <v>3</v>
      </c>
      <c r="L94" s="162" t="s">
        <v>3</v>
      </c>
      <c r="M94" s="162" t="s">
        <v>5</v>
      </c>
      <c r="N94" s="162" t="s">
        <v>5</v>
      </c>
      <c r="O94" s="162" t="s">
        <v>5</v>
      </c>
      <c r="P94" s="162" t="s">
        <v>5</v>
      </c>
      <c r="Q94" s="162" t="s">
        <v>5</v>
      </c>
      <c r="R94" s="162" t="s">
        <v>5</v>
      </c>
      <c r="S94" s="162" t="s">
        <v>5</v>
      </c>
      <c r="T94" s="162" t="s">
        <v>5</v>
      </c>
      <c r="U94" s="162" t="s">
        <v>5</v>
      </c>
      <c r="V94" s="162" t="s">
        <v>5</v>
      </c>
      <c r="W94" s="162" t="s">
        <v>5</v>
      </c>
      <c r="X94" s="162" t="s">
        <v>5</v>
      </c>
      <c r="Y94" s="162" t="s">
        <v>5</v>
      </c>
      <c r="Z94" s="162" t="s">
        <v>5</v>
      </c>
      <c r="AA94" s="162" t="s">
        <v>5</v>
      </c>
      <c r="AB94" s="162" t="s">
        <v>5</v>
      </c>
      <c r="AC94" s="162" t="s">
        <v>3</v>
      </c>
      <c r="AD94" s="162" t="s">
        <v>3</v>
      </c>
      <c r="AE94" s="162" t="s">
        <v>3</v>
      </c>
      <c r="AF94" s="162" t="s">
        <v>3</v>
      </c>
      <c r="AG94" s="162" t="s">
        <v>3</v>
      </c>
      <c r="AH94" s="162" t="s">
        <v>3</v>
      </c>
      <c r="AI94" s="162" t="s">
        <v>3</v>
      </c>
      <c r="AJ94" s="162" t="s">
        <v>3</v>
      </c>
      <c r="AK94" s="162" t="s">
        <v>2</v>
      </c>
      <c r="AL94" s="162" t="s">
        <v>2</v>
      </c>
      <c r="AM94" s="162" t="s">
        <v>3</v>
      </c>
      <c r="AN94" s="162" t="s">
        <v>3</v>
      </c>
      <c r="AO94" s="162" t="s">
        <v>3</v>
      </c>
      <c r="AP94" s="162" t="s">
        <v>3</v>
      </c>
      <c r="AQ94" s="162" t="s">
        <v>3</v>
      </c>
      <c r="AR94" s="162" t="s">
        <v>2</v>
      </c>
      <c r="AS94" s="162" t="s">
        <v>3</v>
      </c>
    </row>
    <row r="95" spans="1:45" ht="12.75" x14ac:dyDescent="0.2">
      <c r="A95" s="177">
        <v>42633.577742673609</v>
      </c>
      <c r="B95" s="162" t="s">
        <v>1757</v>
      </c>
      <c r="C95" s="162" t="s">
        <v>1758</v>
      </c>
      <c r="D95" s="178">
        <v>39645089</v>
      </c>
      <c r="E95" s="162" t="s">
        <v>1482</v>
      </c>
      <c r="F95" s="162" t="s">
        <v>1749</v>
      </c>
      <c r="G95" s="179">
        <v>41318</v>
      </c>
      <c r="H95" s="162" t="s">
        <v>1759</v>
      </c>
      <c r="I95" s="162" t="s">
        <v>3</v>
      </c>
      <c r="J95" s="162" t="s">
        <v>3</v>
      </c>
      <c r="K95" s="162" t="s">
        <v>3</v>
      </c>
      <c r="L95" s="162" t="s">
        <v>2</v>
      </c>
      <c r="M95" s="162" t="s">
        <v>5</v>
      </c>
      <c r="N95" s="162" t="s">
        <v>1092</v>
      </c>
      <c r="O95" s="162" t="s">
        <v>1092</v>
      </c>
      <c r="P95" s="162" t="s">
        <v>5</v>
      </c>
      <c r="Q95" s="162" t="s">
        <v>5</v>
      </c>
      <c r="R95" s="162" t="s">
        <v>5</v>
      </c>
      <c r="S95" s="162" t="s">
        <v>5</v>
      </c>
      <c r="T95" s="162" t="s">
        <v>5</v>
      </c>
      <c r="U95" s="162" t="s">
        <v>3</v>
      </c>
      <c r="V95" s="162" t="s">
        <v>5</v>
      </c>
      <c r="W95" s="162" t="s">
        <v>5</v>
      </c>
      <c r="X95" s="162" t="s">
        <v>5</v>
      </c>
      <c r="Y95" s="162" t="s">
        <v>5</v>
      </c>
      <c r="Z95" s="162" t="s">
        <v>5</v>
      </c>
      <c r="AA95" s="162" t="s">
        <v>5</v>
      </c>
      <c r="AB95" s="162" t="s">
        <v>3</v>
      </c>
      <c r="AC95" s="162" t="s">
        <v>2</v>
      </c>
      <c r="AD95" s="162" t="s">
        <v>2</v>
      </c>
      <c r="AE95" s="162" t="s">
        <v>3</v>
      </c>
      <c r="AF95" s="162" t="s">
        <v>2</v>
      </c>
      <c r="AG95" s="162" t="s">
        <v>1092</v>
      </c>
      <c r="AH95" s="162" t="s">
        <v>1092</v>
      </c>
      <c r="AI95" s="162" t="s">
        <v>1092</v>
      </c>
      <c r="AJ95" s="162" t="s">
        <v>1092</v>
      </c>
      <c r="AK95" s="162" t="s">
        <v>3</v>
      </c>
      <c r="AL95" s="162" t="s">
        <v>3</v>
      </c>
      <c r="AM95" s="162" t="s">
        <v>3</v>
      </c>
      <c r="AN95" s="162" t="s">
        <v>3</v>
      </c>
      <c r="AO95" s="162" t="s">
        <v>3</v>
      </c>
      <c r="AP95" s="162" t="s">
        <v>3</v>
      </c>
      <c r="AQ95" s="162" t="s">
        <v>3</v>
      </c>
      <c r="AR95" s="162" t="s">
        <v>3</v>
      </c>
      <c r="AS95" s="162" t="s">
        <v>3</v>
      </c>
    </row>
    <row r="96" spans="1:45" ht="12.75" x14ac:dyDescent="0.2">
      <c r="A96" s="177">
        <v>42633.599848067126</v>
      </c>
      <c r="B96" s="162" t="s">
        <v>1760</v>
      </c>
      <c r="C96" s="162" t="s">
        <v>1761</v>
      </c>
      <c r="D96" s="178">
        <v>79746009</v>
      </c>
      <c r="E96" s="162" t="s">
        <v>1482</v>
      </c>
      <c r="F96" s="162" t="s">
        <v>1488</v>
      </c>
      <c r="G96" s="179">
        <v>42417</v>
      </c>
      <c r="H96" s="162" t="s">
        <v>1762</v>
      </c>
      <c r="I96" s="162" t="s">
        <v>5</v>
      </c>
      <c r="J96" s="162" t="s">
        <v>5</v>
      </c>
      <c r="K96" s="162" t="s">
        <v>5</v>
      </c>
      <c r="L96" s="162" t="s">
        <v>5</v>
      </c>
      <c r="M96" s="162" t="s">
        <v>5</v>
      </c>
      <c r="N96" s="162" t="s">
        <v>5</v>
      </c>
      <c r="O96" s="162" t="s">
        <v>5</v>
      </c>
      <c r="P96" s="162" t="s">
        <v>5</v>
      </c>
      <c r="Q96" s="162" t="s">
        <v>5</v>
      </c>
      <c r="R96" s="162" t="s">
        <v>5</v>
      </c>
      <c r="S96" s="162" t="s">
        <v>5</v>
      </c>
      <c r="T96" s="162" t="s">
        <v>5</v>
      </c>
      <c r="U96" s="162" t="s">
        <v>5</v>
      </c>
      <c r="V96" s="162" t="s">
        <v>5</v>
      </c>
      <c r="W96" s="162" t="s">
        <v>5</v>
      </c>
      <c r="X96" s="162" t="s">
        <v>5</v>
      </c>
      <c r="Y96" s="162" t="s">
        <v>5</v>
      </c>
      <c r="Z96" s="162" t="s">
        <v>5</v>
      </c>
      <c r="AA96" s="162" t="s">
        <v>5</v>
      </c>
      <c r="AB96" s="162" t="s">
        <v>5</v>
      </c>
      <c r="AC96" s="162" t="s">
        <v>5</v>
      </c>
      <c r="AD96" s="162" t="s">
        <v>5</v>
      </c>
      <c r="AE96" s="162" t="s">
        <v>5</v>
      </c>
      <c r="AF96" s="162" t="s">
        <v>5</v>
      </c>
      <c r="AG96" s="162" t="s">
        <v>5</v>
      </c>
      <c r="AH96" s="162" t="s">
        <v>5</v>
      </c>
      <c r="AI96" s="162" t="s">
        <v>5</v>
      </c>
      <c r="AJ96" s="162" t="s">
        <v>5</v>
      </c>
      <c r="AK96" s="162" t="s">
        <v>5</v>
      </c>
      <c r="AL96" s="162" t="s">
        <v>5</v>
      </c>
      <c r="AM96" s="162" t="s">
        <v>5</v>
      </c>
      <c r="AN96" s="162" t="s">
        <v>5</v>
      </c>
      <c r="AO96" s="162" t="s">
        <v>5</v>
      </c>
      <c r="AP96" s="162" t="s">
        <v>5</v>
      </c>
      <c r="AQ96" s="162" t="s">
        <v>5</v>
      </c>
      <c r="AR96" s="162" t="s">
        <v>5</v>
      </c>
      <c r="AS96" s="162" t="s">
        <v>5</v>
      </c>
    </row>
    <row r="97" spans="1:45" ht="12.75" x14ac:dyDescent="0.2">
      <c r="A97" s="177">
        <v>42633.630017280091</v>
      </c>
      <c r="B97" s="162" t="s">
        <v>1763</v>
      </c>
      <c r="C97" s="162" t="s">
        <v>1764</v>
      </c>
      <c r="D97" s="178">
        <v>5089162</v>
      </c>
      <c r="E97" s="162" t="s">
        <v>1482</v>
      </c>
      <c r="F97" s="162" t="s">
        <v>1620</v>
      </c>
      <c r="G97" s="179">
        <v>39248</v>
      </c>
      <c r="H97" s="162" t="s">
        <v>1765</v>
      </c>
      <c r="I97" s="162" t="s">
        <v>1092</v>
      </c>
      <c r="J97" s="162" t="s">
        <v>2</v>
      </c>
      <c r="K97" s="162" t="s">
        <v>1092</v>
      </c>
      <c r="L97" s="162" t="s">
        <v>1092</v>
      </c>
      <c r="M97" s="162" t="s">
        <v>3</v>
      </c>
      <c r="N97" s="162" t="s">
        <v>5</v>
      </c>
      <c r="O97" s="162" t="s">
        <v>5</v>
      </c>
      <c r="P97" s="162" t="s">
        <v>2</v>
      </c>
      <c r="Q97" s="162" t="s">
        <v>2</v>
      </c>
      <c r="R97" s="162" t="s">
        <v>5</v>
      </c>
      <c r="S97" s="162" t="s">
        <v>5</v>
      </c>
      <c r="T97" s="162" t="s">
        <v>5</v>
      </c>
      <c r="U97" s="162" t="s">
        <v>5</v>
      </c>
      <c r="V97" s="162" t="s">
        <v>5</v>
      </c>
      <c r="W97" s="162" t="s">
        <v>5</v>
      </c>
      <c r="X97" s="162" t="s">
        <v>5</v>
      </c>
      <c r="Y97" s="162" t="s">
        <v>2</v>
      </c>
      <c r="Z97" s="162" t="s">
        <v>3</v>
      </c>
      <c r="AA97" s="162" t="s">
        <v>2</v>
      </c>
      <c r="AB97" s="162" t="s">
        <v>1092</v>
      </c>
      <c r="AC97" s="162" t="s">
        <v>2</v>
      </c>
      <c r="AD97" s="162" t="s">
        <v>2</v>
      </c>
      <c r="AE97" s="162" t="s">
        <v>2</v>
      </c>
      <c r="AF97" s="162" t="s">
        <v>2</v>
      </c>
      <c r="AG97" s="162" t="s">
        <v>3</v>
      </c>
      <c r="AH97" s="162" t="s">
        <v>3</v>
      </c>
      <c r="AI97" s="162" t="s">
        <v>3</v>
      </c>
      <c r="AJ97" s="162" t="s">
        <v>2</v>
      </c>
      <c r="AK97" s="162" t="s">
        <v>3</v>
      </c>
      <c r="AL97" s="162" t="s">
        <v>5</v>
      </c>
      <c r="AM97" s="162" t="s">
        <v>3</v>
      </c>
      <c r="AN97" s="162" t="s">
        <v>2</v>
      </c>
      <c r="AO97" s="162" t="s">
        <v>2</v>
      </c>
      <c r="AP97" s="162" t="s">
        <v>2</v>
      </c>
      <c r="AQ97" s="162" t="s">
        <v>2</v>
      </c>
      <c r="AR97" s="162" t="s">
        <v>2</v>
      </c>
      <c r="AS97" s="162" t="s">
        <v>2</v>
      </c>
    </row>
    <row r="98" spans="1:45" ht="12.75" x14ac:dyDescent="0.2">
      <c r="A98" s="177">
        <v>42633.819306793986</v>
      </c>
      <c r="B98" s="162" t="s">
        <v>1766</v>
      </c>
      <c r="C98" s="162" t="s">
        <v>1767</v>
      </c>
      <c r="D98" s="178">
        <v>52901786</v>
      </c>
      <c r="E98" s="162" t="s">
        <v>1320</v>
      </c>
      <c r="F98" s="162" t="s">
        <v>1479</v>
      </c>
      <c r="G98" s="179">
        <v>39514</v>
      </c>
      <c r="H98" s="162" t="s">
        <v>1768</v>
      </c>
      <c r="I98" s="162" t="s">
        <v>1092</v>
      </c>
      <c r="J98" s="162" t="s">
        <v>1092</v>
      </c>
      <c r="K98" s="162" t="s">
        <v>1092</v>
      </c>
      <c r="L98" s="162" t="s">
        <v>1092</v>
      </c>
      <c r="M98" s="162" t="s">
        <v>2</v>
      </c>
      <c r="N98" s="162" t="s">
        <v>3</v>
      </c>
      <c r="O98" s="162" t="s">
        <v>3</v>
      </c>
      <c r="P98" s="162" t="s">
        <v>1092</v>
      </c>
      <c r="Q98" s="162" t="s">
        <v>2</v>
      </c>
      <c r="R98" s="162" t="s">
        <v>2</v>
      </c>
      <c r="S98" s="162" t="s">
        <v>1092</v>
      </c>
      <c r="T98" s="162" t="s">
        <v>3</v>
      </c>
      <c r="U98" s="162" t="s">
        <v>1092</v>
      </c>
      <c r="V98" s="162" t="s">
        <v>1092</v>
      </c>
      <c r="W98" s="162" t="s">
        <v>1092</v>
      </c>
      <c r="X98" s="162" t="s">
        <v>1092</v>
      </c>
      <c r="Y98" s="162" t="s">
        <v>3</v>
      </c>
      <c r="Z98" s="162" t="s">
        <v>3</v>
      </c>
      <c r="AA98" s="162" t="s">
        <v>1092</v>
      </c>
      <c r="AB98" s="162" t="s">
        <v>1092</v>
      </c>
      <c r="AC98" s="162" t="s">
        <v>2</v>
      </c>
      <c r="AD98" s="162" t="s">
        <v>3</v>
      </c>
      <c r="AE98" s="162" t="s">
        <v>2</v>
      </c>
      <c r="AF98" s="162" t="s">
        <v>1092</v>
      </c>
      <c r="AG98" s="162" t="s">
        <v>1092</v>
      </c>
      <c r="AH98" s="162" t="s">
        <v>1092</v>
      </c>
      <c r="AI98" s="162" t="s">
        <v>1092</v>
      </c>
      <c r="AJ98" s="162" t="s">
        <v>1092</v>
      </c>
      <c r="AK98" s="162" t="s">
        <v>1092</v>
      </c>
      <c r="AL98" s="162" t="s">
        <v>1092</v>
      </c>
      <c r="AM98" s="162" t="s">
        <v>1092</v>
      </c>
      <c r="AN98" s="162" t="s">
        <v>1092</v>
      </c>
      <c r="AO98" s="162" t="s">
        <v>1092</v>
      </c>
      <c r="AP98" s="162" t="s">
        <v>1092</v>
      </c>
      <c r="AQ98" s="162" t="s">
        <v>1092</v>
      </c>
      <c r="AR98" s="162" t="s">
        <v>1092</v>
      </c>
      <c r="AS98" s="162" t="s">
        <v>1092</v>
      </c>
    </row>
    <row r="99" spans="1:45" ht="12.75" x14ac:dyDescent="0.2">
      <c r="A99" s="177">
        <v>42634.41678201389</v>
      </c>
      <c r="B99" s="162" t="s">
        <v>1769</v>
      </c>
      <c r="C99" s="162" t="s">
        <v>1770</v>
      </c>
      <c r="D99" s="178">
        <v>79514044</v>
      </c>
      <c r="E99" s="162" t="s">
        <v>1482</v>
      </c>
      <c r="F99" s="162" t="s">
        <v>1500</v>
      </c>
      <c r="G99" s="179">
        <v>37998</v>
      </c>
      <c r="H99" s="162" t="s">
        <v>1771</v>
      </c>
      <c r="I99" s="162" t="s">
        <v>2</v>
      </c>
      <c r="J99" s="162" t="s">
        <v>3</v>
      </c>
      <c r="K99" s="162" t="s">
        <v>1092</v>
      </c>
      <c r="L99" s="162" t="s">
        <v>1092</v>
      </c>
      <c r="M99" s="162" t="s">
        <v>2</v>
      </c>
      <c r="N99" s="162" t="s">
        <v>2</v>
      </c>
      <c r="O99" s="162" t="s">
        <v>1093</v>
      </c>
      <c r="P99" s="162" t="s">
        <v>1093</v>
      </c>
      <c r="Q99" s="162" t="s">
        <v>2</v>
      </c>
      <c r="R99" s="162" t="s">
        <v>2</v>
      </c>
      <c r="S99" s="162" t="s">
        <v>3</v>
      </c>
      <c r="T99" s="162" t="s">
        <v>3</v>
      </c>
      <c r="U99" s="162" t="s">
        <v>3</v>
      </c>
      <c r="V99" s="162" t="s">
        <v>3</v>
      </c>
      <c r="W99" s="162" t="s">
        <v>3</v>
      </c>
      <c r="X99" s="162" t="s">
        <v>3</v>
      </c>
      <c r="Y99" s="162" t="s">
        <v>2</v>
      </c>
      <c r="Z99" s="162" t="s">
        <v>3</v>
      </c>
      <c r="AA99" s="162" t="s">
        <v>3</v>
      </c>
      <c r="AB99" s="162" t="s">
        <v>2</v>
      </c>
      <c r="AC99" s="162" t="s">
        <v>1093</v>
      </c>
      <c r="AD99" s="162" t="s">
        <v>2</v>
      </c>
      <c r="AE99" s="162" t="s">
        <v>3</v>
      </c>
      <c r="AF99" s="162" t="s">
        <v>1093</v>
      </c>
      <c r="AG99" s="162" t="s">
        <v>3</v>
      </c>
      <c r="AH99" s="162" t="s">
        <v>3</v>
      </c>
      <c r="AI99" s="162" t="s">
        <v>3</v>
      </c>
      <c r="AJ99" s="162" t="s">
        <v>1092</v>
      </c>
      <c r="AK99" s="162" t="s">
        <v>3</v>
      </c>
      <c r="AL99" s="162" t="s">
        <v>3</v>
      </c>
      <c r="AM99" s="162" t="s">
        <v>3</v>
      </c>
      <c r="AN99" s="162" t="s">
        <v>2</v>
      </c>
      <c r="AO99" s="162" t="s">
        <v>3</v>
      </c>
      <c r="AP99" s="162" t="s">
        <v>3</v>
      </c>
      <c r="AQ99" s="162" t="s">
        <v>2</v>
      </c>
      <c r="AR99" s="162" t="s">
        <v>3</v>
      </c>
      <c r="AS99" s="162" t="s">
        <v>2</v>
      </c>
    </row>
    <row r="100" spans="1:45" ht="12.75" x14ac:dyDescent="0.2">
      <c r="A100" s="177">
        <v>42634.421547939812</v>
      </c>
      <c r="B100" s="162" t="s">
        <v>1772</v>
      </c>
      <c r="C100" s="162" t="s">
        <v>1773</v>
      </c>
      <c r="D100" s="178">
        <v>41651785</v>
      </c>
      <c r="E100" s="162" t="s">
        <v>1320</v>
      </c>
      <c r="F100" s="162" t="s">
        <v>1500</v>
      </c>
      <c r="G100" s="179">
        <v>36572</v>
      </c>
      <c r="H100" s="162" t="s">
        <v>1774</v>
      </c>
      <c r="I100" s="162" t="s">
        <v>3</v>
      </c>
      <c r="J100" s="162" t="s">
        <v>3</v>
      </c>
      <c r="K100" s="162" t="s">
        <v>3</v>
      </c>
      <c r="L100" s="162" t="s">
        <v>2</v>
      </c>
      <c r="M100" s="162" t="s">
        <v>5</v>
      </c>
      <c r="N100" s="162" t="s">
        <v>3</v>
      </c>
      <c r="O100" s="162" t="s">
        <v>3</v>
      </c>
      <c r="P100" s="162" t="s">
        <v>5</v>
      </c>
      <c r="Q100" s="162" t="s">
        <v>5</v>
      </c>
      <c r="R100" s="162" t="s">
        <v>5</v>
      </c>
      <c r="S100" s="162" t="s">
        <v>5</v>
      </c>
      <c r="T100" s="162" t="s">
        <v>5</v>
      </c>
      <c r="U100" s="162" t="s">
        <v>2</v>
      </c>
      <c r="V100" s="162" t="s">
        <v>5</v>
      </c>
      <c r="W100" s="162" t="s">
        <v>3</v>
      </c>
      <c r="X100" s="162" t="s">
        <v>5</v>
      </c>
      <c r="Y100" s="162" t="s">
        <v>2</v>
      </c>
      <c r="Z100" s="162" t="s">
        <v>2</v>
      </c>
      <c r="AA100" s="162" t="s">
        <v>2</v>
      </c>
      <c r="AB100" s="162" t="s">
        <v>3</v>
      </c>
      <c r="AC100" s="162" t="s">
        <v>1</v>
      </c>
      <c r="AD100" s="162" t="s">
        <v>1</v>
      </c>
      <c r="AE100" s="162" t="s">
        <v>2</v>
      </c>
      <c r="AF100" s="162" t="s">
        <v>3</v>
      </c>
      <c r="AG100" s="162" t="s">
        <v>3</v>
      </c>
      <c r="AH100" s="162" t="s">
        <v>2</v>
      </c>
      <c r="AI100" s="162" t="s">
        <v>1</v>
      </c>
      <c r="AJ100" s="162" t="s">
        <v>1</v>
      </c>
      <c r="AK100" s="162" t="s">
        <v>3</v>
      </c>
      <c r="AL100" s="162" t="s">
        <v>3</v>
      </c>
      <c r="AM100" s="162" t="s">
        <v>2</v>
      </c>
      <c r="AN100" s="162" t="s">
        <v>2</v>
      </c>
      <c r="AO100" s="162" t="s">
        <v>2</v>
      </c>
      <c r="AP100" s="162" t="s">
        <v>2</v>
      </c>
      <c r="AQ100" s="162" t="s">
        <v>2</v>
      </c>
      <c r="AR100" s="162" t="s">
        <v>2</v>
      </c>
      <c r="AS100" s="162" t="s">
        <v>2</v>
      </c>
    </row>
    <row r="101" spans="1:45" ht="12.75" x14ac:dyDescent="0.2">
      <c r="A101" s="177">
        <v>42634.426767025463</v>
      </c>
      <c r="B101" s="162" t="s">
        <v>1775</v>
      </c>
      <c r="C101" s="162" t="s">
        <v>1776</v>
      </c>
      <c r="D101" s="178">
        <v>10225290</v>
      </c>
      <c r="E101" s="162" t="s">
        <v>1320</v>
      </c>
      <c r="F101" s="162" t="s">
        <v>1660</v>
      </c>
      <c r="G101" s="179">
        <v>37228</v>
      </c>
      <c r="H101" s="162" t="s">
        <v>1711</v>
      </c>
      <c r="I101" s="162" t="s">
        <v>2</v>
      </c>
      <c r="J101" s="162" t="s">
        <v>3</v>
      </c>
      <c r="K101" s="162" t="s">
        <v>1092</v>
      </c>
      <c r="L101" s="162" t="s">
        <v>3</v>
      </c>
      <c r="M101" s="162" t="s">
        <v>3</v>
      </c>
      <c r="N101" s="162" t="s">
        <v>5</v>
      </c>
      <c r="O101" s="162" t="s">
        <v>5</v>
      </c>
      <c r="P101" s="162" t="s">
        <v>5</v>
      </c>
      <c r="Q101" s="162" t="s">
        <v>3</v>
      </c>
      <c r="R101" s="162" t="s">
        <v>3</v>
      </c>
      <c r="S101" s="162" t="s">
        <v>3</v>
      </c>
      <c r="T101" s="162" t="s">
        <v>3</v>
      </c>
      <c r="U101" s="162" t="s">
        <v>1092</v>
      </c>
      <c r="V101" s="162" t="s">
        <v>1092</v>
      </c>
      <c r="W101" s="162" t="s">
        <v>1092</v>
      </c>
      <c r="X101" s="162" t="s">
        <v>1092</v>
      </c>
      <c r="Y101" s="162" t="s">
        <v>1092</v>
      </c>
      <c r="Z101" s="162" t="s">
        <v>1092</v>
      </c>
      <c r="AA101" s="162" t="s">
        <v>1092</v>
      </c>
      <c r="AB101" s="162" t="s">
        <v>1092</v>
      </c>
      <c r="AC101" s="162" t="s">
        <v>3</v>
      </c>
      <c r="AD101" s="162" t="s">
        <v>3</v>
      </c>
      <c r="AE101" s="162" t="s">
        <v>3</v>
      </c>
      <c r="AF101" s="162" t="s">
        <v>3</v>
      </c>
      <c r="AG101" s="162" t="s">
        <v>1092</v>
      </c>
      <c r="AH101" s="162" t="s">
        <v>1092</v>
      </c>
      <c r="AI101" s="162" t="s">
        <v>1092</v>
      </c>
      <c r="AJ101" s="162" t="s">
        <v>1092</v>
      </c>
      <c r="AK101" s="162" t="s">
        <v>3</v>
      </c>
      <c r="AL101" s="162" t="s">
        <v>1092</v>
      </c>
      <c r="AM101" s="162" t="s">
        <v>3</v>
      </c>
      <c r="AN101" s="162" t="s">
        <v>3</v>
      </c>
      <c r="AO101" s="162" t="s">
        <v>3</v>
      </c>
      <c r="AP101" s="162" t="s">
        <v>1092</v>
      </c>
      <c r="AQ101" s="162" t="s">
        <v>1092</v>
      </c>
      <c r="AR101" s="162" t="s">
        <v>1092</v>
      </c>
      <c r="AS101" s="162" t="s">
        <v>1092</v>
      </c>
    </row>
    <row r="102" spans="1:45" ht="12.75" x14ac:dyDescent="0.2">
      <c r="A102" s="177">
        <v>42634.434863391201</v>
      </c>
      <c r="B102" s="162" t="s">
        <v>1777</v>
      </c>
      <c r="C102" s="162" t="s">
        <v>1778</v>
      </c>
      <c r="D102" s="178">
        <v>52716494</v>
      </c>
      <c r="E102" s="162" t="s">
        <v>1482</v>
      </c>
      <c r="F102" s="162" t="s">
        <v>1749</v>
      </c>
      <c r="G102" s="179">
        <v>39483</v>
      </c>
      <c r="H102" s="162" t="s">
        <v>1779</v>
      </c>
      <c r="I102" s="162" t="s">
        <v>3</v>
      </c>
      <c r="J102" s="162" t="s">
        <v>3</v>
      </c>
      <c r="K102" s="162" t="s">
        <v>1092</v>
      </c>
      <c r="L102" s="162" t="s">
        <v>1092</v>
      </c>
      <c r="M102" s="162" t="s">
        <v>2</v>
      </c>
      <c r="N102" s="162" t="s">
        <v>3</v>
      </c>
      <c r="O102" s="162" t="s">
        <v>3</v>
      </c>
      <c r="P102" s="162" t="s">
        <v>3</v>
      </c>
      <c r="Q102" s="162" t="s">
        <v>3</v>
      </c>
      <c r="R102" s="162" t="s">
        <v>1092</v>
      </c>
      <c r="S102" s="162" t="s">
        <v>3</v>
      </c>
      <c r="T102" s="162" t="s">
        <v>3</v>
      </c>
      <c r="U102" s="162" t="s">
        <v>3</v>
      </c>
      <c r="V102" s="162" t="s">
        <v>3</v>
      </c>
      <c r="W102" s="162" t="s">
        <v>3</v>
      </c>
      <c r="X102" s="162" t="s">
        <v>3</v>
      </c>
      <c r="Y102" s="162" t="s">
        <v>1</v>
      </c>
      <c r="Z102" s="162" t="s">
        <v>1</v>
      </c>
      <c r="AA102" s="162" t="s">
        <v>3</v>
      </c>
      <c r="AB102" s="162" t="s">
        <v>3</v>
      </c>
      <c r="AC102" s="162" t="s">
        <v>2</v>
      </c>
      <c r="AD102" s="162" t="s">
        <v>2</v>
      </c>
      <c r="AE102" s="162" t="s">
        <v>2</v>
      </c>
      <c r="AF102" s="162" t="s">
        <v>3</v>
      </c>
      <c r="AG102" s="162" t="s">
        <v>3</v>
      </c>
      <c r="AH102" s="162" t="s">
        <v>3</v>
      </c>
      <c r="AI102" s="162" t="s">
        <v>3</v>
      </c>
      <c r="AJ102" s="162" t="s">
        <v>3</v>
      </c>
      <c r="AK102" s="162" t="s">
        <v>2</v>
      </c>
      <c r="AL102" s="162" t="s">
        <v>2</v>
      </c>
      <c r="AM102" s="162" t="s">
        <v>2</v>
      </c>
      <c r="AN102" s="162" t="s">
        <v>2</v>
      </c>
      <c r="AO102" s="162" t="s">
        <v>3</v>
      </c>
      <c r="AP102" s="162" t="s">
        <v>3</v>
      </c>
      <c r="AQ102" s="162" t="s">
        <v>3</v>
      </c>
      <c r="AR102" s="162" t="s">
        <v>2</v>
      </c>
      <c r="AS102" s="162" t="s">
        <v>2</v>
      </c>
    </row>
    <row r="103" spans="1:45" ht="12.75" x14ac:dyDescent="0.2">
      <c r="A103" s="177">
        <v>42634.437669664352</v>
      </c>
      <c r="B103" s="162" t="s">
        <v>1521</v>
      </c>
      <c r="C103" s="162" t="s">
        <v>1776</v>
      </c>
      <c r="D103" s="178">
        <v>80068080</v>
      </c>
      <c r="E103" s="162" t="s">
        <v>1320</v>
      </c>
      <c r="F103" s="162" t="s">
        <v>1660</v>
      </c>
      <c r="G103" s="179">
        <v>37894</v>
      </c>
      <c r="H103" s="162" t="s">
        <v>1780</v>
      </c>
      <c r="I103" s="162" t="s">
        <v>3</v>
      </c>
      <c r="J103" s="162" t="s">
        <v>3</v>
      </c>
      <c r="K103" s="162" t="s">
        <v>3</v>
      </c>
      <c r="L103" s="162" t="s">
        <v>3</v>
      </c>
      <c r="M103" s="162" t="s">
        <v>3</v>
      </c>
      <c r="N103" s="162" t="s">
        <v>3</v>
      </c>
      <c r="O103" s="162" t="s">
        <v>3</v>
      </c>
      <c r="P103" s="162" t="s">
        <v>1092</v>
      </c>
      <c r="Q103" s="162" t="s">
        <v>1092</v>
      </c>
      <c r="R103" s="162" t="s">
        <v>1092</v>
      </c>
      <c r="S103" s="162" t="s">
        <v>1092</v>
      </c>
      <c r="T103" s="162" t="s">
        <v>1092</v>
      </c>
      <c r="U103" s="162" t="s">
        <v>1092</v>
      </c>
      <c r="V103" s="162" t="s">
        <v>1092</v>
      </c>
      <c r="W103" s="162" t="s">
        <v>1092</v>
      </c>
      <c r="X103" s="162" t="s">
        <v>1092</v>
      </c>
      <c r="Y103" s="162" t="s">
        <v>3</v>
      </c>
      <c r="Z103" s="162" t="s">
        <v>3</v>
      </c>
      <c r="AA103" s="162" t="s">
        <v>3</v>
      </c>
      <c r="AB103" s="162" t="s">
        <v>1092</v>
      </c>
      <c r="AC103" s="162" t="s">
        <v>3</v>
      </c>
      <c r="AD103" s="162" t="s">
        <v>3</v>
      </c>
      <c r="AE103" s="162" t="s">
        <v>3</v>
      </c>
      <c r="AF103" s="162" t="s">
        <v>3</v>
      </c>
      <c r="AG103" s="162" t="s">
        <v>3</v>
      </c>
      <c r="AH103" s="162" t="s">
        <v>3</v>
      </c>
      <c r="AI103" s="162" t="s">
        <v>3</v>
      </c>
      <c r="AJ103" s="162" t="s">
        <v>3</v>
      </c>
      <c r="AK103" s="162" t="s">
        <v>3</v>
      </c>
      <c r="AL103" s="162" t="s">
        <v>3</v>
      </c>
      <c r="AM103" s="162" t="s">
        <v>3</v>
      </c>
      <c r="AN103" s="162" t="s">
        <v>3</v>
      </c>
      <c r="AO103" s="162" t="s">
        <v>1092</v>
      </c>
      <c r="AP103" s="162" t="s">
        <v>1092</v>
      </c>
      <c r="AQ103" s="162" t="s">
        <v>1092</v>
      </c>
      <c r="AR103" s="162" t="s">
        <v>1092</v>
      </c>
      <c r="AS103" s="162" t="s">
        <v>1092</v>
      </c>
    </row>
    <row r="104" spans="1:45" ht="12.75" x14ac:dyDescent="0.2">
      <c r="A104" s="177">
        <v>42634.461902511575</v>
      </c>
      <c r="B104" s="162" t="s">
        <v>1781</v>
      </c>
      <c r="C104" s="162" t="s">
        <v>1782</v>
      </c>
      <c r="D104" s="178">
        <v>15675720</v>
      </c>
      <c r="E104" s="162" t="s">
        <v>1320</v>
      </c>
      <c r="F104" s="162" t="s">
        <v>1526</v>
      </c>
      <c r="G104" s="179">
        <v>42634</v>
      </c>
      <c r="H104" s="162" t="s">
        <v>1783</v>
      </c>
      <c r="I104" s="162" t="s">
        <v>1092</v>
      </c>
      <c r="J104" s="162" t="s">
        <v>1092</v>
      </c>
      <c r="K104" s="162" t="s">
        <v>1093</v>
      </c>
      <c r="L104" s="162" t="s">
        <v>3</v>
      </c>
      <c r="M104" s="162" t="s">
        <v>1</v>
      </c>
      <c r="N104" s="162" t="s">
        <v>1</v>
      </c>
      <c r="O104" s="162" t="s">
        <v>3</v>
      </c>
      <c r="P104" s="162" t="s">
        <v>1</v>
      </c>
      <c r="Q104" s="162" t="s">
        <v>1</v>
      </c>
      <c r="R104" s="162" t="s">
        <v>1093</v>
      </c>
      <c r="S104" s="162" t="s">
        <v>1093</v>
      </c>
      <c r="T104" s="162" t="s">
        <v>1093</v>
      </c>
      <c r="U104" s="162" t="s">
        <v>2</v>
      </c>
      <c r="V104" s="162" t="s">
        <v>2</v>
      </c>
      <c r="W104" s="162" t="s">
        <v>3</v>
      </c>
      <c r="X104" s="162" t="s">
        <v>2</v>
      </c>
      <c r="Y104" s="162" t="s">
        <v>1093</v>
      </c>
      <c r="Z104" s="162" t="s">
        <v>1</v>
      </c>
      <c r="AA104" s="162" t="s">
        <v>1093</v>
      </c>
      <c r="AB104" s="162" t="s">
        <v>2</v>
      </c>
      <c r="AC104" s="162" t="s">
        <v>2</v>
      </c>
      <c r="AD104" s="162" t="s">
        <v>2</v>
      </c>
      <c r="AE104" s="162" t="s">
        <v>3</v>
      </c>
      <c r="AF104" s="162" t="s">
        <v>3</v>
      </c>
      <c r="AG104" s="162" t="s">
        <v>3</v>
      </c>
      <c r="AH104" s="162" t="s">
        <v>2</v>
      </c>
      <c r="AI104" s="162" t="s">
        <v>3</v>
      </c>
      <c r="AJ104" s="162" t="s">
        <v>3</v>
      </c>
      <c r="AK104" s="162" t="s">
        <v>1</v>
      </c>
      <c r="AL104" s="162" t="s">
        <v>3</v>
      </c>
      <c r="AM104" s="162" t="s">
        <v>3</v>
      </c>
      <c r="AN104" s="162" t="s">
        <v>1</v>
      </c>
      <c r="AO104" s="162" t="s">
        <v>1</v>
      </c>
      <c r="AP104" s="162" t="s">
        <v>1</v>
      </c>
      <c r="AQ104" s="162" t="s">
        <v>1093</v>
      </c>
      <c r="AR104" s="162" t="s">
        <v>1093</v>
      </c>
      <c r="AS104" s="162" t="s">
        <v>2</v>
      </c>
    </row>
    <row r="105" spans="1:45" ht="12.75" x14ac:dyDescent="0.2">
      <c r="A105" s="177">
        <v>42634.468464340272</v>
      </c>
      <c r="B105" s="162" t="s">
        <v>1784</v>
      </c>
      <c r="C105" s="162" t="s">
        <v>1785</v>
      </c>
      <c r="D105" s="178">
        <v>79636743</v>
      </c>
      <c r="E105" s="162" t="s">
        <v>1320</v>
      </c>
      <c r="F105" s="162" t="s">
        <v>1500</v>
      </c>
      <c r="G105" s="179">
        <v>39845</v>
      </c>
      <c r="H105" s="162" t="s">
        <v>1786</v>
      </c>
      <c r="I105" s="162" t="s">
        <v>1092</v>
      </c>
      <c r="J105" s="162" t="s">
        <v>1092</v>
      </c>
      <c r="K105" s="162" t="s">
        <v>2</v>
      </c>
      <c r="L105" s="162" t="s">
        <v>1092</v>
      </c>
      <c r="M105" s="162" t="s">
        <v>3</v>
      </c>
      <c r="N105" s="162" t="s">
        <v>1092</v>
      </c>
      <c r="O105" s="162" t="s">
        <v>1092</v>
      </c>
      <c r="P105" s="162" t="s">
        <v>1092</v>
      </c>
      <c r="Q105" s="162" t="s">
        <v>1092</v>
      </c>
      <c r="R105" s="162" t="s">
        <v>2</v>
      </c>
      <c r="S105" s="162" t="s">
        <v>3</v>
      </c>
      <c r="T105" s="162" t="s">
        <v>2</v>
      </c>
      <c r="U105" s="162" t="s">
        <v>1092</v>
      </c>
      <c r="V105" s="162" t="s">
        <v>1092</v>
      </c>
      <c r="W105" s="162" t="s">
        <v>1092</v>
      </c>
      <c r="X105" s="162" t="s">
        <v>3</v>
      </c>
      <c r="Y105" s="162" t="s">
        <v>1</v>
      </c>
      <c r="Z105" s="162" t="s">
        <v>1092</v>
      </c>
      <c r="AA105" s="162" t="s">
        <v>2</v>
      </c>
      <c r="AB105" s="162" t="s">
        <v>1092</v>
      </c>
      <c r="AC105" s="162" t="s">
        <v>1</v>
      </c>
      <c r="AD105" s="162" t="s">
        <v>3</v>
      </c>
      <c r="AE105" s="162" t="s">
        <v>2</v>
      </c>
      <c r="AF105" s="162" t="s">
        <v>2</v>
      </c>
      <c r="AG105" s="162" t="s">
        <v>1092</v>
      </c>
      <c r="AH105" s="162" t="s">
        <v>1092</v>
      </c>
      <c r="AI105" s="162" t="s">
        <v>1092</v>
      </c>
      <c r="AJ105" s="162" t="s">
        <v>1092</v>
      </c>
      <c r="AK105" s="162" t="s">
        <v>5</v>
      </c>
      <c r="AL105" s="162" t="s">
        <v>5</v>
      </c>
      <c r="AM105" s="162" t="s">
        <v>3</v>
      </c>
      <c r="AN105" s="162" t="s">
        <v>3</v>
      </c>
      <c r="AO105" s="162" t="s">
        <v>3</v>
      </c>
      <c r="AP105" s="162" t="s">
        <v>3</v>
      </c>
      <c r="AQ105" s="162" t="s">
        <v>1092</v>
      </c>
      <c r="AR105" s="162" t="s">
        <v>3</v>
      </c>
      <c r="AS105" s="162" t="s">
        <v>3</v>
      </c>
    </row>
    <row r="106" spans="1:45" ht="12.75" x14ac:dyDescent="0.2">
      <c r="A106" s="177">
        <v>42634.520106840282</v>
      </c>
      <c r="B106" s="162" t="s">
        <v>1787</v>
      </c>
      <c r="C106" s="162" t="s">
        <v>1788</v>
      </c>
      <c r="D106" s="178">
        <v>79860443</v>
      </c>
      <c r="E106" s="162" t="s">
        <v>1320</v>
      </c>
      <c r="F106" s="162" t="s">
        <v>1488</v>
      </c>
      <c r="G106" s="179">
        <v>37022</v>
      </c>
      <c r="H106" s="162" t="s">
        <v>1789</v>
      </c>
      <c r="I106" s="162" t="s">
        <v>3</v>
      </c>
      <c r="J106" s="162" t="s">
        <v>1092</v>
      </c>
      <c r="K106" s="162" t="s">
        <v>3</v>
      </c>
      <c r="L106" s="162" t="s">
        <v>1092</v>
      </c>
      <c r="M106" s="162" t="s">
        <v>3</v>
      </c>
      <c r="N106" s="162" t="s">
        <v>2</v>
      </c>
      <c r="O106" s="162" t="s">
        <v>2</v>
      </c>
      <c r="P106" s="162" t="s">
        <v>3</v>
      </c>
      <c r="Q106" s="162" t="s">
        <v>3</v>
      </c>
      <c r="R106" s="162" t="s">
        <v>3</v>
      </c>
      <c r="S106" s="162" t="s">
        <v>3</v>
      </c>
      <c r="T106" s="162" t="s">
        <v>2</v>
      </c>
      <c r="U106" s="162" t="s">
        <v>1092</v>
      </c>
      <c r="V106" s="162" t="s">
        <v>2</v>
      </c>
      <c r="W106" s="162" t="s">
        <v>3</v>
      </c>
      <c r="X106" s="162" t="s">
        <v>1</v>
      </c>
      <c r="Y106" s="162" t="s">
        <v>2</v>
      </c>
      <c r="Z106" s="162" t="s">
        <v>3</v>
      </c>
      <c r="AA106" s="162" t="s">
        <v>2</v>
      </c>
      <c r="AB106" s="162" t="s">
        <v>3</v>
      </c>
      <c r="AC106" s="162" t="s">
        <v>2</v>
      </c>
      <c r="AD106" s="162" t="s">
        <v>3</v>
      </c>
      <c r="AE106" s="162" t="s">
        <v>3</v>
      </c>
      <c r="AF106" s="162" t="s">
        <v>2</v>
      </c>
      <c r="AG106" s="162" t="s">
        <v>3</v>
      </c>
      <c r="AH106" s="162" t="s">
        <v>1092</v>
      </c>
      <c r="AI106" s="162" t="s">
        <v>1092</v>
      </c>
      <c r="AJ106" s="162" t="s">
        <v>1092</v>
      </c>
      <c r="AK106" s="162" t="s">
        <v>1092</v>
      </c>
      <c r="AL106" s="162" t="s">
        <v>1092</v>
      </c>
      <c r="AM106" s="162" t="s">
        <v>3</v>
      </c>
      <c r="AN106" s="162" t="s">
        <v>3</v>
      </c>
      <c r="AO106" s="162" t="s">
        <v>3</v>
      </c>
      <c r="AP106" s="162" t="s">
        <v>1092</v>
      </c>
      <c r="AQ106" s="162" t="s">
        <v>3</v>
      </c>
      <c r="AR106" s="162" t="s">
        <v>3</v>
      </c>
      <c r="AS106" s="162" t="s">
        <v>3</v>
      </c>
    </row>
    <row r="107" spans="1:45" ht="12.75" x14ac:dyDescent="0.2">
      <c r="A107" s="177">
        <v>42634.696008043982</v>
      </c>
      <c r="B107" s="162" t="s">
        <v>1790</v>
      </c>
      <c r="C107" s="162" t="s">
        <v>1791</v>
      </c>
      <c r="D107" s="178">
        <v>79560356</v>
      </c>
      <c r="E107" s="162" t="s">
        <v>1482</v>
      </c>
      <c r="F107" s="162" t="s">
        <v>1500</v>
      </c>
      <c r="G107" s="179">
        <v>42397</v>
      </c>
      <c r="H107" s="162" t="s">
        <v>1792</v>
      </c>
      <c r="I107" s="162" t="s">
        <v>3</v>
      </c>
      <c r="J107" s="162" t="s">
        <v>1092</v>
      </c>
      <c r="K107" s="162" t="s">
        <v>1092</v>
      </c>
      <c r="L107" s="162" t="s">
        <v>1092</v>
      </c>
      <c r="M107" s="162" t="s">
        <v>3</v>
      </c>
      <c r="N107" s="162" t="s">
        <v>2</v>
      </c>
      <c r="O107" s="162" t="s">
        <v>2</v>
      </c>
      <c r="P107" s="162" t="s">
        <v>2</v>
      </c>
      <c r="Q107" s="162" t="s">
        <v>3</v>
      </c>
      <c r="R107" s="162" t="s">
        <v>2</v>
      </c>
      <c r="S107" s="162" t="s">
        <v>3</v>
      </c>
      <c r="T107" s="162" t="s">
        <v>2</v>
      </c>
      <c r="U107" s="162" t="s">
        <v>1092</v>
      </c>
      <c r="V107" s="162" t="s">
        <v>3</v>
      </c>
      <c r="W107" s="162" t="s">
        <v>3</v>
      </c>
      <c r="X107" s="162" t="s">
        <v>3</v>
      </c>
      <c r="Y107" s="162" t="s">
        <v>2</v>
      </c>
      <c r="Z107" s="162" t="s">
        <v>3</v>
      </c>
      <c r="AA107" s="162" t="s">
        <v>3</v>
      </c>
      <c r="AB107" s="162" t="s">
        <v>1092</v>
      </c>
      <c r="AC107" s="162" t="s">
        <v>3</v>
      </c>
      <c r="AD107" s="162" t="s">
        <v>3</v>
      </c>
      <c r="AE107" s="162" t="s">
        <v>3</v>
      </c>
      <c r="AF107" s="162" t="s">
        <v>3</v>
      </c>
      <c r="AG107" s="162" t="s">
        <v>1092</v>
      </c>
      <c r="AH107" s="162" t="s">
        <v>1092</v>
      </c>
      <c r="AI107" s="162" t="s">
        <v>1092</v>
      </c>
      <c r="AJ107" s="162" t="s">
        <v>1092</v>
      </c>
      <c r="AK107" s="162" t="s">
        <v>3</v>
      </c>
      <c r="AL107" s="162" t="s">
        <v>3</v>
      </c>
      <c r="AM107" s="162" t="s">
        <v>3</v>
      </c>
      <c r="AN107" s="162" t="s">
        <v>3</v>
      </c>
      <c r="AO107" s="162" t="s">
        <v>3</v>
      </c>
      <c r="AP107" s="162" t="s">
        <v>3</v>
      </c>
      <c r="AQ107" s="162" t="s">
        <v>3</v>
      </c>
      <c r="AR107" s="162" t="s">
        <v>2</v>
      </c>
      <c r="AS107" s="162" t="s">
        <v>2</v>
      </c>
    </row>
    <row r="108" spans="1:45" ht="12.75" x14ac:dyDescent="0.2">
      <c r="A108" s="177">
        <v>42635.473126006946</v>
      </c>
      <c r="B108" s="162" t="s">
        <v>1793</v>
      </c>
      <c r="C108" s="162" t="s">
        <v>1794</v>
      </c>
      <c r="D108" s="178">
        <v>28537823</v>
      </c>
      <c r="E108" s="162" t="s">
        <v>1482</v>
      </c>
      <c r="F108" s="162" t="s">
        <v>1795</v>
      </c>
      <c r="G108" s="179">
        <v>42047</v>
      </c>
      <c r="H108" s="162" t="s">
        <v>1796</v>
      </c>
      <c r="I108" s="162" t="s">
        <v>1092</v>
      </c>
      <c r="J108" s="162" t="s">
        <v>1092</v>
      </c>
      <c r="K108" s="162" t="s">
        <v>3</v>
      </c>
      <c r="L108" s="162" t="s">
        <v>2</v>
      </c>
      <c r="M108" s="162" t="s">
        <v>3</v>
      </c>
      <c r="N108" s="162" t="s">
        <v>1092</v>
      </c>
      <c r="O108" s="162" t="s">
        <v>1092</v>
      </c>
      <c r="P108" s="162" t="s">
        <v>3</v>
      </c>
      <c r="Q108" s="162" t="s">
        <v>3</v>
      </c>
      <c r="R108" s="162" t="s">
        <v>1093</v>
      </c>
      <c r="S108" s="162" t="s">
        <v>3</v>
      </c>
      <c r="T108" s="162" t="s">
        <v>1</v>
      </c>
      <c r="U108" s="162" t="s">
        <v>1092</v>
      </c>
      <c r="V108" s="162" t="s">
        <v>3</v>
      </c>
      <c r="W108" s="162" t="s">
        <v>3</v>
      </c>
      <c r="X108" s="162" t="s">
        <v>3</v>
      </c>
      <c r="Y108" s="162" t="s">
        <v>1093</v>
      </c>
      <c r="Z108" s="162" t="s">
        <v>2</v>
      </c>
      <c r="AA108" s="162" t="s">
        <v>1093</v>
      </c>
      <c r="AB108" s="162" t="s">
        <v>1092</v>
      </c>
      <c r="AC108" s="162" t="s">
        <v>2</v>
      </c>
      <c r="AD108" s="162" t="s">
        <v>3</v>
      </c>
      <c r="AE108" s="162" t="s">
        <v>2</v>
      </c>
      <c r="AF108" s="162" t="s">
        <v>1</v>
      </c>
      <c r="AG108" s="162" t="s">
        <v>1092</v>
      </c>
      <c r="AH108" s="162" t="s">
        <v>3</v>
      </c>
      <c r="AI108" s="162" t="s">
        <v>3</v>
      </c>
      <c r="AJ108" s="162" t="s">
        <v>1092</v>
      </c>
      <c r="AK108" s="162" t="s">
        <v>1093</v>
      </c>
      <c r="AL108" s="162" t="s">
        <v>1093</v>
      </c>
      <c r="AM108" s="162" t="s">
        <v>3</v>
      </c>
      <c r="AN108" s="162" t="s">
        <v>2</v>
      </c>
      <c r="AO108" s="162" t="s">
        <v>3</v>
      </c>
      <c r="AP108" s="162" t="s">
        <v>3</v>
      </c>
      <c r="AQ108" s="162" t="s">
        <v>3</v>
      </c>
      <c r="AR108" s="162" t="s">
        <v>1093</v>
      </c>
      <c r="AS108" s="162" t="s">
        <v>3</v>
      </c>
    </row>
    <row r="109" spans="1:45" ht="12.75" x14ac:dyDescent="0.2">
      <c r="A109" s="177">
        <v>42639.468791550928</v>
      </c>
      <c r="B109" s="162" t="s">
        <v>1797</v>
      </c>
      <c r="C109" s="162" t="s">
        <v>1798</v>
      </c>
      <c r="D109" s="178">
        <v>79755308</v>
      </c>
      <c r="E109" s="162" t="s">
        <v>1482</v>
      </c>
      <c r="F109" s="162" t="s">
        <v>1526</v>
      </c>
      <c r="G109" s="179">
        <v>40575</v>
      </c>
      <c r="H109" s="162" t="s">
        <v>1799</v>
      </c>
      <c r="I109" s="162" t="s">
        <v>2</v>
      </c>
      <c r="J109" s="162" t="s">
        <v>2</v>
      </c>
      <c r="K109" s="162" t="s">
        <v>2</v>
      </c>
      <c r="L109" s="162" t="s">
        <v>2</v>
      </c>
      <c r="M109" s="162" t="s">
        <v>2</v>
      </c>
      <c r="N109" s="162" t="s">
        <v>2</v>
      </c>
      <c r="O109" s="162" t="s">
        <v>2</v>
      </c>
      <c r="P109" s="162" t="s">
        <v>2</v>
      </c>
      <c r="Q109" s="162" t="s">
        <v>2</v>
      </c>
      <c r="R109" s="162" t="s">
        <v>1</v>
      </c>
      <c r="S109" s="162" t="s">
        <v>1</v>
      </c>
      <c r="T109" s="162" t="s">
        <v>1</v>
      </c>
      <c r="U109" s="162" t="s">
        <v>1</v>
      </c>
      <c r="V109" s="162" t="s">
        <v>1</v>
      </c>
      <c r="W109" s="162" t="s">
        <v>1</v>
      </c>
      <c r="X109" s="162" t="s">
        <v>1</v>
      </c>
      <c r="Y109" s="162" t="s">
        <v>1</v>
      </c>
      <c r="Z109" s="162" t="s">
        <v>1</v>
      </c>
      <c r="AA109" s="162" t="s">
        <v>1</v>
      </c>
      <c r="AB109" s="162" t="s">
        <v>1</v>
      </c>
      <c r="AC109" s="162" t="s">
        <v>3</v>
      </c>
      <c r="AD109" s="162" t="s">
        <v>3</v>
      </c>
      <c r="AE109" s="162" t="s">
        <v>3</v>
      </c>
      <c r="AF109" s="162" t="s">
        <v>3</v>
      </c>
      <c r="AG109" s="162" t="s">
        <v>3</v>
      </c>
      <c r="AH109" s="162" t="s">
        <v>3</v>
      </c>
      <c r="AI109" s="162" t="s">
        <v>3</v>
      </c>
      <c r="AJ109" s="162" t="s">
        <v>3</v>
      </c>
      <c r="AK109" s="162" t="s">
        <v>3</v>
      </c>
      <c r="AL109" s="162" t="s">
        <v>3</v>
      </c>
      <c r="AM109" s="162" t="s">
        <v>1092</v>
      </c>
      <c r="AN109" s="162" t="s">
        <v>2</v>
      </c>
      <c r="AO109" s="162" t="s">
        <v>3</v>
      </c>
      <c r="AP109" s="162" t="s">
        <v>2</v>
      </c>
      <c r="AQ109" s="162" t="s">
        <v>3</v>
      </c>
      <c r="AR109" s="162" t="s">
        <v>2</v>
      </c>
      <c r="AS109" s="162" t="s">
        <v>2</v>
      </c>
    </row>
    <row r="110" spans="1:45" ht="12.75" x14ac:dyDescent="0.2">
      <c r="A110" s="177">
        <v>42643.475975312496</v>
      </c>
      <c r="B110" s="162" t="s">
        <v>1800</v>
      </c>
      <c r="C110" s="162" t="s">
        <v>1801</v>
      </c>
      <c r="D110" s="178">
        <v>52128254</v>
      </c>
      <c r="E110" s="162" t="s">
        <v>1482</v>
      </c>
      <c r="F110" s="162" t="s">
        <v>1479</v>
      </c>
      <c r="G110" s="179">
        <v>36572</v>
      </c>
      <c r="H110" s="162" t="s">
        <v>1802</v>
      </c>
      <c r="I110" s="162" t="s">
        <v>1092</v>
      </c>
      <c r="J110" s="162" t="s">
        <v>1092</v>
      </c>
      <c r="K110" s="162" t="s">
        <v>1092</v>
      </c>
      <c r="L110" s="162" t="s">
        <v>3</v>
      </c>
      <c r="M110" s="162" t="s">
        <v>3</v>
      </c>
      <c r="N110" s="162" t="s">
        <v>3</v>
      </c>
      <c r="O110" s="162" t="s">
        <v>1092</v>
      </c>
      <c r="P110" s="162" t="s">
        <v>3</v>
      </c>
      <c r="Q110" s="162" t="s">
        <v>3</v>
      </c>
      <c r="R110" s="162" t="s">
        <v>3</v>
      </c>
      <c r="S110" s="162" t="s">
        <v>3</v>
      </c>
      <c r="T110" s="162" t="s">
        <v>3</v>
      </c>
      <c r="U110" s="162" t="s">
        <v>3</v>
      </c>
      <c r="V110" s="162" t="s">
        <v>2</v>
      </c>
      <c r="W110" s="162" t="s">
        <v>3</v>
      </c>
      <c r="X110" s="162" t="s">
        <v>5</v>
      </c>
      <c r="Y110" s="162" t="s">
        <v>2</v>
      </c>
      <c r="Z110" s="162" t="s">
        <v>2</v>
      </c>
      <c r="AA110" s="162" t="s">
        <v>2</v>
      </c>
      <c r="AB110" s="162" t="s">
        <v>3</v>
      </c>
      <c r="AC110" s="162" t="s">
        <v>3</v>
      </c>
      <c r="AD110" s="162" t="s">
        <v>3</v>
      </c>
      <c r="AE110" s="162" t="s">
        <v>3</v>
      </c>
      <c r="AF110" s="162" t="s">
        <v>2</v>
      </c>
      <c r="AG110" s="162" t="s">
        <v>3</v>
      </c>
      <c r="AH110" s="162" t="s">
        <v>3</v>
      </c>
      <c r="AI110" s="162" t="s">
        <v>2</v>
      </c>
      <c r="AJ110" s="162" t="s">
        <v>3</v>
      </c>
      <c r="AK110" s="162" t="s">
        <v>2</v>
      </c>
      <c r="AL110" s="162" t="s">
        <v>2</v>
      </c>
      <c r="AM110" s="162" t="s">
        <v>3</v>
      </c>
      <c r="AN110" s="162" t="s">
        <v>3</v>
      </c>
      <c r="AO110" s="162" t="s">
        <v>3</v>
      </c>
      <c r="AP110" s="162" t="s">
        <v>3</v>
      </c>
      <c r="AQ110" s="162" t="s">
        <v>3</v>
      </c>
      <c r="AR110" s="162" t="s">
        <v>3</v>
      </c>
      <c r="AS110" s="162" t="s">
        <v>3</v>
      </c>
    </row>
    <row r="111" spans="1:45" ht="12.75" x14ac:dyDescent="0.2">
      <c r="A111" s="177">
        <v>42650.445439513889</v>
      </c>
      <c r="B111" s="162" t="s">
        <v>1803</v>
      </c>
      <c r="C111" s="162" t="s">
        <v>1804</v>
      </c>
      <c r="D111" s="178">
        <v>49742748</v>
      </c>
      <c r="E111" s="162" t="s">
        <v>1482</v>
      </c>
      <c r="F111" s="162" t="s">
        <v>1526</v>
      </c>
      <c r="G111" s="179">
        <v>42412</v>
      </c>
      <c r="H111" s="162" t="s">
        <v>1805</v>
      </c>
      <c r="I111" s="162" t="s">
        <v>1092</v>
      </c>
      <c r="J111" s="162" t="s">
        <v>3</v>
      </c>
      <c r="K111" s="162" t="s">
        <v>3</v>
      </c>
      <c r="L111" s="162" t="s">
        <v>3</v>
      </c>
      <c r="M111" s="162" t="s">
        <v>3</v>
      </c>
      <c r="N111" s="162" t="s">
        <v>1</v>
      </c>
      <c r="O111" s="162" t="s">
        <v>1</v>
      </c>
      <c r="P111" s="162" t="s">
        <v>3</v>
      </c>
      <c r="Q111" s="162" t="s">
        <v>1</v>
      </c>
      <c r="R111" s="162" t="s">
        <v>3</v>
      </c>
      <c r="S111" s="162" t="s">
        <v>3</v>
      </c>
      <c r="T111" s="162" t="s">
        <v>1</v>
      </c>
      <c r="U111" s="162" t="s">
        <v>3</v>
      </c>
      <c r="V111" s="162" t="s">
        <v>3</v>
      </c>
      <c r="W111" s="162" t="s">
        <v>3</v>
      </c>
      <c r="X111" s="162" t="s">
        <v>3</v>
      </c>
      <c r="Y111" s="162" t="s">
        <v>3</v>
      </c>
      <c r="Z111" s="162" t="s">
        <v>3</v>
      </c>
      <c r="AA111" s="162" t="s">
        <v>3</v>
      </c>
      <c r="AB111" s="162" t="s">
        <v>3</v>
      </c>
      <c r="AC111" s="162" t="s">
        <v>3</v>
      </c>
      <c r="AD111" s="162" t="s">
        <v>3</v>
      </c>
      <c r="AE111" s="162" t="s">
        <v>3</v>
      </c>
      <c r="AF111" s="162" t="s">
        <v>3</v>
      </c>
      <c r="AG111" s="162" t="s">
        <v>3</v>
      </c>
      <c r="AH111" s="162" t="s">
        <v>3</v>
      </c>
      <c r="AI111" s="162" t="s">
        <v>3</v>
      </c>
      <c r="AJ111" s="162" t="s">
        <v>3</v>
      </c>
      <c r="AK111" s="162" t="s">
        <v>3</v>
      </c>
      <c r="AL111" s="162" t="s">
        <v>3</v>
      </c>
      <c r="AM111" s="162" t="s">
        <v>3</v>
      </c>
      <c r="AN111" s="162" t="s">
        <v>3</v>
      </c>
      <c r="AO111" s="162" t="s">
        <v>3</v>
      </c>
      <c r="AP111" s="162" t="s">
        <v>3</v>
      </c>
      <c r="AQ111" s="162" t="s">
        <v>3</v>
      </c>
      <c r="AR111" s="162" t="s">
        <v>3</v>
      </c>
      <c r="AS111" s="162" t="s">
        <v>3</v>
      </c>
    </row>
    <row r="112" spans="1:45" ht="12.75" x14ac:dyDescent="0.2">
      <c r="A112" s="177">
        <v>42654.692674120372</v>
      </c>
      <c r="B112" s="162" t="s">
        <v>1806</v>
      </c>
      <c r="C112" s="162" t="s">
        <v>1807</v>
      </c>
      <c r="D112" s="178">
        <v>52114561</v>
      </c>
      <c r="E112" s="162" t="s">
        <v>1320</v>
      </c>
      <c r="F112" s="162" t="s">
        <v>1479</v>
      </c>
      <c r="G112" s="179">
        <v>36944</v>
      </c>
      <c r="H112" s="162" t="s">
        <v>1808</v>
      </c>
      <c r="I112" s="162" t="s">
        <v>3</v>
      </c>
      <c r="J112" s="162" t="s">
        <v>1092</v>
      </c>
      <c r="K112" s="162" t="s">
        <v>2</v>
      </c>
      <c r="L112" s="162" t="s">
        <v>3</v>
      </c>
      <c r="M112" s="162" t="s">
        <v>2</v>
      </c>
      <c r="N112" s="162" t="s">
        <v>1092</v>
      </c>
      <c r="O112" s="162" t="s">
        <v>1092</v>
      </c>
      <c r="P112" s="162" t="s">
        <v>3</v>
      </c>
      <c r="Q112" s="162" t="s">
        <v>3</v>
      </c>
      <c r="R112" s="162" t="s">
        <v>2</v>
      </c>
      <c r="S112" s="162" t="s">
        <v>3</v>
      </c>
      <c r="T112" s="162" t="s">
        <v>2</v>
      </c>
      <c r="U112" s="162" t="s">
        <v>3</v>
      </c>
      <c r="V112" s="162" t="s">
        <v>2</v>
      </c>
      <c r="W112" s="162" t="s">
        <v>2</v>
      </c>
      <c r="X112" s="162" t="s">
        <v>1</v>
      </c>
      <c r="Y112" s="162" t="s">
        <v>1</v>
      </c>
      <c r="Z112" s="162" t="s">
        <v>1</v>
      </c>
      <c r="AA112" s="162" t="s">
        <v>1</v>
      </c>
      <c r="AB112" s="162" t="s">
        <v>3</v>
      </c>
      <c r="AC112" s="162" t="s">
        <v>2</v>
      </c>
      <c r="AD112" s="162" t="s">
        <v>2</v>
      </c>
      <c r="AE112" s="162" t="s">
        <v>3</v>
      </c>
      <c r="AF112" s="162" t="s">
        <v>2</v>
      </c>
      <c r="AG112" s="162" t="s">
        <v>1092</v>
      </c>
      <c r="AH112" s="162" t="s">
        <v>1092</v>
      </c>
      <c r="AI112" s="162" t="s">
        <v>1092</v>
      </c>
      <c r="AJ112" s="162" t="s">
        <v>1092</v>
      </c>
      <c r="AK112" s="162" t="s">
        <v>2</v>
      </c>
      <c r="AL112" s="162" t="s">
        <v>1092</v>
      </c>
      <c r="AM112" s="162" t="s">
        <v>3</v>
      </c>
      <c r="AN112" s="162" t="s">
        <v>3</v>
      </c>
      <c r="AO112" s="162" t="s">
        <v>3</v>
      </c>
      <c r="AP112" s="162" t="s">
        <v>3</v>
      </c>
      <c r="AQ112" s="162" t="s">
        <v>2</v>
      </c>
      <c r="AR112" s="162" t="s">
        <v>2</v>
      </c>
      <c r="AS112" s="162" t="s">
        <v>1</v>
      </c>
    </row>
    <row r="113" spans="1:45" ht="12.75" x14ac:dyDescent="0.2">
      <c r="A113" s="177">
        <v>42664.679041226853</v>
      </c>
      <c r="B113" s="162" t="s">
        <v>1809</v>
      </c>
      <c r="C113" s="162" t="s">
        <v>1810</v>
      </c>
      <c r="D113" s="178">
        <v>79313253</v>
      </c>
      <c r="E113" s="162" t="s">
        <v>1320</v>
      </c>
      <c r="F113" s="162" t="s">
        <v>1660</v>
      </c>
      <c r="G113" s="179">
        <v>37422</v>
      </c>
      <c r="H113" s="162" t="s">
        <v>1811</v>
      </c>
      <c r="I113" s="162" t="s">
        <v>2</v>
      </c>
      <c r="J113" s="162" t="s">
        <v>2</v>
      </c>
      <c r="K113" s="162" t="s">
        <v>2</v>
      </c>
      <c r="L113" s="162" t="s">
        <v>2</v>
      </c>
      <c r="M113" s="162" t="s">
        <v>1092</v>
      </c>
      <c r="N113" s="162" t="s">
        <v>3</v>
      </c>
      <c r="O113" s="162" t="s">
        <v>3</v>
      </c>
      <c r="P113" s="162" t="s">
        <v>3</v>
      </c>
      <c r="Q113" s="162" t="s">
        <v>3</v>
      </c>
      <c r="R113" s="162" t="s">
        <v>2</v>
      </c>
      <c r="S113" s="162" t="s">
        <v>2</v>
      </c>
      <c r="T113" s="162" t="s">
        <v>2</v>
      </c>
      <c r="U113" s="162" t="s">
        <v>2</v>
      </c>
      <c r="V113" s="162" t="s">
        <v>2</v>
      </c>
      <c r="W113" s="162" t="s">
        <v>2</v>
      </c>
      <c r="X113" s="162" t="s">
        <v>2</v>
      </c>
      <c r="Y113" s="162" t="s">
        <v>3</v>
      </c>
      <c r="Z113" s="162" t="s">
        <v>3</v>
      </c>
      <c r="AA113" s="162" t="s">
        <v>3</v>
      </c>
      <c r="AB113" s="162" t="s">
        <v>1092</v>
      </c>
      <c r="AC113" s="162" t="s">
        <v>3</v>
      </c>
      <c r="AD113" s="162" t="s">
        <v>3</v>
      </c>
      <c r="AE113" s="162" t="s">
        <v>3</v>
      </c>
      <c r="AF113" s="162" t="s">
        <v>3</v>
      </c>
      <c r="AG113" s="162" t="s">
        <v>1092</v>
      </c>
      <c r="AH113" s="162" t="s">
        <v>1092</v>
      </c>
      <c r="AI113" s="162" t="s">
        <v>3</v>
      </c>
      <c r="AJ113" s="162" t="s">
        <v>3</v>
      </c>
      <c r="AK113" s="162" t="s">
        <v>1092</v>
      </c>
      <c r="AL113" s="162" t="s">
        <v>3</v>
      </c>
      <c r="AM113" s="162" t="s">
        <v>1092</v>
      </c>
      <c r="AN113" s="162" t="s">
        <v>1092</v>
      </c>
      <c r="AO113" s="162" t="s">
        <v>3</v>
      </c>
      <c r="AP113" s="162" t="s">
        <v>3</v>
      </c>
      <c r="AQ113" s="162" t="s">
        <v>3</v>
      </c>
      <c r="AR113" s="162" t="s">
        <v>3</v>
      </c>
      <c r="AS113" s="162" t="s">
        <v>3</v>
      </c>
    </row>
    <row r="114" spans="1:45" ht="12.75" x14ac:dyDescent="0.2">
      <c r="A114" s="177">
        <v>42671.693329108792</v>
      </c>
      <c r="B114" s="162" t="s">
        <v>1812</v>
      </c>
      <c r="C114" s="162" t="s">
        <v>1813</v>
      </c>
      <c r="D114" s="178">
        <v>79464398</v>
      </c>
      <c r="E114" s="162" t="s">
        <v>1320</v>
      </c>
      <c r="F114" s="162" t="s">
        <v>1500</v>
      </c>
      <c r="G114" s="179">
        <v>32699</v>
      </c>
      <c r="H114" s="162" t="s">
        <v>1814</v>
      </c>
      <c r="I114" s="162" t="s">
        <v>3</v>
      </c>
      <c r="J114" s="162" t="s">
        <v>3</v>
      </c>
      <c r="K114" s="162" t="s">
        <v>1092</v>
      </c>
      <c r="L114" s="162" t="s">
        <v>3</v>
      </c>
      <c r="M114" s="162" t="s">
        <v>3</v>
      </c>
      <c r="N114" s="162" t="s">
        <v>3</v>
      </c>
      <c r="O114" s="162" t="s">
        <v>3</v>
      </c>
      <c r="P114" s="162" t="s">
        <v>2</v>
      </c>
      <c r="Q114" s="162" t="s">
        <v>1</v>
      </c>
      <c r="R114" s="162" t="s">
        <v>2</v>
      </c>
      <c r="S114" s="162" t="s">
        <v>2</v>
      </c>
      <c r="T114" s="162" t="s">
        <v>2</v>
      </c>
      <c r="U114" s="162" t="s">
        <v>2</v>
      </c>
      <c r="V114" s="162" t="s">
        <v>3</v>
      </c>
      <c r="W114" s="162" t="s">
        <v>3</v>
      </c>
      <c r="X114" s="162" t="s">
        <v>1</v>
      </c>
      <c r="Y114" s="162" t="s">
        <v>2</v>
      </c>
      <c r="Z114" s="162" t="s">
        <v>2</v>
      </c>
      <c r="AA114" s="162" t="s">
        <v>3</v>
      </c>
      <c r="AB114" s="162" t="s">
        <v>3</v>
      </c>
      <c r="AC114" s="162" t="s">
        <v>1</v>
      </c>
      <c r="AD114" s="162" t="s">
        <v>1</v>
      </c>
      <c r="AE114" s="162" t="s">
        <v>2</v>
      </c>
      <c r="AF114" s="162" t="s">
        <v>1</v>
      </c>
      <c r="AG114" s="162" t="s">
        <v>2</v>
      </c>
      <c r="AH114" s="162" t="s">
        <v>2</v>
      </c>
      <c r="AI114" s="162" t="s">
        <v>2</v>
      </c>
      <c r="AJ114" s="162" t="s">
        <v>2</v>
      </c>
      <c r="AK114" s="162" t="s">
        <v>1</v>
      </c>
      <c r="AL114" s="162" t="s">
        <v>1</v>
      </c>
      <c r="AM114" s="162" t="s">
        <v>2</v>
      </c>
      <c r="AN114" s="162" t="s">
        <v>2</v>
      </c>
      <c r="AO114" s="162" t="s">
        <v>2</v>
      </c>
      <c r="AP114" s="162" t="s">
        <v>2</v>
      </c>
      <c r="AQ114" s="162" t="s">
        <v>2</v>
      </c>
      <c r="AR114" s="162" t="s">
        <v>2</v>
      </c>
      <c r="AS114" s="162" t="s">
        <v>2</v>
      </c>
    </row>
    <row r="115" spans="1:45" ht="12.75" x14ac:dyDescent="0.2">
      <c r="A115" s="177">
        <v>42717.399497511578</v>
      </c>
      <c r="B115" s="162" t="s">
        <v>1565</v>
      </c>
      <c r="C115" s="162" t="s">
        <v>1541</v>
      </c>
      <c r="D115" s="178">
        <v>52082587</v>
      </c>
      <c r="E115" s="162" t="s">
        <v>1320</v>
      </c>
      <c r="F115" s="162" t="s">
        <v>1488</v>
      </c>
      <c r="G115" s="179">
        <v>36935</v>
      </c>
      <c r="H115" s="162" t="s">
        <v>1542</v>
      </c>
      <c r="I115" s="162" t="s">
        <v>1092</v>
      </c>
      <c r="J115" s="162" t="s">
        <v>1092</v>
      </c>
      <c r="K115" s="162" t="s">
        <v>3</v>
      </c>
      <c r="L115" s="162" t="s">
        <v>3</v>
      </c>
      <c r="M115" s="162" t="s">
        <v>3</v>
      </c>
      <c r="N115" s="162" t="s">
        <v>3</v>
      </c>
      <c r="O115" s="162" t="s">
        <v>3</v>
      </c>
      <c r="P115" s="162" t="s">
        <v>5</v>
      </c>
      <c r="Q115" s="162" t="s">
        <v>5</v>
      </c>
      <c r="R115" s="162" t="s">
        <v>2</v>
      </c>
      <c r="S115" s="162" t="s">
        <v>2</v>
      </c>
      <c r="T115" s="162" t="s">
        <v>2</v>
      </c>
      <c r="U115" s="162" t="s">
        <v>3</v>
      </c>
      <c r="V115" s="162" t="s">
        <v>2</v>
      </c>
      <c r="W115" s="162" t="s">
        <v>2</v>
      </c>
      <c r="X115" s="162" t="s">
        <v>1</v>
      </c>
      <c r="Y115" s="162" t="s">
        <v>2</v>
      </c>
      <c r="Z115" s="162" t="s">
        <v>2</v>
      </c>
      <c r="AA115" s="162" t="s">
        <v>2</v>
      </c>
      <c r="AB115" s="162" t="s">
        <v>3</v>
      </c>
      <c r="AC115" s="162" t="s">
        <v>1093</v>
      </c>
      <c r="AD115" s="162" t="s">
        <v>1093</v>
      </c>
      <c r="AE115" s="162" t="s">
        <v>1093</v>
      </c>
      <c r="AF115" s="162" t="s">
        <v>1093</v>
      </c>
      <c r="AG115" s="162" t="s">
        <v>3</v>
      </c>
      <c r="AH115" s="162" t="s">
        <v>3</v>
      </c>
      <c r="AI115" s="162" t="s">
        <v>1</v>
      </c>
      <c r="AJ115" s="162" t="s">
        <v>1</v>
      </c>
      <c r="AK115" s="162" t="s">
        <v>1093</v>
      </c>
      <c r="AL115" s="162" t="s">
        <v>1093</v>
      </c>
      <c r="AM115" s="162" t="s">
        <v>2</v>
      </c>
      <c r="AN115" s="162" t="s">
        <v>2</v>
      </c>
      <c r="AO115" s="162" t="s">
        <v>2</v>
      </c>
      <c r="AP115" s="162" t="s">
        <v>2</v>
      </c>
      <c r="AQ115" s="162" t="s">
        <v>2</v>
      </c>
      <c r="AR115" s="162" t="s">
        <v>2</v>
      </c>
      <c r="AS115" s="162" t="s">
        <v>2</v>
      </c>
    </row>
  </sheetData>
  <autoFilter ref="A1:AU11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3"/>
  <sheetViews>
    <sheetView zoomScale="85" zoomScaleNormal="85" zoomScalePageLayoutView="85" workbookViewId="0">
      <selection activeCell="B5" sqref="B5"/>
    </sheetView>
  </sheetViews>
  <sheetFormatPr baseColWidth="10" defaultColWidth="11.42578125" defaultRowHeight="12.75" x14ac:dyDescent="0.2"/>
  <cols>
    <col min="1" max="1" width="33.7109375" style="161" customWidth="1"/>
    <col min="2" max="2" width="29.7109375" style="161" customWidth="1"/>
    <col min="3" max="3" width="13.85546875" style="161" customWidth="1"/>
    <col min="4" max="4" width="25.28515625" style="161" customWidth="1"/>
    <col min="5" max="5" width="11" style="161" customWidth="1"/>
    <col min="6" max="6" width="25.140625" style="161" customWidth="1"/>
    <col min="7" max="7" width="35.42578125" style="161" customWidth="1"/>
    <col min="8" max="8" width="12.42578125" style="161" bestFit="1" customWidth="1"/>
    <col min="9" max="9" width="4.42578125" style="161" customWidth="1"/>
    <col min="10" max="16384" width="11.42578125" style="161"/>
  </cols>
  <sheetData>
    <row r="2" spans="1:8" ht="15" x14ac:dyDescent="0.25">
      <c r="A2"/>
      <c r="B2" s="164" t="s">
        <v>2816</v>
      </c>
      <c r="C2"/>
      <c r="D2"/>
      <c r="E2"/>
      <c r="F2"/>
      <c r="G2"/>
      <c r="H2"/>
    </row>
    <row r="3" spans="1:8" ht="15" x14ac:dyDescent="0.25">
      <c r="A3"/>
      <c r="B3" t="s">
        <v>1093</v>
      </c>
      <c r="C3" t="s">
        <v>1</v>
      </c>
      <c r="D3" t="s">
        <v>2</v>
      </c>
      <c r="E3" t="s">
        <v>3</v>
      </c>
      <c r="F3" t="s">
        <v>1092</v>
      </c>
      <c r="G3" t="s">
        <v>5</v>
      </c>
      <c r="H3" t="s">
        <v>1096</v>
      </c>
    </row>
    <row r="4" spans="1:8" ht="45" x14ac:dyDescent="0.25">
      <c r="A4" s="166" t="s">
        <v>1336</v>
      </c>
      <c r="B4" s="165">
        <v>2</v>
      </c>
      <c r="C4" s="165">
        <v>1</v>
      </c>
      <c r="D4" s="165">
        <v>15</v>
      </c>
      <c r="E4" s="165">
        <v>53</v>
      </c>
      <c r="F4" s="165">
        <v>38</v>
      </c>
      <c r="G4" s="165">
        <v>5</v>
      </c>
      <c r="H4" s="165">
        <v>114</v>
      </c>
    </row>
    <row r="5" spans="1:8" ht="15" x14ac:dyDescent="0.25">
      <c r="A5"/>
      <c r="B5" s="214">
        <f>GETPIVOTDATA("1. Conozco la misión de la Universidad Distrital Francisco José de Caldas.",$A$2,"1. Conozco la misión de la Universidad Distrital Francisco José de Caldas.","Totalmente en desacuerdo / NO")/GETPIVOTDATA("1. Conozco la misión de la Universidad Distrital Francisco José de Caldas.",$A$2)</f>
        <v>1.7543859649122806E-2</v>
      </c>
      <c r="C5" s="218">
        <f>GETPIVOTDATA("1. Conozco la misión de la Universidad Distrital Francisco José de Caldas.",$A$2,"1. Conozco la misión de la Universidad Distrital Francisco José de Caldas.","En desacuerdo")/GETPIVOTDATA("1. Conozco la misión de la Universidad Distrital Francisco José de Caldas.",$A$2)</f>
        <v>8.771929824561403E-3</v>
      </c>
      <c r="D5" s="218">
        <f>GETPIVOTDATA("1. Conozco la misión de la Universidad Distrital Francisco José de Caldas.",$A$2,"1. Conozco la misión de la Universidad Distrital Francisco José de Caldas.","Medianamente de acuerdo")/GETPIVOTDATA("1. Conozco la misión de la Universidad Distrital Francisco José de Caldas.",$A$2)</f>
        <v>0.13157894736842105</v>
      </c>
      <c r="E5" s="218">
        <f>+GETPIVOTDATA("1. Conozco la misión de la Universidad Distrital Francisco José de Caldas.",$A$2,"1. Conozco la misión de la Universidad Distrital Francisco José de Caldas.","De acuerdo")/GETPIVOTDATA("1. Conozco la misión de la Universidad Distrital Francisco José de Caldas.",$A$2)</f>
        <v>0.46491228070175439</v>
      </c>
      <c r="F5" s="218">
        <f>+GETPIVOTDATA("1. Conozco la misión de la Universidad Distrital Francisco José de Caldas.",$A$2,"1. Conozco la misión de la Universidad Distrital Francisco José de Caldas.","Totalmente de acuerdo / SI")/GETPIVOTDATA("1. Conozco la misión de la Universidad Distrital Francisco José de Caldas.",$A$2)</f>
        <v>0.33333333333333331</v>
      </c>
      <c r="G5" s="218">
        <f>+GETPIVOTDATA("1. Conozco la misión de la Universidad Distrital Francisco José de Caldas.",$A$2,"1. Conozco la misión de la Universidad Distrital Francisco José de Caldas.","No sabe / No puede opinar al respecto")/GETPIVOTDATA("1. Conozco la misión de la Universidad Distrital Francisco José de Caldas.",$A$2)</f>
        <v>4.3859649122807015E-2</v>
      </c>
      <c r="H5" s="218">
        <f>SUM(B5:G5)</f>
        <v>0.99999999999999989</v>
      </c>
    </row>
    <row r="6" spans="1:8" ht="15" x14ac:dyDescent="0.25">
      <c r="A6"/>
      <c r="B6" s="164" t="s">
        <v>2816</v>
      </c>
      <c r="C6"/>
      <c r="D6"/>
      <c r="E6"/>
      <c r="F6"/>
      <c r="G6"/>
    </row>
    <row r="7" spans="1:8" ht="15" x14ac:dyDescent="0.25">
      <c r="A7"/>
      <c r="B7" t="s">
        <v>1093</v>
      </c>
      <c r="C7" t="s">
        <v>2</v>
      </c>
      <c r="D7" t="s">
        <v>3</v>
      </c>
      <c r="E7" t="s">
        <v>1092</v>
      </c>
      <c r="F7" t="s">
        <v>5</v>
      </c>
      <c r="G7" t="s">
        <v>1096</v>
      </c>
    </row>
    <row r="8" spans="1:8" ht="45" x14ac:dyDescent="0.25">
      <c r="A8" s="166" t="s">
        <v>1337</v>
      </c>
      <c r="B8" s="165">
        <v>2</v>
      </c>
      <c r="C8" s="165">
        <v>20</v>
      </c>
      <c r="D8" s="165">
        <v>46</v>
      </c>
      <c r="E8" s="165">
        <v>39</v>
      </c>
      <c r="F8" s="165">
        <v>7</v>
      </c>
      <c r="G8" s="165">
        <v>114</v>
      </c>
    </row>
    <row r="9" spans="1:8" ht="15" x14ac:dyDescent="0.25">
      <c r="A9"/>
      <c r="B9" s="214">
        <f>+GETPIVOTDATA("2. Me siento identificado con la misión de la Universidad Distrital Francisco José de Caldas.",$A$6,"2. Me siento identificado con la misión de la Universidad Distrital Francisco José de Caldas.","Totalmente en desacuerdo / NO")/GETPIVOTDATA("2. Me siento identificado con la misión de la Universidad Distrital Francisco José de Caldas.",$A$6)</f>
        <v>1.7543859649122806E-2</v>
      </c>
      <c r="C9" s="218">
        <f>+GETPIVOTDATA("2. Me siento identificado con la misión de la Universidad Distrital Francisco José de Caldas.",$A$6,"2. Me siento identificado con la misión de la Universidad Distrital Francisco José de Caldas.","Medianamente de acuerdo")/GETPIVOTDATA("2. Me siento identificado con la misión de la Universidad Distrital Francisco José de Caldas.",$A$6)</f>
        <v>0.17543859649122806</v>
      </c>
      <c r="D9" s="218">
        <f>+GETPIVOTDATA("2. Me siento identificado con la misión de la Universidad Distrital Francisco José de Caldas.",$A$6,"2. Me siento identificado con la misión de la Universidad Distrital Francisco José de Caldas.","De acuerdo")/GETPIVOTDATA("2. Me siento identificado con la misión de la Universidad Distrital Francisco José de Caldas.",$A$6)</f>
        <v>0.40350877192982454</v>
      </c>
      <c r="E9" s="218">
        <f>+GETPIVOTDATA("2. Me siento identificado con la misión de la Universidad Distrital Francisco José de Caldas.",$A$6,"2. Me siento identificado con la misión de la Universidad Distrital Francisco José de Caldas.","Totalmente de acuerdo / SI")/GETPIVOTDATA("2. Me siento identificado con la misión de la Universidad Distrital Francisco José de Caldas.",$A$6)</f>
        <v>0.34210526315789475</v>
      </c>
      <c r="F9" s="218">
        <f>+GETPIVOTDATA("2. Me siento identificado con la misión de la Universidad Distrital Francisco José de Caldas.",$A$6,"2. Me siento identificado con la misión de la Universidad Distrital Francisco José de Caldas.","No sabe / No puede opinar al respecto")/GETPIVOTDATA("2. Me siento identificado con la misión de la Universidad Distrital Francisco José de Caldas.",$A$6)</f>
        <v>6.1403508771929821E-2</v>
      </c>
      <c r="H9" s="218">
        <f>SUM(B9:G9)</f>
        <v>1</v>
      </c>
    </row>
    <row r="10" spans="1:8" ht="15" x14ac:dyDescent="0.25">
      <c r="A10"/>
      <c r="B10" s="164" t="s">
        <v>2816</v>
      </c>
      <c r="C10"/>
      <c r="D10"/>
      <c r="E10"/>
      <c r="F10"/>
      <c r="G10"/>
    </row>
    <row r="11" spans="1:8" ht="15" x14ac:dyDescent="0.25">
      <c r="A11"/>
      <c r="B11" t="s">
        <v>1093</v>
      </c>
      <c r="C11" t="s">
        <v>2</v>
      </c>
      <c r="D11" t="s">
        <v>3</v>
      </c>
      <c r="E11" t="s">
        <v>1092</v>
      </c>
      <c r="F11" t="s">
        <v>5</v>
      </c>
      <c r="G11" t="s">
        <v>1096</v>
      </c>
    </row>
    <row r="12" spans="1:8" ht="105" x14ac:dyDescent="0.25">
      <c r="A12" s="166" t="s">
        <v>1815</v>
      </c>
      <c r="B12" s="165">
        <v>4</v>
      </c>
      <c r="C12" s="165">
        <v>17</v>
      </c>
      <c r="D12" s="165">
        <v>45</v>
      </c>
      <c r="E12" s="165">
        <v>46</v>
      </c>
      <c r="F12" s="165">
        <v>2</v>
      </c>
      <c r="G12" s="165">
        <v>114</v>
      </c>
    </row>
    <row r="13" spans="1:8" ht="15" x14ac:dyDescent="0.25">
      <c r="A13"/>
      <c r="B13" s="214">
        <f>+GETPIVOTDATA("3. Considero que la Universidad Distrital Francisco José de Caldas es una alternativa real para acceder al conocimiento por parte de los mejores egresados de la educación media de Bogotá con menores ingresos.",$A$10,"3. Considero que la Universidad Distrital Francisco José de Caldas es una alternativa real para acceder al conocimiento por parte de los mejores egresados de la educación media de Bogotá con menores ingresos.","Totalmente en desacuerdo / NO")/GETPIVOTDATA("3. Considero que la Universidad Distrital Francisco José de Caldas es una alternativa real para acceder al conocimiento por parte de los mejores egresados de la educación media de Bogotá con menores ingresos.",$A$10)</f>
        <v>3.5087719298245612E-2</v>
      </c>
      <c r="C13" s="218">
        <f>+GETPIVOTDATA("3. Considero que la Universidad Distrital Francisco José de Caldas es una alternativa real para acceder al conocimiento por parte de los mejores egresados de la educación media de Bogotá con menores ingresos.",$A$10,"3. Considero que la Universidad Distrital Francisco José de Caldas es una alternativa real para acceder al conocimiento por parte de los mejores egresados de la educación media de Bogotá con menores ingresos.","Medianamente de acuerdo")/GETPIVOTDATA("3. Considero que la Universidad Distrital Francisco José de Caldas es una alternativa real para acceder al conocimiento por parte de los mejores egresados de la educación media de Bogotá con menores ingresos.",$A$10)</f>
        <v>0.14912280701754385</v>
      </c>
      <c r="D13" s="218">
        <f>+GETPIVOTDATA("3. Considero que la Universidad Distrital Francisco José de Caldas es una alternativa real para acceder al conocimiento por parte de los mejores egresados de la educación media de Bogotá con menores ingresos.",$A$10,"3. Considero que la Universidad Distrital Francisco José de Caldas es una alternativa real para acceder al conocimiento por parte de los mejores egresados de la educación media de Bogotá con menores ingresos.","De acuerdo")/GETPIVOTDATA("3. Considero que la Universidad Distrital Francisco José de Caldas es una alternativa real para acceder al conocimiento por parte de los mejores egresados de la educación media de Bogotá con menores ingresos.",$A$10)</f>
        <v>0.39473684210526316</v>
      </c>
      <c r="E13" s="218">
        <f>+GETPIVOTDATA("3. Considero que la Universidad Distrital Francisco José de Caldas es una alternativa real para acceder al conocimiento por parte de los mejores egresados de la educación media de Bogotá con menores ingresos.",$A$10,"3. Considero que la Universidad Distrital Francisco José de Caldas es una alternativa real para acceder al conocimiento por parte de los mejores egresados de la educación media de Bogotá con menores ingresos.","Totalmente de acuerdo / SI")/GETPIVOTDATA("3. Considero que la Universidad Distrital Francisco José de Caldas es una alternativa real para acceder al conocimiento por parte de los mejores egresados de la educación media de Bogotá con menores ingresos.",$A$10)</f>
        <v>0.40350877192982454</v>
      </c>
      <c r="F13" s="218">
        <f>+GETPIVOTDATA("3. Considero que la Universidad Distrital Francisco José de Caldas es una alternativa real para acceder al conocimiento por parte de los mejores egresados de la educación media de Bogotá con menores ingresos.",$A$10,"3. Considero que la Universidad Distrital Francisco José de Caldas es una alternativa real para acceder al conocimiento por parte de los mejores egresados de la educación media de Bogotá con menores ingresos.","No sabe / No puede opinar al respecto")/GETPIVOTDATA("3. Considero que la Universidad Distrital Francisco José de Caldas es una alternativa real para acceder al conocimiento por parte de los mejores egresados de la educación media de Bogotá con menores ingresos.",$A$10)</f>
        <v>1.7543859649122806E-2</v>
      </c>
      <c r="H13" s="218">
        <f>SUM(B13:G13)</f>
        <v>1</v>
      </c>
    </row>
    <row r="14" spans="1:8" ht="15" x14ac:dyDescent="0.25">
      <c r="A14"/>
      <c r="B14" s="164" t="s">
        <v>2816</v>
      </c>
      <c r="C14"/>
      <c r="D14"/>
      <c r="E14"/>
      <c r="F14"/>
      <c r="G14"/>
    </row>
    <row r="15" spans="1:8" ht="15" x14ac:dyDescent="0.25">
      <c r="A15"/>
      <c r="B15" t="s">
        <v>1093</v>
      </c>
      <c r="C15" t="s">
        <v>2</v>
      </c>
      <c r="D15" t="s">
        <v>3</v>
      </c>
      <c r="E15" t="s">
        <v>1092</v>
      </c>
      <c r="F15" t="s">
        <v>5</v>
      </c>
      <c r="G15" t="s">
        <v>1096</v>
      </c>
    </row>
    <row r="16" spans="1:8" ht="90" x14ac:dyDescent="0.25">
      <c r="A16" s="166" t="s">
        <v>1339</v>
      </c>
      <c r="B16" s="165">
        <v>4</v>
      </c>
      <c r="C16" s="165">
        <v>28</v>
      </c>
      <c r="D16" s="165">
        <v>44</v>
      </c>
      <c r="E16" s="165">
        <v>37</v>
      </c>
      <c r="F16" s="165">
        <v>1</v>
      </c>
      <c r="G16" s="165">
        <v>114</v>
      </c>
    </row>
    <row r="17" spans="1:8" ht="15" x14ac:dyDescent="0.25">
      <c r="A17"/>
      <c r="B17" s="215">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país.","Totalmente en desacuerdo / NO")/GETPIVOTDATA("4. Considero que la Universidad Distrital Francisco José de Caldas desarrolla una educación de alta calidad con capacidad de responder a los retos del Distrito Capital y del país.",$A$14)</f>
        <v>3.5087719298245612E-2</v>
      </c>
      <c r="C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país.","Medianamente de acuerdo")/GETPIVOTDATA("4. Considero que la Universidad Distrital Francisco José de Caldas desarrolla una educación de alta calidad con capacidad de responder a los retos del Distrito Capital y del país.",$A$14)</f>
        <v>0.24561403508771928</v>
      </c>
      <c r="D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país.","De acuerdo")/GETPIVOTDATA("4. Considero que la Universidad Distrital Francisco José de Caldas desarrolla una educación de alta calidad con capacidad de responder a los retos del Distrito Capital y del país.",$A$14)</f>
        <v>0.38596491228070173</v>
      </c>
      <c r="E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país.","Totalmente de acuerdo / SI")/GETPIVOTDATA("4. Considero que la Universidad Distrital Francisco José de Caldas desarrolla una educación de alta calidad con capacidad de responder a los retos del Distrito Capital y del país.",$A$14)</f>
        <v>0.32456140350877194</v>
      </c>
      <c r="F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país.","No sabe / No puede opinar al respecto")/GETPIVOTDATA("4. Considero que la Universidad Distrital Francisco José de Caldas desarrolla una educación de alta calidad con capacidad de responder a los retos del Distrito Capital y del país.",$A$14)</f>
        <v>8.771929824561403E-3</v>
      </c>
      <c r="H17" s="218">
        <f>SUM(B17:G17)</f>
        <v>1</v>
      </c>
    </row>
    <row r="18" spans="1:8" ht="15" x14ac:dyDescent="0.25">
      <c r="A18"/>
      <c r="B18" s="164" t="s">
        <v>2816</v>
      </c>
      <c r="C18"/>
      <c r="D18"/>
      <c r="E18"/>
      <c r="F18"/>
      <c r="G18"/>
      <c r="H18"/>
    </row>
    <row r="19" spans="1:8" ht="15" x14ac:dyDescent="0.25">
      <c r="A19"/>
      <c r="B19" t="s">
        <v>1093</v>
      </c>
      <c r="C19" t="s">
        <v>1</v>
      </c>
      <c r="D19" t="s">
        <v>2</v>
      </c>
      <c r="E19" t="s">
        <v>3</v>
      </c>
      <c r="F19" t="s">
        <v>1092</v>
      </c>
      <c r="G19" t="s">
        <v>5</v>
      </c>
      <c r="H19" t="s">
        <v>1096</v>
      </c>
    </row>
    <row r="20" spans="1:8" ht="60" x14ac:dyDescent="0.25">
      <c r="A20" s="166" t="s">
        <v>1816</v>
      </c>
      <c r="B20" s="165">
        <v>3</v>
      </c>
      <c r="C20" s="165">
        <v>7</v>
      </c>
      <c r="D20" s="165">
        <v>34</v>
      </c>
      <c r="E20" s="165">
        <v>35</v>
      </c>
      <c r="F20" s="165">
        <v>17</v>
      </c>
      <c r="G20" s="165">
        <v>18</v>
      </c>
      <c r="H20" s="165">
        <v>114</v>
      </c>
    </row>
    <row r="21" spans="1:8" ht="15" x14ac:dyDescent="0.25">
      <c r="A21"/>
      <c r="B21" s="215">
        <f>+GETPIVOTDATA("5. Conozco el Proyecto Educativo (PEP) de los programas académicos con los cuales me he relacionado.",$A$18,"5. Conozco el Proyecto Educativo (PEP) de los programas académicos con los cuales me he relacionado.","Totalmente en desacuerdo / NO")/GETPIVOTDATA("5. Conozco el Proyecto Educativo (PEP) de los programas académicos con los cuales me he relacionado.",$A$18)</f>
        <v>2.6315789473684209E-2</v>
      </c>
      <c r="C21" s="217">
        <f>+GETPIVOTDATA("5. Conozco el Proyecto Educativo (PEP) de los programas académicos con los cuales me he relacionado.",$A$18,"5. Conozco el Proyecto Educativo (PEP) de los programas académicos con los cuales me he relacionado.","En desacuerdo")/GETPIVOTDATA("5. Conozco el Proyecto Educativo (PEP) de los programas académicos con los cuales me he relacionado.",$A$18)</f>
        <v>6.1403508771929821E-2</v>
      </c>
      <c r="D21" s="217">
        <f>+GETPIVOTDATA("5. Conozco el Proyecto Educativo (PEP) de los programas académicos con los cuales me he relacionado.",$A$18,"5. Conozco el Proyecto Educativo (PEP) de los programas académicos con los cuales me he relacionado.","Medianamente de acuerdo")/GETPIVOTDATA("5. Conozco el Proyecto Educativo (PEP) de los programas académicos con los cuales me he relacionado.",$A$18)</f>
        <v>0.2982456140350877</v>
      </c>
      <c r="E21" s="217">
        <f>+GETPIVOTDATA("5. Conozco el Proyecto Educativo (PEP) de los programas académicos con los cuales me he relacionado.",$A$18,"5. Conozco el Proyecto Educativo (PEP) de los programas académicos con los cuales me he relacionado.","De acuerdo")/GETPIVOTDATA("5. Conozco el Proyecto Educativo (PEP) de los programas académicos con los cuales me he relacionado.",$A$18)</f>
        <v>0.30701754385964913</v>
      </c>
      <c r="F21" s="217">
        <f>+GETPIVOTDATA("5. Conozco el Proyecto Educativo (PEP) de los programas académicos con los cuales me he relacionado.",$A$18,"5. Conozco el Proyecto Educativo (PEP) de los programas académicos con los cuales me he relacionado.","Totalmente de acuerdo / SI")/GETPIVOTDATA("5. Conozco el Proyecto Educativo (PEP) de los programas académicos con los cuales me he relacionado.",$A$18)</f>
        <v>0.14912280701754385</v>
      </c>
      <c r="G21" s="217">
        <f>+GETPIVOTDATA("5. Conozco el Proyecto Educativo (PEP) de los programas académicos con los cuales me he relacionado.",$A$18,"5. Conozco el Proyecto Educativo (PEP) de los programas académicos con los cuales me he relacionado.","No sabe / No puede opinar al respecto")/GETPIVOTDATA("5. Conozco el Proyecto Educativo (PEP) de los programas académicos con los cuales me he relacionado.",$A$18)</f>
        <v>0.15789473684210525</v>
      </c>
      <c r="H21" s="218">
        <f>SUM(B21:G21)</f>
        <v>1</v>
      </c>
    </row>
    <row r="22" spans="1:8" ht="15" x14ac:dyDescent="0.25">
      <c r="A22"/>
      <c r="B22" s="164" t="s">
        <v>2816</v>
      </c>
      <c r="C22"/>
      <c r="D22"/>
      <c r="E22"/>
      <c r="F22"/>
      <c r="G22"/>
      <c r="H22"/>
    </row>
    <row r="23" spans="1:8" ht="15" x14ac:dyDescent="0.25">
      <c r="A23"/>
      <c r="B23" t="s">
        <v>1093</v>
      </c>
      <c r="C23" t="s">
        <v>1</v>
      </c>
      <c r="D23" t="s">
        <v>2</v>
      </c>
      <c r="E23" t="s">
        <v>3</v>
      </c>
      <c r="F23" t="s">
        <v>1092</v>
      </c>
      <c r="G23" t="s">
        <v>5</v>
      </c>
      <c r="H23" t="s">
        <v>1096</v>
      </c>
    </row>
    <row r="24" spans="1:8" ht="60" x14ac:dyDescent="0.25">
      <c r="A24" s="166" t="s">
        <v>1817</v>
      </c>
      <c r="B24" s="165">
        <v>3</v>
      </c>
      <c r="C24" s="165">
        <v>6</v>
      </c>
      <c r="D24" s="165">
        <v>17</v>
      </c>
      <c r="E24" s="165">
        <v>30</v>
      </c>
      <c r="F24" s="165">
        <v>46</v>
      </c>
      <c r="G24" s="165">
        <v>12</v>
      </c>
      <c r="H24" s="165">
        <v>114</v>
      </c>
    </row>
    <row r="25" spans="1:8" ht="15" x14ac:dyDescent="0.25">
      <c r="A25"/>
      <c r="B25" s="215">
        <f>+GETPIVOTDATA("6. Conozco las diferencias entre los programas de formación en ingeniería por ciclos y los programas de ingeniería tradicional.",$A$22,"6. Conozco las diferencias entre los programas de formación en ingeniería por ciclos y los programas de ingeniería tradicional.","Totalmente en desacuerdo / NO")/GETPIVOTDATA("6. Conozco las diferencias entre los programas de formación en ingeniería por ciclos y los programas de ingeniería tradicional.",$A$22)</f>
        <v>2.6315789473684209E-2</v>
      </c>
      <c r="C25" s="217">
        <f>+GETPIVOTDATA("6. Conozco las diferencias entre los programas de formación en ingeniería por ciclos y los programas de ingeniería tradicional.",$A$22,"6. Conozco las diferencias entre los programas de formación en ingeniería por ciclos y los programas de ingeniería tradicional.","En desacuerdo")/GETPIVOTDATA("6. Conozco las diferencias entre los programas de formación en ingeniería por ciclos y los programas de ingeniería tradicional.",$A$22)</f>
        <v>5.2631578947368418E-2</v>
      </c>
      <c r="D25" s="217">
        <f>+GETPIVOTDATA("6. Conozco las diferencias entre los programas de formación en ingeniería por ciclos y los programas de ingeniería tradicional.",$A$22,"6. Conozco las diferencias entre los programas de formación en ingeniería por ciclos y los programas de ingeniería tradicional.","Medianamente de acuerdo")/GETPIVOTDATA("6. Conozco las diferencias entre los programas de formación en ingeniería por ciclos y los programas de ingeniería tradicional.",$A$22)</f>
        <v>0.14912280701754385</v>
      </c>
      <c r="E25" s="217">
        <f>+GETPIVOTDATA("6. Conozco las diferencias entre los programas de formación en ingeniería por ciclos y los programas de ingeniería tradicional.",$A$22,"6. Conozco las diferencias entre los programas de formación en ingeniería por ciclos y los programas de ingeniería tradicional.","De acuerdo")/GETPIVOTDATA("6. Conozco las diferencias entre los programas de formación en ingeniería por ciclos y los programas de ingeniería tradicional.",$A$22)</f>
        <v>0.26315789473684209</v>
      </c>
      <c r="F25" s="217">
        <f>+GETPIVOTDATA("6. Conozco las diferencias entre los programas de formación en ingeniería por ciclos y los programas de ingeniería tradicional.",$A$22,"6. Conozco las diferencias entre los programas de formación en ingeniería por ciclos y los programas de ingeniería tradicional.","Totalmente de acuerdo / SI")/GETPIVOTDATA("6. Conozco las diferencias entre los programas de formación en ingeniería por ciclos y los programas de ingeniería tradicional.",$A$22)</f>
        <v>0.40350877192982454</v>
      </c>
      <c r="G25" s="217">
        <f>+GETPIVOTDATA("6. Conozco las diferencias entre los programas de formación en ingeniería por ciclos y los programas de ingeniería tradicional.",$A$22,"6. Conozco las diferencias entre los programas de formación en ingeniería por ciclos y los programas de ingeniería tradicional.","No sabe / No puede opinar al respecto")/GETPIVOTDATA("6. Conozco las diferencias entre los programas de formación en ingeniería por ciclos y los programas de ingeniería tradicional.",$A$22)</f>
        <v>0.10526315789473684</v>
      </c>
      <c r="H25" s="218">
        <f>SUM(B25:G25)</f>
        <v>0.99999999999999989</v>
      </c>
    </row>
    <row r="26" spans="1:8" ht="15" x14ac:dyDescent="0.25">
      <c r="A26"/>
      <c r="B26" s="164" t="s">
        <v>2816</v>
      </c>
      <c r="C26"/>
      <c r="D26"/>
      <c r="E26"/>
      <c r="F26"/>
      <c r="G26"/>
      <c r="H26"/>
    </row>
    <row r="27" spans="1:8" ht="15" x14ac:dyDescent="0.25">
      <c r="A27"/>
      <c r="B27" t="s">
        <v>1093</v>
      </c>
      <c r="C27" t="s">
        <v>1</v>
      </c>
      <c r="D27" t="s">
        <v>2</v>
      </c>
      <c r="E27" t="s">
        <v>3</v>
      </c>
      <c r="F27" t="s">
        <v>1092</v>
      </c>
      <c r="G27" t="s">
        <v>5</v>
      </c>
      <c r="H27" t="s">
        <v>1096</v>
      </c>
    </row>
    <row r="28" spans="1:8" ht="60" x14ac:dyDescent="0.25">
      <c r="A28" s="166" t="s">
        <v>1818</v>
      </c>
      <c r="B28" s="165">
        <v>7</v>
      </c>
      <c r="C28" s="165">
        <v>4</v>
      </c>
      <c r="D28" s="165">
        <v>16</v>
      </c>
      <c r="E28" s="165">
        <v>34</v>
      </c>
      <c r="F28" s="165">
        <v>39</v>
      </c>
      <c r="G28" s="165">
        <v>14</v>
      </c>
      <c r="H28" s="165">
        <v>114</v>
      </c>
    </row>
    <row r="29" spans="1:8" ht="15" x14ac:dyDescent="0.25">
      <c r="A29"/>
      <c r="B29" s="215">
        <f>+GETPIVOTDATA("7. Tengo claro qué es y para qué sirve el componente propedéutico en un programa de ingeniería por ciclos.",$A$26,"7. Tengo claro qué es y para qué sirve el componente propedéutico en un programa de ingeniería por ciclos.","Totalmente en desacuerdo / NO")/GETPIVOTDATA("7. Tengo claro qué es y para qué sirve el componente propedéutico en un programa de ingeniería por ciclos.",$A$26)</f>
        <v>6.1403508771929821E-2</v>
      </c>
      <c r="C29" s="217">
        <f>+GETPIVOTDATA("7. Tengo claro qué es y para qué sirve el componente propedéutico en un programa de ingeniería por ciclos.",$A$26,"7. Tengo claro qué es y para qué sirve el componente propedéutico en un programa de ingeniería por ciclos.","En desacuerdo")/GETPIVOTDATA("7. Tengo claro qué es y para qué sirve el componente propedéutico en un programa de ingeniería por ciclos.",$A$26)</f>
        <v>3.5087719298245612E-2</v>
      </c>
      <c r="D29" s="217">
        <f>+GETPIVOTDATA("7. Tengo claro qué es y para qué sirve el componente propedéutico en un programa de ingeniería por ciclos.",$A$26,"7. Tengo claro qué es y para qué sirve el componente propedéutico en un programa de ingeniería por ciclos.","Medianamente de acuerdo")/GETPIVOTDATA("7. Tengo claro qué es y para qué sirve el componente propedéutico en un programa de ingeniería por ciclos.",$A$26)</f>
        <v>0.14035087719298245</v>
      </c>
      <c r="E29" s="217">
        <f>+GETPIVOTDATA("7. Tengo claro qué es y para qué sirve el componente propedéutico en un programa de ingeniería por ciclos.",$A$26,"7. Tengo claro qué es y para qué sirve el componente propedéutico en un programa de ingeniería por ciclos.","De acuerdo")/GETPIVOTDATA("7. Tengo claro qué es y para qué sirve el componente propedéutico en un programa de ingeniería por ciclos.",$A$26)</f>
        <v>0.2982456140350877</v>
      </c>
      <c r="F29" s="217">
        <f>+GETPIVOTDATA("7. Tengo claro qué es y para qué sirve el componente propedéutico en un programa de ingeniería por ciclos.",$A$26,"7. Tengo claro qué es y para qué sirve el componente propedéutico en un programa de ingeniería por ciclos.","Totalmente de acuerdo / SI")/GETPIVOTDATA("7. Tengo claro qué es y para qué sirve el componente propedéutico en un programa de ingeniería por ciclos.",$A$26)</f>
        <v>0.34210526315789475</v>
      </c>
      <c r="G29" s="217">
        <f>+GETPIVOTDATA("7. Tengo claro qué es y para qué sirve el componente propedéutico en un programa de ingeniería por ciclos.",$A$26,"7. Tengo claro qué es y para qué sirve el componente propedéutico en un programa de ingeniería por ciclos.","No sabe / No puede opinar al respecto")/GETPIVOTDATA("7. Tengo claro qué es y para qué sirve el componente propedéutico en un programa de ingeniería por ciclos.",$A$26)</f>
        <v>0.12280701754385964</v>
      </c>
      <c r="H29" s="218">
        <f>SUM(B29:G29)</f>
        <v>1</v>
      </c>
    </row>
    <row r="30" spans="1:8" ht="15" x14ac:dyDescent="0.25">
      <c r="A30"/>
      <c r="B30" s="164" t="s">
        <v>2816</v>
      </c>
      <c r="C30"/>
      <c r="D30"/>
      <c r="E30"/>
      <c r="F30"/>
      <c r="G30"/>
      <c r="H30"/>
    </row>
    <row r="31" spans="1:8" ht="15" x14ac:dyDescent="0.25">
      <c r="A31"/>
      <c r="B31" t="s">
        <v>1093</v>
      </c>
      <c r="C31" t="s">
        <v>1</v>
      </c>
      <c r="D31" t="s">
        <v>2</v>
      </c>
      <c r="E31" t="s">
        <v>3</v>
      </c>
      <c r="F31" t="s">
        <v>1092</v>
      </c>
      <c r="G31" t="s">
        <v>5</v>
      </c>
      <c r="H31" t="s">
        <v>1096</v>
      </c>
    </row>
    <row r="32" spans="1:8" ht="75" x14ac:dyDescent="0.25">
      <c r="A32" s="166" t="s">
        <v>1819</v>
      </c>
      <c r="B32" s="165">
        <v>6</v>
      </c>
      <c r="C32" s="165">
        <v>8</v>
      </c>
      <c r="D32" s="165">
        <v>24</v>
      </c>
      <c r="E32" s="165">
        <v>41</v>
      </c>
      <c r="F32" s="165">
        <v>21</v>
      </c>
      <c r="G32" s="165">
        <v>14</v>
      </c>
      <c r="H32" s="165">
        <v>114</v>
      </c>
    </row>
    <row r="33" spans="1:8" ht="15" x14ac:dyDescent="0.25">
      <c r="A33"/>
      <c r="B33" s="215">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relacionado.","Totalmente en desacuerdo / NO")/GETPIVOTDATA("8. Conozco los procesos efectuados para la evaluación periódica de la pertinencia y calidad de los programas académicos con los cuales me he relacionado.",$A$30)</f>
        <v>5.2631578947368418E-2</v>
      </c>
      <c r="C33" s="217">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relacionado.","En desacuerdo")/GETPIVOTDATA("8. Conozco los procesos efectuados para la evaluación periódica de la pertinencia y calidad de los programas académicos con los cuales me he relacionado.",$A$30)</f>
        <v>7.0175438596491224E-2</v>
      </c>
      <c r="D33" s="217">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relacionado.","Medianamente de acuerdo")/GETPIVOTDATA("8. Conozco los procesos efectuados para la evaluación periódica de la pertinencia y calidad de los programas académicos con los cuales me he relacionado.",$A$30)</f>
        <v>0.21052631578947367</v>
      </c>
      <c r="E33" s="217">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relacionado.","De acuerdo")/GETPIVOTDATA("8. Conozco los procesos efectuados para la evaluación periódica de la pertinencia y calidad de los programas académicos con los cuales me he relacionado.",$A$30)</f>
        <v>0.35964912280701755</v>
      </c>
      <c r="F33" s="217">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relacionado.","Totalmente de acuerdo / SI")/GETPIVOTDATA("8. Conozco los procesos efectuados para la evaluación periódica de la pertinencia y calidad de los programas académicos con los cuales me he relacionado.",$A$30)</f>
        <v>0.18421052631578946</v>
      </c>
      <c r="G33" s="217">
        <f>+GETPIVOTDATA("8. Conozco los procesos efectuados para la evaluación periódica de la pertinencia y calidad de los programas académicos con los cuales me he relacionado.",$A$30,"8. Conozco los procesos efectuados para la evaluación periódica de la pertinencia y calidad de los programas académicos con los cuales me he relacionado.","No sabe / No puede opinar al respecto")/GETPIVOTDATA("8. Conozco los procesos efectuados para la evaluación periódica de la pertinencia y calidad de los programas académicos con los cuales me he relacionado.",$A$30)</f>
        <v>0.12280701754385964</v>
      </c>
      <c r="H33" s="218">
        <f>SUM(B33:G33)</f>
        <v>1</v>
      </c>
    </row>
    <row r="34" spans="1:8" ht="15" x14ac:dyDescent="0.25">
      <c r="A34"/>
      <c r="B34" s="164" t="s">
        <v>2816</v>
      </c>
      <c r="C34"/>
      <c r="D34"/>
      <c r="E34"/>
      <c r="F34"/>
      <c r="G34"/>
      <c r="H34"/>
    </row>
    <row r="35" spans="1:8" ht="15" x14ac:dyDescent="0.25">
      <c r="A35"/>
      <c r="B35" t="s">
        <v>1093</v>
      </c>
      <c r="C35" t="s">
        <v>1</v>
      </c>
      <c r="D35" t="s">
        <v>2</v>
      </c>
      <c r="E35" t="s">
        <v>3</v>
      </c>
      <c r="F35" t="s">
        <v>1092</v>
      </c>
      <c r="G35" t="s">
        <v>5</v>
      </c>
      <c r="H35" t="s">
        <v>1096</v>
      </c>
    </row>
    <row r="36" spans="1:8" ht="75" x14ac:dyDescent="0.25">
      <c r="A36" s="166" t="s">
        <v>1820</v>
      </c>
      <c r="B36" s="165">
        <v>12</v>
      </c>
      <c r="C36" s="165">
        <v>7</v>
      </c>
      <c r="D36" s="165">
        <v>20</v>
      </c>
      <c r="E36" s="165">
        <v>33</v>
      </c>
      <c r="F36" s="165">
        <v>28</v>
      </c>
      <c r="G36" s="165">
        <v>14</v>
      </c>
      <c r="H36" s="165">
        <v>114</v>
      </c>
    </row>
    <row r="37" spans="1:8" ht="15" x14ac:dyDescent="0.25">
      <c r="A37"/>
      <c r="B37" s="215">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relacionado.","Totalmente en desacuerdo / NO")/GETPIVOTDATA("9. He participado en procesos para la evaluación periódica de la pertinencia y calidad de los programas académicos con los cuales me he relacionado.",$A$34)</f>
        <v>0.10526315789473684</v>
      </c>
      <c r="C37" s="217">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relacionado.","En desacuerdo")/GETPIVOTDATA("9. He participado en procesos para la evaluación periódica de la pertinencia y calidad de los programas académicos con los cuales me he relacionado.",$A$34)</f>
        <v>6.1403508771929821E-2</v>
      </c>
      <c r="D37" s="217">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relacionado.","Medianamente de acuerdo")/GETPIVOTDATA("9. He participado en procesos para la evaluación periódica de la pertinencia y calidad de los programas académicos con los cuales me he relacionado.",$A$34)</f>
        <v>0.17543859649122806</v>
      </c>
      <c r="E37" s="217">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relacionado.","De acuerdo")/GETPIVOTDATA("9. He participado en procesos para la evaluación periódica de la pertinencia y calidad de los programas académicos con los cuales me he relacionado.",$A$34)</f>
        <v>0.28947368421052633</v>
      </c>
      <c r="F37" s="217">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relacionado.","Totalmente de acuerdo / SI")/GETPIVOTDATA("9. He participado en procesos para la evaluación periódica de la pertinencia y calidad de los programas académicos con los cuales me he relacionado.",$A$34)</f>
        <v>0.24561403508771928</v>
      </c>
      <c r="G37" s="217">
        <f>+GETPIVOTDATA("9. He participado en procesos para la evaluación periódica de la pertinencia y calidad de los programas académicos con los cuales me he relacionado.",$A$34,"9. He participado en procesos para la evaluación periódica de la pertinencia y calidad de los programas académicos con los cuales me he relacionado.","No sabe / No puede opinar al respecto")/GETPIVOTDATA("9. He participado en procesos para la evaluación periódica de la pertinencia y calidad de los programas académicos con los cuales me he relacionado.",$A$34)</f>
        <v>0.12280701754385964</v>
      </c>
      <c r="H37" s="218">
        <f>SUM(B37:G37)</f>
        <v>1</v>
      </c>
    </row>
    <row r="38" spans="1:8" ht="15" x14ac:dyDescent="0.25">
      <c r="A38"/>
      <c r="B38" s="164" t="s">
        <v>2816</v>
      </c>
      <c r="C38"/>
      <c r="D38"/>
      <c r="E38"/>
      <c r="F38"/>
      <c r="G38"/>
      <c r="H38"/>
    </row>
    <row r="39" spans="1:8" ht="15" x14ac:dyDescent="0.25">
      <c r="A39"/>
      <c r="B39" t="s">
        <v>1093</v>
      </c>
      <c r="C39" t="s">
        <v>1</v>
      </c>
      <c r="D39" t="s">
        <v>2</v>
      </c>
      <c r="E39" t="s">
        <v>3</v>
      </c>
      <c r="F39" t="s">
        <v>1092</v>
      </c>
      <c r="G39" t="s">
        <v>5</v>
      </c>
      <c r="H39" t="s">
        <v>1096</v>
      </c>
    </row>
    <row r="40" spans="1:8" ht="75" x14ac:dyDescent="0.25">
      <c r="A40" s="166" t="s">
        <v>1821</v>
      </c>
      <c r="B40" s="165">
        <v>16</v>
      </c>
      <c r="C40" s="165">
        <v>14</v>
      </c>
      <c r="D40" s="165">
        <v>40</v>
      </c>
      <c r="E40" s="165">
        <v>24</v>
      </c>
      <c r="F40" s="165">
        <v>6</v>
      </c>
      <c r="G40" s="165">
        <v>14</v>
      </c>
      <c r="H40" s="165">
        <v>114</v>
      </c>
    </row>
    <row r="41" spans="1:8" ht="15" x14ac:dyDescent="0.25">
      <c r="A41"/>
      <c r="B41" s="215">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SUFICIENTES.","Totalmente en desacuerdo / NO")/GETPIVOTDATA("10.1. Considero que los laboratorios y talleres disponibles de los programas académicos con los cuales me he relacionado son: SUFICIENTES.",$A$38)</f>
        <v>0.14035087719298245</v>
      </c>
      <c r="C41" s="217">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SUFICIENTES.","En desacuerdo")/GETPIVOTDATA("10.1. Considero que los laboratorios y talleres disponibles de los programas académicos con los cuales me he relacionado son: SUFICIENTES.",$A$38)</f>
        <v>0.12280701754385964</v>
      </c>
      <c r="D41" s="217">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SUFICIENTES.","Medianamente de acuerdo")/GETPIVOTDATA("10.1. Considero que los laboratorios y talleres disponibles de los programas académicos con los cuales me he relacionado son: SUFICIENTES.",$A$38)</f>
        <v>0.35087719298245612</v>
      </c>
      <c r="E41" s="217">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SUFICIENTES.","De acuerdo")/GETPIVOTDATA("10.1. Considero que los laboratorios y talleres disponibles de los programas académicos con los cuales me he relacionado son: SUFICIENTES.",$A$38)</f>
        <v>0.21052631578947367</v>
      </c>
      <c r="F41" s="217">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SUFICIENTES.","Totalmente de acuerdo / SI")/GETPIVOTDATA("10.1. Considero que los laboratorios y talleres disponibles de los programas académicos con los cuales me he relacionado son: SUFICIENTES.",$A$38)</f>
        <v>5.2631578947368418E-2</v>
      </c>
      <c r="G41" s="217">
        <f>+GETPIVOTDATA("10.1. Considero que los laboratorios y talleres disponibles de los programas académicos con los cuales me he relacionado son: SUFICIENTES.",$A$38,"10.1. Considero que los laboratorios y talleres disponibles de los programas académicos con los cuales me he relacionado son: SUFICIENTES.","No sabe / No puede opinar al respecto")/GETPIVOTDATA("10.1. Considero que los laboratorios y talleres disponibles de los programas académicos con los cuales me he relacionado son: SUFICIENTES.",$A$38)</f>
        <v>0.12280701754385964</v>
      </c>
      <c r="H41" s="218">
        <f>SUM(B41:G41)</f>
        <v>0.99999999999999978</v>
      </c>
    </row>
    <row r="42" spans="1:8" ht="15" x14ac:dyDescent="0.25">
      <c r="A42"/>
      <c r="B42" s="164" t="s">
        <v>2816</v>
      </c>
      <c r="C42"/>
      <c r="D42"/>
      <c r="E42"/>
      <c r="F42"/>
      <c r="G42"/>
      <c r="H42"/>
    </row>
    <row r="43" spans="1:8" ht="15" x14ac:dyDescent="0.25">
      <c r="A43"/>
      <c r="B43" t="s">
        <v>1093</v>
      </c>
      <c r="C43" t="s">
        <v>1</v>
      </c>
      <c r="D43" t="s">
        <v>2</v>
      </c>
      <c r="E43" t="s">
        <v>3</v>
      </c>
      <c r="F43" t="s">
        <v>1092</v>
      </c>
      <c r="G43" t="s">
        <v>5</v>
      </c>
      <c r="H43" t="s">
        <v>1096</v>
      </c>
    </row>
    <row r="44" spans="1:8" ht="75" x14ac:dyDescent="0.25">
      <c r="A44" s="166" t="s">
        <v>1822</v>
      </c>
      <c r="B44" s="165">
        <v>4</v>
      </c>
      <c r="C44" s="165">
        <v>6</v>
      </c>
      <c r="D44" s="165">
        <v>39</v>
      </c>
      <c r="E44" s="165">
        <v>33</v>
      </c>
      <c r="F44" s="165">
        <v>16</v>
      </c>
      <c r="G44" s="165">
        <v>16</v>
      </c>
      <c r="H44" s="165">
        <v>114</v>
      </c>
    </row>
    <row r="45" spans="1:8" ht="15" x14ac:dyDescent="0.25">
      <c r="A45"/>
      <c r="B45" s="215">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ADECUADOS.","Totalmente en desacuerdo / NO")/GETPIVOTDATA("10.2. Considero que los laboratorios y talleres disponibles de los programas académicos con los cuales me he relacionado son: ADECUADOS.",$A$42)</f>
        <v>3.5087719298245612E-2</v>
      </c>
      <c r="C45" s="217">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ADECUADOS.","En desacuerdo")/GETPIVOTDATA("10.2. Considero que los laboratorios y talleres disponibles de los programas académicos con los cuales me he relacionado son: ADECUADOS.",$A$42)</f>
        <v>5.2631578947368418E-2</v>
      </c>
      <c r="D45" s="217">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ADECUADOS.","Medianamente de acuerdo")/GETPIVOTDATA("10.2. Considero que los laboratorios y talleres disponibles de los programas académicos con los cuales me he relacionado son: ADECUADOS.",$A$42)</f>
        <v>0.34210526315789475</v>
      </c>
      <c r="E45" s="217">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ADECUADOS.","De acuerdo")/GETPIVOTDATA("10.2. Considero que los laboratorios y talleres disponibles de los programas académicos con los cuales me he relacionado son: ADECUADOS.",$A$42)</f>
        <v>0.28947368421052633</v>
      </c>
      <c r="F45" s="217">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ADECUADOS.","Totalmente de acuerdo / SI")/GETPIVOTDATA("10.2. Considero que los laboratorios y talleres disponibles de los programas académicos con los cuales me he relacionado son: ADECUADOS.",$A$42)</f>
        <v>0.14035087719298245</v>
      </c>
      <c r="G45" s="217">
        <f>+GETPIVOTDATA("10.2. Considero que los laboratorios y talleres disponibles de los programas académicos con los cuales me he relacionado son: ADECUADOS.",$A$42,"10.2. Considero que los laboratorios y talleres disponibles de los programas académicos con los cuales me he relacionado son: ADECUADOS.","No sabe / No puede opinar al respecto")/GETPIVOTDATA("10.2. Considero que los laboratorios y talleres disponibles de los programas académicos con los cuales me he relacionado son: ADECUADOS.",$A$42)</f>
        <v>0.14035087719298245</v>
      </c>
      <c r="H45" s="218">
        <f>SUM(B45:G45)</f>
        <v>1</v>
      </c>
    </row>
    <row r="46" spans="1:8" ht="15" x14ac:dyDescent="0.25">
      <c r="A46"/>
      <c r="B46" s="164" t="s">
        <v>2816</v>
      </c>
      <c r="C46"/>
      <c r="D46"/>
      <c r="E46"/>
      <c r="F46"/>
      <c r="G46"/>
      <c r="H46"/>
    </row>
    <row r="47" spans="1:8" ht="15" x14ac:dyDescent="0.25">
      <c r="A47"/>
      <c r="B47" t="s">
        <v>1093</v>
      </c>
      <c r="C47" t="s">
        <v>1</v>
      </c>
      <c r="D47" t="s">
        <v>2</v>
      </c>
      <c r="E47" t="s">
        <v>3</v>
      </c>
      <c r="F47" t="s">
        <v>1092</v>
      </c>
      <c r="G47" t="s">
        <v>5</v>
      </c>
      <c r="H47" t="s">
        <v>1096</v>
      </c>
    </row>
    <row r="48" spans="1:8" ht="75" x14ac:dyDescent="0.25">
      <c r="A48" s="166" t="s">
        <v>1823</v>
      </c>
      <c r="B48" s="165">
        <v>3</v>
      </c>
      <c r="C48" s="165">
        <v>10</v>
      </c>
      <c r="D48" s="165">
        <v>40</v>
      </c>
      <c r="E48" s="165">
        <v>32</v>
      </c>
      <c r="F48" s="165">
        <v>11</v>
      </c>
      <c r="G48" s="165">
        <v>18</v>
      </c>
      <c r="H48" s="165">
        <v>114</v>
      </c>
    </row>
    <row r="49" spans="1:8" ht="15" x14ac:dyDescent="0.25">
      <c r="A49"/>
      <c r="B49" s="215">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ACTUALIZADOS.","Totalmente en desacuerdo / NO")/GETPIVOTDATA("10.3. Considero que los laboratorios y talleres disponibles de los programas académicos con los cuales me he relacionado son: ACTUALIZADOS.",$A$46)</f>
        <v>2.6315789473684209E-2</v>
      </c>
      <c r="C49" s="217">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ACTUALIZADOS.","En desacuerdo")/GETPIVOTDATA("10.3. Considero que los laboratorios y talleres disponibles de los programas académicos con los cuales me he relacionado son: ACTUALIZADOS.",$A$46)</f>
        <v>8.771929824561403E-2</v>
      </c>
      <c r="D49" s="217">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ACTUALIZADOS.","Medianamente de acuerdo")/GETPIVOTDATA("10.3. Considero que los laboratorios y talleres disponibles de los programas académicos con los cuales me he relacionado son: ACTUALIZADOS.",$A$46)</f>
        <v>0.35087719298245612</v>
      </c>
      <c r="E49" s="217">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ACTUALIZADOS.","De acuerdo")/GETPIVOTDATA("10.3. Considero que los laboratorios y talleres disponibles de los programas académicos con los cuales me he relacionado son: ACTUALIZADOS.",$A$46)</f>
        <v>0.2807017543859649</v>
      </c>
      <c r="F49" s="217">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ACTUALIZADOS.","Totalmente de acuerdo / SI")/GETPIVOTDATA("10.3. Considero que los laboratorios y talleres disponibles de los programas académicos con los cuales me he relacionado son: ACTUALIZADOS.",$A$46)</f>
        <v>9.6491228070175433E-2</v>
      </c>
      <c r="G49" s="217">
        <f>+GETPIVOTDATA("10.3. Considero que los laboratorios y talleres disponibles de los programas académicos con los cuales me he relacionado son: ACTUALIZADOS.",$A$46,"10.3. Considero que los laboratorios y talleres disponibles de los programas académicos con los cuales me he relacionado son: ACTUALIZADOS.","No sabe / No puede opinar al respecto")/GETPIVOTDATA("10.3. Considero que los laboratorios y talleres disponibles de los programas académicos con los cuales me he relacionado son: ACTUALIZADOS.",$A$46)</f>
        <v>0.15789473684210525</v>
      </c>
      <c r="H49" s="218">
        <f>SUM(B49:G49)</f>
        <v>1</v>
      </c>
    </row>
    <row r="50" spans="1:8" ht="15" x14ac:dyDescent="0.25">
      <c r="A50"/>
      <c r="B50" s="164" t="s">
        <v>2816</v>
      </c>
      <c r="C50"/>
      <c r="D50"/>
      <c r="E50"/>
      <c r="F50"/>
      <c r="G50"/>
      <c r="H50"/>
    </row>
    <row r="51" spans="1:8" ht="15" x14ac:dyDescent="0.25">
      <c r="A51"/>
      <c r="B51" t="s">
        <v>1093</v>
      </c>
      <c r="C51" t="s">
        <v>1</v>
      </c>
      <c r="D51" t="s">
        <v>2</v>
      </c>
      <c r="E51" t="s">
        <v>3</v>
      </c>
      <c r="F51" t="s">
        <v>1092</v>
      </c>
      <c r="G51" t="s">
        <v>5</v>
      </c>
      <c r="H51" t="s">
        <v>1096</v>
      </c>
    </row>
    <row r="52" spans="1:8" ht="90" x14ac:dyDescent="0.25">
      <c r="A52" s="166" t="s">
        <v>1824</v>
      </c>
      <c r="B52" s="165">
        <v>4</v>
      </c>
      <c r="C52" s="165">
        <v>1</v>
      </c>
      <c r="D52" s="165">
        <v>16</v>
      </c>
      <c r="E52" s="165">
        <v>40</v>
      </c>
      <c r="F52" s="165">
        <v>38</v>
      </c>
      <c r="G52" s="165">
        <v>15</v>
      </c>
      <c r="H52" s="165">
        <v>114</v>
      </c>
    </row>
    <row r="53" spans="1:8" ht="15" x14ac:dyDescent="0.25">
      <c r="A53"/>
      <c r="B53" s="215">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CAPACITADO.","Totalmente en desacuerdo / NO")/GETPIVOTDATA("10.4. Considero que los laboratorios y talleres disponibles de los programas académicos con los cuales me he relacionado son: APOYADOS POR PERSONAL DEBIDAMENTE CAPACITADO.",$A$50)</f>
        <v>3.5087719298245612E-2</v>
      </c>
      <c r="C53" s="217">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CAPACITADO.","En desacuerdo")/GETPIVOTDATA("10.4. Considero que los laboratorios y talleres disponibles de los programas académicos con los cuales me he relacionado son: APOYADOS POR PERSONAL DEBIDAMENTE CAPACITADO.",$A$50)</f>
        <v>8.771929824561403E-3</v>
      </c>
      <c r="D53" s="217">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CAPACITADO.","Medianamente de acuerdo")/GETPIVOTDATA("10.4. Considero que los laboratorios y talleres disponibles de los programas académicos con los cuales me he relacionado son: APOYADOS POR PERSONAL DEBIDAMENTE CAPACITADO.",$A$50)</f>
        <v>0.14035087719298245</v>
      </c>
      <c r="E53" s="217">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CAPACITADO.","De acuerdo")/GETPIVOTDATA("10.4. Considero que los laboratorios y talleres disponibles de los programas académicos con los cuales me he relacionado son: APOYADOS POR PERSONAL DEBIDAMENTE CAPACITADO.",$A$50)</f>
        <v>0.35087719298245612</v>
      </c>
      <c r="F53" s="217">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CAPACITADO.","Totalmente de acuerdo / SI")/GETPIVOTDATA("10.4. Considero que los laboratorios y talleres disponibles de los programas académicos con los cuales me he relacionado son: APOYADOS POR PERSONAL DEBIDAMENTE CAPACITADO.",$A$50)</f>
        <v>0.33333333333333331</v>
      </c>
      <c r="G53" s="217">
        <f>+GETPIVOTDATA("10.4. Considero que los laboratorios y talleres disponibles de los programas académicos con los cuales me he relacionado son: APOYADOS POR PERSONAL DEBIDAMENTE CAPACITADO.",$A$50,"10.4. Considero que los laboratorios y talleres disponibles de los programas académicos con los cuales me he relacionado son: APOYADOS POR PERSONAL DEBIDAMENTE CAPACITADO.","No sabe / No puede opinar al respecto")/GETPIVOTDATA("10.4. Considero que los laboratorios y talleres disponibles de los programas académicos con los cuales me he relacionado son: APOYADOS POR PERSONAL DEBIDAMENTE CAPACITADO.",$A$50)</f>
        <v>0.13157894736842105</v>
      </c>
      <c r="H53" s="218">
        <f>SUM(B53:G53)</f>
        <v>1</v>
      </c>
    </row>
    <row r="54" spans="1:8" ht="15" x14ac:dyDescent="0.25">
      <c r="A54"/>
      <c r="B54" s="164" t="s">
        <v>2816</v>
      </c>
      <c r="C54"/>
      <c r="D54"/>
      <c r="E54"/>
      <c r="F54"/>
      <c r="G54"/>
      <c r="H54"/>
    </row>
    <row r="55" spans="1:8" ht="15" x14ac:dyDescent="0.25">
      <c r="A55"/>
      <c r="B55" t="s">
        <v>1093</v>
      </c>
      <c r="C55" t="s">
        <v>1</v>
      </c>
      <c r="D55" t="s">
        <v>2</v>
      </c>
      <c r="E55" t="s">
        <v>3</v>
      </c>
      <c r="F55" t="s">
        <v>1092</v>
      </c>
      <c r="G55" t="s">
        <v>5</v>
      </c>
      <c r="H55" t="s">
        <v>1096</v>
      </c>
    </row>
    <row r="56" spans="1:8" ht="75" x14ac:dyDescent="0.25">
      <c r="A56" s="166" t="s">
        <v>1825</v>
      </c>
      <c r="B56" s="165">
        <v>4</v>
      </c>
      <c r="C56" s="165">
        <v>11</v>
      </c>
      <c r="D56" s="165">
        <v>38</v>
      </c>
      <c r="E56" s="165">
        <v>32</v>
      </c>
      <c r="F56" s="165">
        <v>11</v>
      </c>
      <c r="G56" s="165">
        <v>18</v>
      </c>
      <c r="H56" s="165">
        <v>114</v>
      </c>
    </row>
    <row r="57" spans="1:8" ht="15" x14ac:dyDescent="0.25">
      <c r="A57"/>
      <c r="B57" s="215">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VENTILADOS.","Totalmente en desacuerdo / NO")/GETPIVOTDATA("10.5. Considero que los laboratorios y talleres disponibles de los programas académicos con los cuales me he relacionado son: VENTILADOS.",$A$54)</f>
        <v>3.5087719298245612E-2</v>
      </c>
      <c r="C57" s="217">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VENTILADOS.","En desacuerdo")/GETPIVOTDATA("10.5. Considero que los laboratorios y talleres disponibles de los programas académicos con los cuales me he relacionado son: VENTILADOS.",$A$54)</f>
        <v>9.6491228070175433E-2</v>
      </c>
      <c r="D57" s="217">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VENTILADOS.","Medianamente de acuerdo")/GETPIVOTDATA("10.5. Considero que los laboratorios y talleres disponibles de los programas académicos con los cuales me he relacionado son: VENTILADOS.",$A$54)</f>
        <v>0.33333333333333331</v>
      </c>
      <c r="E57" s="217">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VENTILADOS.","De acuerdo")/GETPIVOTDATA("10.5. Considero que los laboratorios y talleres disponibles de los programas académicos con los cuales me he relacionado son: VENTILADOS.",$A$54)</f>
        <v>0.2807017543859649</v>
      </c>
      <c r="F57" s="217">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VENTILADOS.","Totalmente de acuerdo / SI")/GETPIVOTDATA("10.5. Considero que los laboratorios y talleres disponibles de los programas académicos con los cuales me he relacionado son: VENTILADOS.",$A$54)</f>
        <v>9.6491228070175433E-2</v>
      </c>
      <c r="G57" s="217">
        <f>+GETPIVOTDATA("10.5. Considero que los laboratorios y talleres disponibles de los programas académicos con los cuales me he relacionado son: VENTILADOS.",$A$54,"10.5. Considero que los laboratorios y talleres disponibles de los programas académicos con los cuales me he relacionado son: VENTILADOS.","No sabe / No puede opinar al respecto")/GETPIVOTDATA("10.5. Considero que los laboratorios y talleres disponibles de los programas académicos con los cuales me he relacionado son: VENTILADOS.",$A$54)</f>
        <v>0.15789473684210525</v>
      </c>
      <c r="H57" s="218">
        <f>SUM(B57:G57)</f>
        <v>1</v>
      </c>
    </row>
    <row r="58" spans="1:8" ht="15" x14ac:dyDescent="0.25">
      <c r="A58"/>
      <c r="B58" s="164" t="s">
        <v>2816</v>
      </c>
      <c r="C58"/>
      <c r="D58"/>
      <c r="E58"/>
      <c r="F58"/>
      <c r="G58"/>
      <c r="H58"/>
    </row>
    <row r="59" spans="1:8" ht="15" x14ac:dyDescent="0.25">
      <c r="A59"/>
      <c r="B59" t="s">
        <v>1093</v>
      </c>
      <c r="C59" t="s">
        <v>1</v>
      </c>
      <c r="D59" t="s">
        <v>2</v>
      </c>
      <c r="E59" t="s">
        <v>3</v>
      </c>
      <c r="F59" t="s">
        <v>1092</v>
      </c>
      <c r="G59" t="s">
        <v>5</v>
      </c>
      <c r="H59" t="s">
        <v>1096</v>
      </c>
    </row>
    <row r="60" spans="1:8" ht="75" x14ac:dyDescent="0.25">
      <c r="A60" s="166" t="s">
        <v>1826</v>
      </c>
      <c r="B60" s="165">
        <v>2</v>
      </c>
      <c r="C60" s="165">
        <v>4</v>
      </c>
      <c r="D60" s="165">
        <v>30</v>
      </c>
      <c r="E60" s="165">
        <v>46</v>
      </c>
      <c r="F60" s="165">
        <v>16</v>
      </c>
      <c r="G60" s="165">
        <v>16</v>
      </c>
      <c r="H60" s="165">
        <v>114</v>
      </c>
    </row>
    <row r="61" spans="1:8" ht="15" x14ac:dyDescent="0.25">
      <c r="A61"/>
      <c r="B61" s="215">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ILUMINADOS","Totalmente en desacuerdo / NO")/GETPIVOTDATA("10.6. Considero que los laboratorios y talleres disponibles de los programas académicos con los cuales me he relacionado son: ILUMINADOS",$A$58)</f>
        <v>1.7543859649122806E-2</v>
      </c>
      <c r="C61" s="217">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ILUMINADOS","En desacuerdo")/GETPIVOTDATA("10.6. Considero que los laboratorios y talleres disponibles de los programas académicos con los cuales me he relacionado son: ILUMINADOS",$A$58)</f>
        <v>3.5087719298245612E-2</v>
      </c>
      <c r="D61" s="217">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ILUMINADOS","Medianamente de acuerdo")/GETPIVOTDATA("10.6. Considero que los laboratorios y talleres disponibles de los programas académicos con los cuales me he relacionado son: ILUMINADOS",$A$58)</f>
        <v>0.26315789473684209</v>
      </c>
      <c r="E61" s="217">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ILUMINADOS","De acuerdo")/GETPIVOTDATA("10.6. Considero que los laboratorios y talleres disponibles de los programas académicos con los cuales me he relacionado son: ILUMINADOS",$A$58)</f>
        <v>0.40350877192982454</v>
      </c>
      <c r="F61" s="217">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ILUMINADOS","Totalmente de acuerdo / SI")/GETPIVOTDATA("10.6. Considero que los laboratorios y talleres disponibles de los programas académicos con los cuales me he relacionado son: ILUMINADOS",$A$58)</f>
        <v>0.14035087719298245</v>
      </c>
      <c r="G61" s="217">
        <f>+GETPIVOTDATA("10.6. Considero que los laboratorios y talleres disponibles de los programas académicos con los cuales me he relacionado son: ILUMINADOS",$A$58,"10.6. Considero que los laboratorios y talleres disponibles de los programas académicos con los cuales me he relacionado son: ILUMINADOS","No sabe / No puede opinar al respecto")/GETPIVOTDATA("10.6. Considero que los laboratorios y talleres disponibles de los programas académicos con los cuales me he relacionado son: ILUMINADOS",$A$58)</f>
        <v>0.14035087719298245</v>
      </c>
      <c r="H61" s="218">
        <f>SUM(B61:G61)</f>
        <v>1</v>
      </c>
    </row>
    <row r="62" spans="1:8" ht="15" x14ac:dyDescent="0.25">
      <c r="A62"/>
      <c r="B62" s="164" t="s">
        <v>2816</v>
      </c>
      <c r="C62"/>
      <c r="D62"/>
      <c r="E62"/>
      <c r="F62"/>
      <c r="G62"/>
      <c r="H62"/>
    </row>
    <row r="63" spans="1:8" ht="15" x14ac:dyDescent="0.25">
      <c r="A63"/>
      <c r="B63" t="s">
        <v>1093</v>
      </c>
      <c r="C63" t="s">
        <v>1</v>
      </c>
      <c r="D63" t="s">
        <v>2</v>
      </c>
      <c r="E63" t="s">
        <v>3</v>
      </c>
      <c r="F63" t="s">
        <v>1092</v>
      </c>
      <c r="G63" t="s">
        <v>5</v>
      </c>
      <c r="H63" t="s">
        <v>1096</v>
      </c>
    </row>
    <row r="64" spans="1:8" ht="90" x14ac:dyDescent="0.25">
      <c r="A64" s="166" t="s">
        <v>1827</v>
      </c>
      <c r="B64" s="165">
        <v>7</v>
      </c>
      <c r="C64" s="165">
        <v>19</v>
      </c>
      <c r="D64" s="165">
        <v>27</v>
      </c>
      <c r="E64" s="165">
        <v>34</v>
      </c>
      <c r="F64" s="165">
        <v>9</v>
      </c>
      <c r="G64" s="165">
        <v>18</v>
      </c>
      <c r="H64" s="165">
        <v>114</v>
      </c>
    </row>
    <row r="65" spans="1:8" ht="15" x14ac:dyDescent="0.25">
      <c r="A65"/>
      <c r="B65" s="215">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SEGURIDAD.","Totalmente en desacuerdo / NO")/GETPIVOTDATA("10.7. Considero que los laboratorios y talleres disponibles de los programas académicos con los cuales me he relacionado son: DISEÑADOS SEGÚN NORMAS DE SEGURIDAD.",$A$62)</f>
        <v>6.1403508771929821E-2</v>
      </c>
      <c r="C65" s="217">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SEGURIDAD.","En desacuerdo")/GETPIVOTDATA("10.7. Considero que los laboratorios y talleres disponibles de los programas académicos con los cuales me he relacionado son: DISEÑADOS SEGÚN NORMAS DE SEGURIDAD.",$A$62)</f>
        <v>0.16666666666666666</v>
      </c>
      <c r="D65" s="217">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SEGURIDAD.","Medianamente de acuerdo")/GETPIVOTDATA("10.7. Considero que los laboratorios y talleres disponibles de los programas académicos con los cuales me he relacionado son: DISEÑADOS SEGÚN NORMAS DE SEGURIDAD.",$A$62)</f>
        <v>0.23684210526315788</v>
      </c>
      <c r="E65" s="217">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SEGURIDAD.","De acuerdo")/GETPIVOTDATA("10.7. Considero que los laboratorios y talleres disponibles de los programas académicos con los cuales me he relacionado son: DISEÑADOS SEGÚN NORMAS DE SEGURIDAD.",$A$62)</f>
        <v>0.2982456140350877</v>
      </c>
      <c r="F65" s="217">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SEGURIDAD.","Totalmente de acuerdo / SI")/GETPIVOTDATA("10.7. Considero que los laboratorios y talleres disponibles de los programas académicos con los cuales me he relacionado son: DISEÑADOS SEGÚN NORMAS DE SEGURIDAD.",$A$62)</f>
        <v>7.8947368421052627E-2</v>
      </c>
      <c r="G65" s="217">
        <f>+GETPIVOTDATA("10.7. Considero que los laboratorios y talleres disponibles de los programas académicos con los cuales me he relacionado son: DISEÑADOS SEGÚN NORMAS DE SEGURIDAD.",$A$62,"10.7. Considero que los laboratorios y talleres disponibles de los programas académicos con los cuales me he relacionado son: DISEÑADOS SEGÚN NORMAS DE SEGURIDAD.","No sabe / No puede opinar al respecto")/GETPIVOTDATA("10.7. Considero que los laboratorios y talleres disponibles de los programas académicos con los cuales me he relacionado son: DISEÑADOS SEGÚN NORMAS DE SEGURIDAD.",$A$62)</f>
        <v>0.15789473684210525</v>
      </c>
      <c r="H65" s="218">
        <f>SUM(B65:G65)</f>
        <v>1</v>
      </c>
    </row>
    <row r="66" spans="1:8" ht="15" x14ac:dyDescent="0.25">
      <c r="A66"/>
      <c r="B66" s="164" t="s">
        <v>2816</v>
      </c>
      <c r="C66"/>
      <c r="D66"/>
      <c r="E66"/>
      <c r="F66"/>
      <c r="G66"/>
      <c r="H66"/>
    </row>
    <row r="67" spans="1:8" ht="15" x14ac:dyDescent="0.25">
      <c r="A67"/>
      <c r="B67" t="s">
        <v>1093</v>
      </c>
      <c r="C67" t="s">
        <v>1</v>
      </c>
      <c r="D67" t="s">
        <v>2</v>
      </c>
      <c r="E67" t="s">
        <v>3</v>
      </c>
      <c r="F67" t="s">
        <v>1092</v>
      </c>
      <c r="G67" t="s">
        <v>5</v>
      </c>
      <c r="H67" t="s">
        <v>1096</v>
      </c>
    </row>
    <row r="68" spans="1:8" ht="75" x14ac:dyDescent="0.25">
      <c r="A68" s="166" t="s">
        <v>1828</v>
      </c>
      <c r="B68" s="165">
        <v>12</v>
      </c>
      <c r="C68" s="165">
        <v>18</v>
      </c>
      <c r="D68" s="165">
        <v>43</v>
      </c>
      <c r="E68" s="165">
        <v>23</v>
      </c>
      <c r="F68" s="165">
        <v>6</v>
      </c>
      <c r="G68" s="165">
        <v>12</v>
      </c>
      <c r="H68" s="165">
        <v>114</v>
      </c>
    </row>
    <row r="69" spans="1:8" ht="15" x14ac:dyDescent="0.25">
      <c r="A69"/>
      <c r="B69" s="215">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SUFICIENTES.","Totalmente en desacuerdo / NO")/GETPIVOTDATA("11.1. Considero que los equipos de apoyo audiovisual a disposición de los programas académicos con los cuales me he relacionado son: SUFICIENTES.",$A$66)</f>
        <v>0.10526315789473684</v>
      </c>
      <c r="C69" s="217">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SUFICIENTES.","En desacuerdo")/GETPIVOTDATA("11.1. Considero que los equipos de apoyo audiovisual a disposición de los programas académicos con los cuales me he relacionado son: SUFICIENTES.",$A$66)</f>
        <v>0.15789473684210525</v>
      </c>
      <c r="D69" s="217">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SUFICIENTES.","Medianamente de acuerdo")/GETPIVOTDATA("11.1. Considero que los equipos de apoyo audiovisual a disposición de los programas académicos con los cuales me he relacionado son: SUFICIENTES.",$A$66)</f>
        <v>0.37719298245614036</v>
      </c>
      <c r="E69" s="217">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SUFICIENTES.","De acuerdo")/GETPIVOTDATA("11.1. Considero que los equipos de apoyo audiovisual a disposición de los programas académicos con los cuales me he relacionado son: SUFICIENTES.",$A$66)</f>
        <v>0.20175438596491227</v>
      </c>
      <c r="F69" s="217">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SUFICIENTES.","Totalmente de acuerdo / SI")/GETPIVOTDATA("11.1. Considero que los equipos de apoyo audiovisual a disposición de los programas académicos con los cuales me he relacionado son: SUFICIENTES.",$A$66)</f>
        <v>5.2631578947368418E-2</v>
      </c>
      <c r="G69" s="217">
        <f>+GETPIVOTDATA("11.1. Considero que los equipos de apoyo audiovisual a disposición de los programas académicos con los cuales me he relacionado son: SUFICIENTES.",$A$66,"11.1. Considero que los equipos de apoyo audiovisual a disposición de los programas académicos con los cuales me he relacionado son: SUFICIENTES.","No sabe / No puede opinar al respecto")/GETPIVOTDATA("11.1. Considero que los equipos de apoyo audiovisual a disposición de los programas académicos con los cuales me he relacionado son: SUFICIENTES.",$A$66)</f>
        <v>0.10526315789473684</v>
      </c>
      <c r="H69" s="218">
        <f>SUM(B69:G69)</f>
        <v>0.99999999999999989</v>
      </c>
    </row>
    <row r="70" spans="1:8" ht="15" x14ac:dyDescent="0.25">
      <c r="A70"/>
      <c r="B70" s="164" t="s">
        <v>2816</v>
      </c>
      <c r="C70"/>
      <c r="D70"/>
      <c r="E70"/>
      <c r="F70"/>
      <c r="G70"/>
      <c r="H70"/>
    </row>
    <row r="71" spans="1:8" ht="15" x14ac:dyDescent="0.25">
      <c r="A71"/>
      <c r="B71" t="s">
        <v>1093</v>
      </c>
      <c r="C71" t="s">
        <v>1</v>
      </c>
      <c r="D71" t="s">
        <v>2</v>
      </c>
      <c r="E71" t="s">
        <v>3</v>
      </c>
      <c r="F71" t="s">
        <v>1092</v>
      </c>
      <c r="G71" t="s">
        <v>5</v>
      </c>
      <c r="H71" t="s">
        <v>1096</v>
      </c>
    </row>
    <row r="72" spans="1:8" ht="75" x14ac:dyDescent="0.25">
      <c r="A72" s="166" t="s">
        <v>1829</v>
      </c>
      <c r="B72" s="165">
        <v>3</v>
      </c>
      <c r="C72" s="165">
        <v>14</v>
      </c>
      <c r="D72" s="165">
        <v>39</v>
      </c>
      <c r="E72" s="165">
        <v>36</v>
      </c>
      <c r="F72" s="165">
        <v>11</v>
      </c>
      <c r="G72" s="165">
        <v>11</v>
      </c>
      <c r="H72" s="165">
        <v>114</v>
      </c>
    </row>
    <row r="73" spans="1:8" ht="15" x14ac:dyDescent="0.25">
      <c r="A73"/>
      <c r="B73" s="215">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ADECUADOS.","Totalmente en desacuerdo / NO")/GETPIVOTDATA("11.2. Considero que los equipos de apoyo audiovisual a disposición de los programas académicos con los cuales me he relacionado son: ADECUADOS.",$A$70)</f>
        <v>2.6315789473684209E-2</v>
      </c>
      <c r="C73" s="217">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ADECUADOS.","En desacuerdo")/GETPIVOTDATA("11.2. Considero que los equipos de apoyo audiovisual a disposición de los programas académicos con los cuales me he relacionado son: ADECUADOS.",$A$70)</f>
        <v>0.12280701754385964</v>
      </c>
      <c r="D73" s="217">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ADECUADOS.","Medianamente de acuerdo")/GETPIVOTDATA("11.2. Considero que los equipos de apoyo audiovisual a disposición de los programas académicos con los cuales me he relacionado son: ADECUADOS.",$A$70)</f>
        <v>0.34210526315789475</v>
      </c>
      <c r="E73" s="217">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ADECUADOS.","De acuerdo")/GETPIVOTDATA("11.2. Considero que los equipos de apoyo audiovisual a disposición de los programas académicos con los cuales me he relacionado son: ADECUADOS.",$A$70)</f>
        <v>0.31578947368421051</v>
      </c>
      <c r="F73" s="217">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ADECUADOS.","Totalmente de acuerdo / SI")/GETPIVOTDATA("11.2. Considero que los equipos de apoyo audiovisual a disposición de los programas académicos con los cuales me he relacionado son: ADECUADOS.",$A$70)</f>
        <v>9.6491228070175433E-2</v>
      </c>
      <c r="G73" s="217">
        <f>+GETPIVOTDATA("11.2. Considero que los equipos de apoyo audiovisual a disposición de los programas académicos con los cuales me he relacionado son: ADECUADOS.",$A$70,"11.2. Considero que los equipos de apoyo audiovisual a disposición de los programas académicos con los cuales me he relacionado son: ADECUADOS.","No sabe / No puede opinar al respecto")/GETPIVOTDATA("11.2. Considero que los equipos de apoyo audiovisual a disposición de los programas académicos con los cuales me he relacionado son: ADECUADOS.",$A$70)</f>
        <v>9.6491228070175433E-2</v>
      </c>
      <c r="H73" s="218">
        <f>SUM(B73:G73)</f>
        <v>0.99999999999999989</v>
      </c>
    </row>
    <row r="74" spans="1:8" ht="15" x14ac:dyDescent="0.25">
      <c r="A74"/>
      <c r="B74" s="164" t="s">
        <v>2816</v>
      </c>
      <c r="C74"/>
      <c r="D74"/>
      <c r="E74"/>
      <c r="F74"/>
      <c r="G74"/>
      <c r="H74"/>
    </row>
    <row r="75" spans="1:8" ht="15" x14ac:dyDescent="0.25">
      <c r="A75"/>
      <c r="B75" t="s">
        <v>1093</v>
      </c>
      <c r="C75" t="s">
        <v>1</v>
      </c>
      <c r="D75" t="s">
        <v>2</v>
      </c>
      <c r="E75" t="s">
        <v>3</v>
      </c>
      <c r="F75" t="s">
        <v>1092</v>
      </c>
      <c r="G75" t="s">
        <v>5</v>
      </c>
      <c r="H75" t="s">
        <v>1096</v>
      </c>
    </row>
    <row r="76" spans="1:8" ht="75" x14ac:dyDescent="0.25">
      <c r="A76" s="166" t="s">
        <v>1830</v>
      </c>
      <c r="B76" s="165">
        <v>4</v>
      </c>
      <c r="C76" s="165">
        <v>13</v>
      </c>
      <c r="D76" s="165">
        <v>40</v>
      </c>
      <c r="E76" s="165">
        <v>37</v>
      </c>
      <c r="F76" s="165">
        <v>5</v>
      </c>
      <c r="G76" s="165">
        <v>15</v>
      </c>
      <c r="H76" s="165">
        <v>114</v>
      </c>
    </row>
    <row r="77" spans="1:8" ht="15" x14ac:dyDescent="0.25">
      <c r="A77"/>
      <c r="B77" s="215">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ACTUALIZADOS.","Totalmente en desacuerdo / NO")/GETPIVOTDATA("11.3. Considero que los equipos de apoyo audiovisual a disposición de los programas académicos con los cuales me he relacionado son: ACTUALIZADOS.",$A$74)</f>
        <v>3.5087719298245612E-2</v>
      </c>
      <c r="C77" s="217">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ACTUALIZADOS.","En desacuerdo")/GETPIVOTDATA("11.3. Considero que los equipos de apoyo audiovisual a disposición de los programas académicos con los cuales me he relacionado son: ACTUALIZADOS.",$A$74)</f>
        <v>0.11403508771929824</v>
      </c>
      <c r="D77" s="217">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ACTUALIZADOS.","Medianamente de acuerdo")/GETPIVOTDATA("11.3. Considero que los equipos de apoyo audiovisual a disposición de los programas académicos con los cuales me he relacionado son: ACTUALIZADOS.",$A$74)</f>
        <v>0.35087719298245612</v>
      </c>
      <c r="E77" s="217">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ACTUALIZADOS.","De acuerdo")/GETPIVOTDATA("11.3. Considero que los equipos de apoyo audiovisual a disposición de los programas académicos con los cuales me he relacionado son: ACTUALIZADOS.",$A$74)</f>
        <v>0.32456140350877194</v>
      </c>
      <c r="F77" s="217">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ACTUALIZADOS.","Totalmente de acuerdo / SI")/GETPIVOTDATA("11.3. Considero que los equipos de apoyo audiovisual a disposición de los programas académicos con los cuales me he relacionado son: ACTUALIZADOS.",$A$74)</f>
        <v>4.3859649122807015E-2</v>
      </c>
      <c r="G77" s="217">
        <f>+GETPIVOTDATA("11.3. Considero que los equipos de apoyo audiovisual a disposición de los programas académicos con los cuales me he relacionado son: ACTUALIZADOS.",$A$74,"11.3. Considero que los equipos de apoyo audiovisual a disposición de los programas académicos con los cuales me he relacionado son: ACTUALIZADOS.","No sabe / No puede opinar al respecto")/GETPIVOTDATA("11.3. Considero que los equipos de apoyo audiovisual a disposición de los programas académicos con los cuales me he relacionado son: ACTUALIZADOS.",$A$74)</f>
        <v>0.13157894736842105</v>
      </c>
      <c r="H77" s="218">
        <f>SUM(B77:G77)</f>
        <v>1</v>
      </c>
    </row>
    <row r="78" spans="1:8" ht="15" x14ac:dyDescent="0.25">
      <c r="A78"/>
      <c r="B78" s="164" t="s">
        <v>2816</v>
      </c>
      <c r="C78"/>
      <c r="D78"/>
      <c r="E78"/>
      <c r="F78"/>
      <c r="G78"/>
      <c r="H78"/>
    </row>
    <row r="79" spans="1:8" ht="15" x14ac:dyDescent="0.25">
      <c r="A79"/>
      <c r="B79" t="s">
        <v>1093</v>
      </c>
      <c r="C79" t="s">
        <v>1</v>
      </c>
      <c r="D79" t="s">
        <v>2</v>
      </c>
      <c r="E79" t="s">
        <v>3</v>
      </c>
      <c r="F79" t="s">
        <v>1092</v>
      </c>
      <c r="G79" t="s">
        <v>5</v>
      </c>
      <c r="H79" t="s">
        <v>1096</v>
      </c>
    </row>
    <row r="80" spans="1:8" ht="105" x14ac:dyDescent="0.25">
      <c r="A80" s="166" t="s">
        <v>1831</v>
      </c>
      <c r="B80" s="165">
        <v>3</v>
      </c>
      <c r="C80" s="165">
        <v>2</v>
      </c>
      <c r="D80" s="165">
        <v>19</v>
      </c>
      <c r="E80" s="165">
        <v>45</v>
      </c>
      <c r="F80" s="165">
        <v>32</v>
      </c>
      <c r="G80" s="165">
        <v>13</v>
      </c>
      <c r="H80" s="165">
        <v>114</v>
      </c>
    </row>
    <row r="81" spans="1:8" ht="15" x14ac:dyDescent="0.25">
      <c r="A81"/>
      <c r="B81" s="215">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CAPACITADO.","Totalmente en desacuerdo / NO")/GETPIVOTDATA("11.4. Considero que los equipos de apoyo audiovisual a disposición de los programas académicos con los cuales me he relacionado son: SOPORTADOS POR PERSONAL DEBIDAMENTE CAPACITADO.",$A$78)</f>
        <v>2.6315789473684209E-2</v>
      </c>
      <c r="C81" s="217">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CAPACITADO.","En desacuerdo")/GETPIVOTDATA("11.4. Considero que los equipos de apoyo audiovisual a disposición de los programas académicos con los cuales me he relacionado son: SOPORTADOS POR PERSONAL DEBIDAMENTE CAPACITADO.",$A$78)</f>
        <v>1.7543859649122806E-2</v>
      </c>
      <c r="D81" s="217">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CAPACITADO.","Medianamente de acuerdo")/GETPIVOTDATA("11.4. Considero que los equipos de apoyo audiovisual a disposición de los programas académicos con los cuales me he relacionado son: SOPORTADOS POR PERSONAL DEBIDAMENTE CAPACITADO.",$A$78)</f>
        <v>0.16666666666666666</v>
      </c>
      <c r="E81" s="217">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CAPACITADO.","De acuerdo")/GETPIVOTDATA("11.4. Considero que los equipos de apoyo audiovisual a disposición de los programas académicos con los cuales me he relacionado son: SOPORTADOS POR PERSONAL DEBIDAMENTE CAPACITADO.",$A$78)</f>
        <v>0.39473684210526316</v>
      </c>
      <c r="F81" s="217">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CAPACITADO.","Totalmente de acuerdo / SI")/GETPIVOTDATA("11.4. Considero que los equipos de apoyo audiovisual a disposición de los programas académicos con los cuales me he relacionado son: SOPORTADOS POR PERSONAL DEBIDAMENTE CAPACITADO.",$A$78)</f>
        <v>0.2807017543859649</v>
      </c>
      <c r="G81" s="217">
        <f>+GETPIVOTDATA("11.4. Considero que los equipos de apoyo audiovisual a disposición de los programas académicos con los cuales me he relacionado son: SOPORTADOS POR PERSONAL DEBIDAMENTE CAPACITADO.",$A$78,"11.4. Considero que los equipos de apoyo audiovisual a disposición de los programas académicos con los cuales me he relacionado son: SOPORTADOS POR PERSONAL DEBIDAMENTE CAPACITADO.","No sabe / No puede opinar al respecto")/GETPIVOTDATA("11.4. Considero que los equipos de apoyo audiovisual a disposición de los programas académicos con los cuales me he relacionado son: SOPORTADOS POR PERSONAL DEBIDAMENTE CAPACITADO.",$A$78)</f>
        <v>0.11403508771929824</v>
      </c>
      <c r="H81" s="218">
        <f>SUM(B81:G81)</f>
        <v>1</v>
      </c>
    </row>
    <row r="82" spans="1:8" ht="15" x14ac:dyDescent="0.25">
      <c r="A82"/>
      <c r="B82" s="164" t="s">
        <v>2816</v>
      </c>
      <c r="C82"/>
      <c r="D82"/>
      <c r="E82"/>
      <c r="F82"/>
      <c r="G82"/>
      <c r="H82"/>
    </row>
    <row r="83" spans="1:8" ht="15" x14ac:dyDescent="0.25">
      <c r="A83"/>
      <c r="B83" t="s">
        <v>1093</v>
      </c>
      <c r="C83" t="s">
        <v>1</v>
      </c>
      <c r="D83" t="s">
        <v>2</v>
      </c>
      <c r="E83" t="s">
        <v>3</v>
      </c>
      <c r="F83" t="s">
        <v>1092</v>
      </c>
      <c r="G83" t="s">
        <v>5</v>
      </c>
      <c r="H83" t="s">
        <v>1096</v>
      </c>
    </row>
    <row r="84" spans="1:8" ht="45" x14ac:dyDescent="0.25">
      <c r="A84" s="166" t="s">
        <v>1832</v>
      </c>
      <c r="B84" s="165">
        <v>10</v>
      </c>
      <c r="C84" s="165">
        <v>19</v>
      </c>
      <c r="D84" s="165">
        <v>45</v>
      </c>
      <c r="E84" s="165">
        <v>25</v>
      </c>
      <c r="F84" s="165">
        <v>4</v>
      </c>
      <c r="G84" s="165">
        <v>11</v>
      </c>
      <c r="H84" s="165">
        <v>114</v>
      </c>
    </row>
    <row r="85" spans="1:8" ht="15" x14ac:dyDescent="0.25">
      <c r="A85"/>
      <c r="B85" s="215">
        <f>+GETPIVOTDATA("12.1. Considero que los servicios de Bienestar Universitario son: SUFICIENTES.",$A$82,"12.1. Considero que los servicios de Bienestar Universitario son: SUFICIENTES.","Totalmente en desacuerdo / NO")/GETPIVOTDATA("12.1. Considero que los servicios de Bienestar Universitario son: SUFICIENTES.",$A$82)</f>
        <v>8.771929824561403E-2</v>
      </c>
      <c r="C85" s="217">
        <f>+GETPIVOTDATA("12.1. Considero que los servicios de Bienestar Universitario son: SUFICIENTES.",$A$82,"12.1. Considero que los servicios de Bienestar Universitario son: SUFICIENTES.","En desacuerdo")/GETPIVOTDATA("12.1. Considero que los servicios de Bienestar Universitario son: SUFICIENTES.",$A$82)</f>
        <v>0.16666666666666666</v>
      </c>
      <c r="D85" s="217">
        <f>+GETPIVOTDATA("12.1. Considero que los servicios de Bienestar Universitario son: SUFICIENTES.",$A$82,"12.1. Considero que los servicios de Bienestar Universitario son: SUFICIENTES.","Medianamente de acuerdo")/GETPIVOTDATA("12.1. Considero que los servicios de Bienestar Universitario son: SUFICIENTES.",$A$82)</f>
        <v>0.39473684210526316</v>
      </c>
      <c r="E85" s="217">
        <f>+GETPIVOTDATA("12.1. Considero que los servicios de Bienestar Universitario son: SUFICIENTES.",$A$82,"12.1. Considero que los servicios de Bienestar Universitario son: SUFICIENTES.","De acuerdo")/GETPIVOTDATA("12.1. Considero que los servicios de Bienestar Universitario son: SUFICIENTES.",$A$82)</f>
        <v>0.21929824561403508</v>
      </c>
      <c r="F85" s="217">
        <f>+GETPIVOTDATA("12.1. Considero que los servicios de Bienestar Universitario son: SUFICIENTES.",$A$82,"12.1. Considero que los servicios de Bienestar Universitario son: SUFICIENTES.","Totalmente de acuerdo / SI")/GETPIVOTDATA("12.1. Considero que los servicios de Bienestar Universitario son: SUFICIENTES.",$A$82)</f>
        <v>3.5087719298245612E-2</v>
      </c>
      <c r="G85" s="217">
        <f>+GETPIVOTDATA("12.1. Considero que los servicios de Bienestar Universitario son: SUFICIENTES.",$A$82,"12.1. Considero que los servicios de Bienestar Universitario son: SUFICIENTES.","No sabe / No puede opinar al respecto")/GETPIVOTDATA("12.1. Considero que los servicios de Bienestar Universitario son: SUFICIENTES.",$A$82)</f>
        <v>9.6491228070175433E-2</v>
      </c>
      <c r="H85" s="218">
        <f>SUM(B85:G85)</f>
        <v>1</v>
      </c>
    </row>
    <row r="86" spans="1:8" ht="15" x14ac:dyDescent="0.25">
      <c r="A86"/>
      <c r="B86" s="164" t="s">
        <v>2816</v>
      </c>
      <c r="C86"/>
      <c r="D86"/>
      <c r="E86"/>
      <c r="F86"/>
      <c r="G86"/>
      <c r="H86"/>
    </row>
    <row r="87" spans="1:8" ht="15" x14ac:dyDescent="0.25">
      <c r="A87"/>
      <c r="B87" t="s">
        <v>1093</v>
      </c>
      <c r="C87" t="s">
        <v>1</v>
      </c>
      <c r="D87" t="s">
        <v>2</v>
      </c>
      <c r="E87" t="s">
        <v>3</v>
      </c>
      <c r="F87" t="s">
        <v>1092</v>
      </c>
      <c r="G87" t="s">
        <v>5</v>
      </c>
      <c r="H87" t="s">
        <v>1096</v>
      </c>
    </row>
    <row r="88" spans="1:8" ht="45" x14ac:dyDescent="0.25">
      <c r="A88" s="166" t="s">
        <v>1833</v>
      </c>
      <c r="B88" s="165">
        <v>8</v>
      </c>
      <c r="C88" s="165">
        <v>14</v>
      </c>
      <c r="D88" s="165">
        <v>38</v>
      </c>
      <c r="E88" s="165">
        <v>38</v>
      </c>
      <c r="F88" s="165">
        <v>8</v>
      </c>
      <c r="G88" s="165">
        <v>8</v>
      </c>
      <c r="H88" s="165">
        <v>114</v>
      </c>
    </row>
    <row r="89" spans="1:8" ht="15" x14ac:dyDescent="0.25">
      <c r="A89"/>
      <c r="B89" s="215">
        <f>+GETPIVOTDATA("12.2. Considero que los servicios de Bienestar Universitario son:  ADECUADOS",$A$86,"12.2. Considero que los servicios de Bienestar Universitario son:  ADECUADOS","Totalmente en desacuerdo / NO")/GETPIVOTDATA("12.2. Considero que los servicios de Bienestar Universitario son:  ADECUADOS",$A$86)</f>
        <v>7.0175438596491224E-2</v>
      </c>
      <c r="C89" s="217">
        <f>+GETPIVOTDATA("12.2. Considero que los servicios de Bienestar Universitario son:  ADECUADOS",$A$86,"12.2. Considero que los servicios de Bienestar Universitario son:  ADECUADOS","En desacuerdo")/GETPIVOTDATA("12.2. Considero que los servicios de Bienestar Universitario son:  ADECUADOS",$A$86)</f>
        <v>0.12280701754385964</v>
      </c>
      <c r="D89" s="217">
        <f>+GETPIVOTDATA("12.2. Considero que los servicios de Bienestar Universitario son:  ADECUADOS",$A$86,"12.2. Considero que los servicios de Bienestar Universitario son:  ADECUADOS","Medianamente de acuerdo")/GETPIVOTDATA("12.2. Considero que los servicios de Bienestar Universitario son:  ADECUADOS",$A$86)</f>
        <v>0.33333333333333331</v>
      </c>
      <c r="E89" s="217">
        <f>+GETPIVOTDATA("12.2. Considero que los servicios de Bienestar Universitario son:  ADECUADOS",$A$86,"12.2. Considero que los servicios de Bienestar Universitario son:  ADECUADOS","De acuerdo")/GETPIVOTDATA("12.2. Considero que los servicios de Bienestar Universitario son:  ADECUADOS",$A$86)</f>
        <v>0.33333333333333331</v>
      </c>
      <c r="F89" s="217">
        <f>+GETPIVOTDATA("12.2. Considero que los servicios de Bienestar Universitario son:  ADECUADOS",$A$86,"12.2. Considero que los servicios de Bienestar Universitario son:  ADECUADOS","Totalmente de acuerdo / SI")/GETPIVOTDATA("12.2. Considero que los servicios de Bienestar Universitario son:  ADECUADOS",$A$86)</f>
        <v>7.0175438596491224E-2</v>
      </c>
      <c r="G89" s="217">
        <f>+GETPIVOTDATA("12.2. Considero que los servicios de Bienestar Universitario son:  ADECUADOS",$A$86,"12.2. Considero que los servicios de Bienestar Universitario son:  ADECUADOS","No sabe / No puede opinar al respecto")/GETPIVOTDATA("12.2. Considero que los servicios de Bienestar Universitario son:  ADECUADOS",$A$86)</f>
        <v>7.0175438596491224E-2</v>
      </c>
      <c r="H89" s="218">
        <f>SUM(B89:G89)</f>
        <v>1</v>
      </c>
    </row>
    <row r="90" spans="1:8" ht="15" x14ac:dyDescent="0.25">
      <c r="A90"/>
      <c r="B90" s="164" t="s">
        <v>2816</v>
      </c>
      <c r="C90"/>
      <c r="D90"/>
      <c r="E90"/>
      <c r="F90"/>
      <c r="G90"/>
      <c r="H90"/>
    </row>
    <row r="91" spans="1:8" ht="15" x14ac:dyDescent="0.25">
      <c r="A91"/>
      <c r="B91" t="s">
        <v>1093</v>
      </c>
      <c r="C91" t="s">
        <v>1</v>
      </c>
      <c r="D91" t="s">
        <v>2</v>
      </c>
      <c r="E91" t="s">
        <v>3</v>
      </c>
      <c r="F91" t="s">
        <v>1092</v>
      </c>
      <c r="G91" t="s">
        <v>5</v>
      </c>
      <c r="H91" t="s">
        <v>1096</v>
      </c>
    </row>
    <row r="92" spans="1:8" ht="45" x14ac:dyDescent="0.25">
      <c r="A92" s="166" t="s">
        <v>1834</v>
      </c>
      <c r="B92" s="165">
        <v>9</v>
      </c>
      <c r="C92" s="165">
        <v>11</v>
      </c>
      <c r="D92" s="165">
        <v>28</v>
      </c>
      <c r="E92" s="165">
        <v>46</v>
      </c>
      <c r="F92" s="165">
        <v>14</v>
      </c>
      <c r="G92" s="165">
        <v>6</v>
      </c>
      <c r="H92" s="165">
        <v>114</v>
      </c>
    </row>
    <row r="93" spans="1:8" ht="15" x14ac:dyDescent="0.25">
      <c r="A93"/>
      <c r="B93" s="215">
        <f>+GETPIVOTDATA("12.3. Considero que los servicios de Bienestar Universitario son: ACCESIBLES.",$A$90,"12.3. Considero que los servicios de Bienestar Universitario son: ACCESIBLES.","Totalmente en desacuerdo / NO")/GETPIVOTDATA("12.3. Considero que los servicios de Bienestar Universitario son: ACCESIBLES.",$A$90)</f>
        <v>7.8947368421052627E-2</v>
      </c>
      <c r="C93" s="217">
        <f>+GETPIVOTDATA("12.3. Considero que los servicios de Bienestar Universitario son: ACCESIBLES.",$A$90,"12.3. Considero que los servicios de Bienestar Universitario son: ACCESIBLES.","En desacuerdo")/GETPIVOTDATA("12.3. Considero que los servicios de Bienestar Universitario son: ACCESIBLES.",$A$90)</f>
        <v>9.6491228070175433E-2</v>
      </c>
      <c r="D93" s="217">
        <f>+GETPIVOTDATA("12.3. Considero que los servicios de Bienestar Universitario son: ACCESIBLES.",$A$90,"12.3. Considero que los servicios de Bienestar Universitario son: ACCESIBLES.","Medianamente de acuerdo")/GETPIVOTDATA("12.3. Considero que los servicios de Bienestar Universitario son: ACCESIBLES.",$A$90)</f>
        <v>0.24561403508771928</v>
      </c>
      <c r="E93" s="217">
        <f>+GETPIVOTDATA("12.3. Considero que los servicios de Bienestar Universitario son: ACCESIBLES.",$A$90,"12.3. Considero que los servicios de Bienestar Universitario son: ACCESIBLES.","De acuerdo")/GETPIVOTDATA("12.3. Considero que los servicios de Bienestar Universitario son: ACCESIBLES.",$A$90)</f>
        <v>0.40350877192982454</v>
      </c>
      <c r="F93" s="217">
        <f>+GETPIVOTDATA("12.3. Considero que los servicios de Bienestar Universitario son: ACCESIBLES.",$A$90,"12.3. Considero que los servicios de Bienestar Universitario son: ACCESIBLES.","Totalmente de acuerdo / SI")/GETPIVOTDATA("12.3. Considero que los servicios de Bienestar Universitario son: ACCESIBLES.",$A$90)</f>
        <v>0.12280701754385964</v>
      </c>
      <c r="G93" s="217">
        <f>+GETPIVOTDATA("12.3. Considero que los servicios de Bienestar Universitario son: ACCESIBLES.",$A$90,"12.3. Considero que los servicios de Bienestar Universitario son: ACCESIBLES.","No sabe / No puede opinar al respecto")/GETPIVOTDATA("12.3. Considero que los servicios de Bienestar Universitario son: ACCESIBLES.",$A$90)</f>
        <v>5.2631578947368418E-2</v>
      </c>
      <c r="H93" s="218">
        <f>SUM(B93:G93)</f>
        <v>0.99999999999999978</v>
      </c>
    </row>
    <row r="94" spans="1:8" ht="15" x14ac:dyDescent="0.25">
      <c r="A94"/>
      <c r="B94" s="164" t="s">
        <v>2816</v>
      </c>
      <c r="C94"/>
      <c r="D94"/>
      <c r="E94"/>
      <c r="F94"/>
      <c r="G94"/>
      <c r="H94"/>
    </row>
    <row r="95" spans="1:8" ht="15" x14ac:dyDescent="0.25">
      <c r="A95"/>
      <c r="B95" t="s">
        <v>1093</v>
      </c>
      <c r="C95" t="s">
        <v>1</v>
      </c>
      <c r="D95" t="s">
        <v>2</v>
      </c>
      <c r="E95" t="s">
        <v>3</v>
      </c>
      <c r="F95" t="s">
        <v>1092</v>
      </c>
      <c r="G95" t="s">
        <v>5</v>
      </c>
      <c r="H95" t="s">
        <v>1096</v>
      </c>
    </row>
    <row r="96" spans="1:8" ht="60" x14ac:dyDescent="0.25">
      <c r="A96" s="166" t="s">
        <v>1835</v>
      </c>
      <c r="B96" s="165">
        <v>12</v>
      </c>
      <c r="C96" s="165">
        <v>14</v>
      </c>
      <c r="D96" s="165">
        <v>30</v>
      </c>
      <c r="E96" s="165">
        <v>35</v>
      </c>
      <c r="F96" s="165">
        <v>13</v>
      </c>
      <c r="G96" s="165">
        <v>10</v>
      </c>
      <c r="H96" s="165">
        <v>114</v>
      </c>
    </row>
    <row r="97" spans="1:8" ht="15" x14ac:dyDescent="0.25">
      <c r="A97"/>
      <c r="B97" s="215">
        <f>+GETPIVOTDATA("13. Considero que las actividades de Bienestar Universitario contribuyen a mi desarrollo personal.",$A$94,"13. Considero que las actividades de Bienestar Universitario contribuyen a mi desarrollo personal.","Totalmente en desacuerdo / NO")/GETPIVOTDATA("13. Considero que las actividades de Bienestar Universitario contribuyen a mi desarrollo personal.",$A$94)</f>
        <v>0.10526315789473684</v>
      </c>
      <c r="C97" s="217">
        <f>+GETPIVOTDATA("13. Considero que las actividades de Bienestar Universitario contribuyen a mi desarrollo personal.",$A$94,"13. Considero que las actividades de Bienestar Universitario contribuyen a mi desarrollo personal.","En desacuerdo")/GETPIVOTDATA("13. Considero que las actividades de Bienestar Universitario contribuyen a mi desarrollo personal.",$A$94)</f>
        <v>0.12280701754385964</v>
      </c>
      <c r="D97" s="217">
        <f>+GETPIVOTDATA("13. Considero que las actividades de Bienestar Universitario contribuyen a mi desarrollo personal.",$A$94,"13. Considero que las actividades de Bienestar Universitario contribuyen a mi desarrollo personal.","Medianamente de acuerdo")/GETPIVOTDATA("13. Considero que las actividades de Bienestar Universitario contribuyen a mi desarrollo personal.",$A$94)</f>
        <v>0.26315789473684209</v>
      </c>
      <c r="E97" s="217">
        <f>+GETPIVOTDATA("13. Considero que las actividades de Bienestar Universitario contribuyen a mi desarrollo personal.",$A$94,"13. Considero que las actividades de Bienestar Universitario contribuyen a mi desarrollo personal.","De acuerdo")/GETPIVOTDATA("13. Considero que las actividades de Bienestar Universitario contribuyen a mi desarrollo personal.",$A$94)</f>
        <v>0.30701754385964913</v>
      </c>
      <c r="F97" s="217">
        <f>+GETPIVOTDATA("13. Considero que las actividades de Bienestar Universitario contribuyen a mi desarrollo personal.",$A$94,"13. Considero que las actividades de Bienestar Universitario contribuyen a mi desarrollo personal.","Totalmente de acuerdo / SI")/GETPIVOTDATA("13. Considero que las actividades de Bienestar Universitario contribuyen a mi desarrollo personal.",$A$94)</f>
        <v>0.11403508771929824</v>
      </c>
      <c r="G97" s="217">
        <f>+GETPIVOTDATA("13. Considero que las actividades de Bienestar Universitario contribuyen a mi desarrollo personal.",$A$94,"13. Considero que las actividades de Bienestar Universitario contribuyen a mi desarrollo personal.","No sabe / No puede opinar al respecto")/GETPIVOTDATA("13. Considero que las actividades de Bienestar Universitario contribuyen a mi desarrollo personal.",$A$94)</f>
        <v>8.771929824561403E-2</v>
      </c>
      <c r="H97" s="218">
        <f>SUM(B97:G97)</f>
        <v>1</v>
      </c>
    </row>
    <row r="98" spans="1:8" ht="15" x14ac:dyDescent="0.25">
      <c r="A98"/>
      <c r="B98" s="164" t="s">
        <v>2816</v>
      </c>
      <c r="C98"/>
      <c r="D98"/>
      <c r="E98"/>
      <c r="F98"/>
      <c r="G98"/>
    </row>
    <row r="99" spans="1:8" ht="15" x14ac:dyDescent="0.25">
      <c r="A99"/>
      <c r="B99" t="s">
        <v>1093</v>
      </c>
      <c r="C99" t="s">
        <v>2</v>
      </c>
      <c r="D99" t="s">
        <v>3</v>
      </c>
      <c r="E99" t="s">
        <v>1092</v>
      </c>
      <c r="F99" t="s">
        <v>5</v>
      </c>
      <c r="G99" t="s">
        <v>1096</v>
      </c>
    </row>
    <row r="100" spans="1:8" ht="75" x14ac:dyDescent="0.25">
      <c r="A100" s="166" t="s">
        <v>1836</v>
      </c>
      <c r="B100" s="165">
        <v>1</v>
      </c>
      <c r="C100" s="165">
        <v>13</v>
      </c>
      <c r="D100" s="165">
        <v>45</v>
      </c>
      <c r="E100" s="165">
        <v>53</v>
      </c>
      <c r="F100" s="165">
        <v>2</v>
      </c>
      <c r="G100" s="165">
        <v>114</v>
      </c>
    </row>
    <row r="101" spans="1:8" ht="15" x14ac:dyDescent="0.25">
      <c r="A101"/>
      <c r="B101" s="215">
        <f>+GETPIVOTDATA("14. Las tareas que me son asignadas corresponden con las necesidades de los programas académicos con los cuales me he relacionado.",$A$98,"14. Las tareas que me son asignadas corresponden con las necesidades de los programas académicos con los cuales me he relacionado.","Totalmente en desacuerdo / NO")/GETPIVOTDATA("14. Las tareas que me son asignadas corresponden con las necesidades de los programas académicos con los cuales me he relacionado.",$A$98)</f>
        <v>8.771929824561403E-3</v>
      </c>
      <c r="C101" s="217">
        <f>+GETPIVOTDATA("14. Las tareas que me son asignadas corresponden con las necesidades de los programas académicos con los cuales me he relacionado.",$A$98,"14. Las tareas que me son asignadas corresponden con las necesidades de los programas académicos con los cuales me he relacionado.","Medianamente de acuerdo")/GETPIVOTDATA("14. Las tareas que me son asignadas corresponden con las necesidades de los programas académicos con los cuales me he relacionado.",$A$98)</f>
        <v>0.11403508771929824</v>
      </c>
      <c r="D101" s="217">
        <f>+GETPIVOTDATA("14. Las tareas que me son asignadas corresponden con las necesidades de los programas académicos con los cuales me he relacionado.",$A$98,"14. Las tareas que me son asignadas corresponden con las necesidades de los programas académicos con los cuales me he relacionado.","De acuerdo")/GETPIVOTDATA("14. Las tareas que me son asignadas corresponden con las necesidades de los programas académicos con los cuales me he relacionado.",$A$98)</f>
        <v>0.39473684210526316</v>
      </c>
      <c r="E101" s="217">
        <f>+GETPIVOTDATA("14. Las tareas que me son asignadas corresponden con las necesidades de los programas académicos con los cuales me he relacionado.",$A$98,"14. Las tareas que me son asignadas corresponden con las necesidades de los programas académicos con los cuales me he relacionado.","Totalmente de acuerdo / SI")/GETPIVOTDATA("14. Las tareas que me son asignadas corresponden con las necesidades de los programas académicos con los cuales me he relacionado.",$A$98)</f>
        <v>0.46491228070175439</v>
      </c>
      <c r="F101" s="217">
        <f>+GETPIVOTDATA("14. Las tareas que me son asignadas corresponden con las necesidades de los programas académicos con los cuales me he relacionado.",$A$98,"14. Las tareas que me son asignadas corresponden con las necesidades de los programas académicos con los cuales me he relacionado.","No sabe / No puede opinar al respecto")/GETPIVOTDATA("14. Las tareas que me son asignadas corresponden con las necesidades de los programas académicos con los cuales me he relacionado.",$A$98)</f>
        <v>1.7543859649122806E-2</v>
      </c>
      <c r="H101" s="218">
        <f>SUM(B101:G101)</f>
        <v>1</v>
      </c>
    </row>
    <row r="102" spans="1:8" ht="15" x14ac:dyDescent="0.25">
      <c r="A102"/>
      <c r="B102" s="164" t="s">
        <v>2816</v>
      </c>
      <c r="C102"/>
      <c r="D102"/>
      <c r="E102"/>
      <c r="F102"/>
      <c r="G102"/>
      <c r="H102"/>
    </row>
    <row r="103" spans="1:8" ht="15" x14ac:dyDescent="0.25">
      <c r="A103"/>
      <c r="B103" t="s">
        <v>1093</v>
      </c>
      <c r="C103" t="s">
        <v>1</v>
      </c>
      <c r="D103" t="s">
        <v>2</v>
      </c>
      <c r="E103" t="s">
        <v>3</v>
      </c>
      <c r="F103" t="s">
        <v>1092</v>
      </c>
      <c r="G103" t="s">
        <v>5</v>
      </c>
      <c r="H103" t="s">
        <v>1096</v>
      </c>
    </row>
    <row r="104" spans="1:8" ht="90" x14ac:dyDescent="0.25">
      <c r="A104" s="166" t="s">
        <v>1837</v>
      </c>
      <c r="B104" s="165">
        <v>2</v>
      </c>
      <c r="C104" s="165">
        <v>6</v>
      </c>
      <c r="D104" s="165">
        <v>13</v>
      </c>
      <c r="E104" s="165">
        <v>49</v>
      </c>
      <c r="F104" s="165">
        <v>40</v>
      </c>
      <c r="G104" s="165">
        <v>4</v>
      </c>
      <c r="H104" s="165">
        <v>114</v>
      </c>
    </row>
    <row r="105" spans="1:8" ht="15" x14ac:dyDescent="0.25">
      <c r="A105"/>
      <c r="B105" s="214">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relacionado.","Totalmente en desacuerdo / NO")/GETPIVOTDATA("15. Considero que las funciones a mi cargo fueron debidamente planeadas para el logro de los objetivos de los programas académicos con los cuales me he relacionado.",$A$102)</f>
        <v>1.7543859649122806E-2</v>
      </c>
      <c r="C105" s="218">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relacionado.","En desacuerdo")/GETPIVOTDATA("15. Considero que las funciones a mi cargo fueron debidamente planeadas para el logro de los objetivos de los programas académicos con los cuales me he relacionado.",$A$102)</f>
        <v>5.2631578947368418E-2</v>
      </c>
      <c r="D105" s="218">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relacionado.","Medianamente de acuerdo")/GETPIVOTDATA("15. Considero que las funciones a mi cargo fueron debidamente planeadas para el logro de los objetivos de los programas académicos con los cuales me he relacionado.",$A$102)</f>
        <v>0.11403508771929824</v>
      </c>
      <c r="E105" s="218">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relacionado.","De acuerdo")/GETPIVOTDATA("15. Considero que las funciones a mi cargo fueron debidamente planeadas para el logro de los objetivos de los programas académicos con los cuales me he relacionado.",$A$102)</f>
        <v>0.42982456140350878</v>
      </c>
      <c r="F105" s="218">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relacionado.","Totalmente de acuerdo / SI")/GETPIVOTDATA("15. Considero que las funciones a mi cargo fueron debidamente planeadas para el logro de los objetivos de los programas académicos con los cuales me he relacionado.",$A$102)</f>
        <v>0.35087719298245612</v>
      </c>
      <c r="G105" s="218">
        <f>+GETPIVOTDATA("15. Considero que las funciones a mi cargo fueron debidamente planeadas para el logro de los objetivos de los programas académicos con los cuales me he relacionado.",$A$102,"15. Considero que las funciones a mi cargo fueron debidamente planeadas para el logro de los objetivos de los programas académicos con los cuales me he relacionado.","No sabe / No puede opinar al respecto")/GETPIVOTDATA("15. Considero que las funciones a mi cargo fueron debidamente planeadas para el logro de los objetivos de los programas académicos con los cuales me he relacionado.",$A$102)</f>
        <v>3.5087719298245612E-2</v>
      </c>
      <c r="H105" s="218">
        <f>SUM(B105:G105)</f>
        <v>1</v>
      </c>
    </row>
    <row r="106" spans="1:8" ht="15" x14ac:dyDescent="0.25">
      <c r="A106"/>
      <c r="B106" s="164" t="s">
        <v>2816</v>
      </c>
      <c r="C106"/>
      <c r="D106"/>
      <c r="E106"/>
      <c r="F106"/>
      <c r="G106"/>
      <c r="H106"/>
    </row>
    <row r="107" spans="1:8" ht="15" x14ac:dyDescent="0.25">
      <c r="A107"/>
      <c r="B107" t="s">
        <v>1093</v>
      </c>
      <c r="C107" t="s">
        <v>1</v>
      </c>
      <c r="D107" t="s">
        <v>2</v>
      </c>
      <c r="E107" t="s">
        <v>3</v>
      </c>
      <c r="F107" t="s">
        <v>1092</v>
      </c>
      <c r="G107" t="s">
        <v>5</v>
      </c>
      <c r="H107" t="s">
        <v>1096</v>
      </c>
    </row>
    <row r="108" spans="1:8" ht="45" x14ac:dyDescent="0.25">
      <c r="A108" s="166" t="s">
        <v>1838</v>
      </c>
      <c r="B108" s="165">
        <v>3</v>
      </c>
      <c r="C108" s="165">
        <v>7</v>
      </c>
      <c r="D108" s="165">
        <v>17</v>
      </c>
      <c r="E108" s="165">
        <v>47</v>
      </c>
      <c r="F108" s="165">
        <v>38</v>
      </c>
      <c r="G108" s="165">
        <v>2</v>
      </c>
      <c r="H108" s="165">
        <v>114</v>
      </c>
    </row>
    <row r="109" spans="1:8" ht="15" x14ac:dyDescent="0.25">
      <c r="A109"/>
      <c r="B109" s="215">
        <f>+GETPIVOTDATA("16. Considero que mis funciones me fueron entregadas y notificadas oportunamente.",$A$106,"16. Considero que mis funciones me fueron entregadas y notificadas oportunamente.","Totalmente en desacuerdo / NO")/GETPIVOTDATA("16. Considero que mis funciones me fueron entregadas y notificadas oportunamente.",$A$106)</f>
        <v>2.6315789473684209E-2</v>
      </c>
      <c r="C109" s="217">
        <f>+GETPIVOTDATA("16. Considero que mis funciones me fueron entregadas y notificadas oportunamente.",$A$106,"16. Considero que mis funciones me fueron entregadas y notificadas oportunamente.","En desacuerdo")/GETPIVOTDATA("16. Considero que mis funciones me fueron entregadas y notificadas oportunamente.",$A$106)</f>
        <v>6.1403508771929821E-2</v>
      </c>
      <c r="D109" s="217">
        <f>+GETPIVOTDATA("16. Considero que mis funciones me fueron entregadas y notificadas oportunamente.",$A$106,"16. Considero que mis funciones me fueron entregadas y notificadas oportunamente.","Medianamente de acuerdo")/GETPIVOTDATA("16. Considero que mis funciones me fueron entregadas y notificadas oportunamente.",$A$106)</f>
        <v>0.14912280701754385</v>
      </c>
      <c r="E109" s="217">
        <f>+GETPIVOTDATA("16. Considero que mis funciones me fueron entregadas y notificadas oportunamente.",$A$106,"16. Considero que mis funciones me fueron entregadas y notificadas oportunamente.","De acuerdo")/GETPIVOTDATA("16. Considero que mis funciones me fueron entregadas y notificadas oportunamente.",$A$106)</f>
        <v>0.41228070175438597</v>
      </c>
      <c r="F109" s="217">
        <f>+GETPIVOTDATA("16. Considero que mis funciones me fueron entregadas y notificadas oportunamente.",$A$106,"16. Considero que mis funciones me fueron entregadas y notificadas oportunamente.","Totalmente de acuerdo / SI")/GETPIVOTDATA("16. Considero que mis funciones me fueron entregadas y notificadas oportunamente.",$A$106)</f>
        <v>0.33333333333333331</v>
      </c>
      <c r="G109" s="217">
        <f>+GETPIVOTDATA("16. Considero que mis funciones me fueron entregadas y notificadas oportunamente.",$A$106,"16. Considero que mis funciones me fueron entregadas y notificadas oportunamente.","No sabe / No puede opinar al respecto")/GETPIVOTDATA("16. Considero que mis funciones me fueron entregadas y notificadas oportunamente.",$A$106)</f>
        <v>1.7543859649122806E-2</v>
      </c>
      <c r="H109" s="218">
        <f>SUM(B109:G109)</f>
        <v>1</v>
      </c>
    </row>
    <row r="110" spans="1:8" ht="15" x14ac:dyDescent="0.25">
      <c r="A110"/>
      <c r="B110" s="164" t="s">
        <v>2816</v>
      </c>
      <c r="C110"/>
      <c r="D110"/>
      <c r="E110"/>
      <c r="F110"/>
      <c r="G110"/>
      <c r="H110"/>
    </row>
    <row r="111" spans="1:8" ht="15" x14ac:dyDescent="0.25">
      <c r="A111"/>
      <c r="B111" t="s">
        <v>1093</v>
      </c>
      <c r="C111" t="s">
        <v>1</v>
      </c>
      <c r="D111" t="s">
        <v>2</v>
      </c>
      <c r="E111" t="s">
        <v>3</v>
      </c>
      <c r="F111" t="s">
        <v>1092</v>
      </c>
      <c r="G111" t="s">
        <v>5</v>
      </c>
      <c r="H111" t="s">
        <v>1096</v>
      </c>
    </row>
    <row r="112" spans="1:8" ht="30" x14ac:dyDescent="0.25">
      <c r="A112" s="166" t="s">
        <v>1839</v>
      </c>
      <c r="B112" s="165">
        <v>1</v>
      </c>
      <c r="C112" s="165">
        <v>3</v>
      </c>
      <c r="D112" s="165">
        <v>9</v>
      </c>
      <c r="E112" s="165">
        <v>30</v>
      </c>
      <c r="F112" s="165">
        <v>69</v>
      </c>
      <c r="G112" s="165">
        <v>2</v>
      </c>
      <c r="H112" s="165">
        <v>114</v>
      </c>
    </row>
    <row r="113" spans="1:8" ht="15" x14ac:dyDescent="0.25">
      <c r="A113"/>
      <c r="B113" s="215">
        <f>+GETPIVOTDATA("17. Tengo claras las funciones a mi cargo.",$A$110,"17. Tengo claras las funciones a mi cargo.","Totalmente en desacuerdo / NO")/GETPIVOTDATA("17. Tengo claras las funciones a mi cargo.",$A$110)</f>
        <v>8.771929824561403E-3</v>
      </c>
      <c r="C113" s="217">
        <f>+GETPIVOTDATA("17. Tengo claras las funciones a mi cargo.",$A$110,"17. Tengo claras las funciones a mi cargo.","En desacuerdo")/GETPIVOTDATA("17. Tengo claras las funciones a mi cargo.",$A$110)</f>
        <v>2.6315789473684209E-2</v>
      </c>
      <c r="D113" s="217">
        <f>+GETPIVOTDATA("17. Tengo claras las funciones a mi cargo.",$A$110,"17. Tengo claras las funciones a mi cargo.","Medianamente de acuerdo")/GETPIVOTDATA("17. Tengo claras las funciones a mi cargo.",$A$110)</f>
        <v>7.8947368421052627E-2</v>
      </c>
      <c r="E113" s="217">
        <f>+GETPIVOTDATA("17. Tengo claras las funciones a mi cargo.",$A$110,"17. Tengo claras las funciones a mi cargo.","De acuerdo")/GETPIVOTDATA("17. Tengo claras las funciones a mi cargo.",$A$110)</f>
        <v>0.26315789473684209</v>
      </c>
      <c r="F113" s="217">
        <f>+GETPIVOTDATA("17. Tengo claras las funciones a mi cargo.",$A$110,"17. Tengo claras las funciones a mi cargo.","Totalmente de acuerdo / SI")/GETPIVOTDATA("17. Tengo claras las funciones a mi cargo.",$A$110)</f>
        <v>0.60526315789473684</v>
      </c>
      <c r="G113" s="217">
        <f>+GETPIVOTDATA("17. Tengo claras las funciones a mi cargo.",$A$110,"17. Tengo claras las funciones a mi cargo.","No sabe / No puede opinar al respecto")/GETPIVOTDATA("17. Tengo claras las funciones a mi cargo.",$A$110)</f>
        <v>1.7543859649122806E-2</v>
      </c>
      <c r="H113" s="218">
        <f>SUM(B113:G113)</f>
        <v>1</v>
      </c>
    </row>
    <row r="114" spans="1:8" ht="15" x14ac:dyDescent="0.25">
      <c r="A114"/>
      <c r="B114" s="164" t="s">
        <v>2816</v>
      </c>
      <c r="C114"/>
      <c r="D114"/>
      <c r="E114"/>
      <c r="F114"/>
      <c r="G114"/>
      <c r="H114"/>
    </row>
    <row r="115" spans="1:8" ht="15" x14ac:dyDescent="0.25">
      <c r="A115"/>
      <c r="B115" t="s">
        <v>1093</v>
      </c>
      <c r="C115" t="s">
        <v>1</v>
      </c>
      <c r="D115" t="s">
        <v>2</v>
      </c>
      <c r="E115" t="s">
        <v>3</v>
      </c>
      <c r="F115" t="s">
        <v>1092</v>
      </c>
      <c r="G115" t="s">
        <v>5</v>
      </c>
      <c r="H115" t="s">
        <v>1096</v>
      </c>
    </row>
    <row r="116" spans="1:8" ht="75" x14ac:dyDescent="0.25">
      <c r="A116" s="166" t="s">
        <v>1840</v>
      </c>
      <c r="B116" s="165">
        <v>10</v>
      </c>
      <c r="C116" s="165">
        <v>14</v>
      </c>
      <c r="D116" s="165">
        <v>30</v>
      </c>
      <c r="E116" s="165">
        <v>37</v>
      </c>
      <c r="F116" s="165">
        <v>13</v>
      </c>
      <c r="G116" s="165">
        <v>10</v>
      </c>
      <c r="H116" s="165">
        <v>114</v>
      </c>
    </row>
    <row r="117" spans="1:8" ht="15" x14ac:dyDescent="0.25">
      <c r="A117"/>
      <c r="B117" s="215">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administrativo.","Totalmente en desacuerdo / NO")/GETPIVOTDATA("18. Considero que la representación de los administrativos cumple su papel de comunicación entre los directivos y el personal administrativo.",$A$114)</f>
        <v>8.771929824561403E-2</v>
      </c>
      <c r="C117" s="217">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administrativo.","En desacuerdo")/GETPIVOTDATA("18. Considero que la representación de los administrativos cumple su papel de comunicación entre los directivos y el personal administrativo.",$A$114)</f>
        <v>0.12280701754385964</v>
      </c>
      <c r="D117" s="217">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administrativo.","Medianamente de acuerdo")/GETPIVOTDATA("18. Considero que la representación de los administrativos cumple su papel de comunicación entre los directivos y el personal administrativo.",$A$114)</f>
        <v>0.26315789473684209</v>
      </c>
      <c r="E117" s="217">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administrativo.","De acuerdo")/GETPIVOTDATA("18. Considero que la representación de los administrativos cumple su papel de comunicación entre los directivos y el personal administrativo.",$A$114)</f>
        <v>0.32456140350877194</v>
      </c>
      <c r="F117" s="217">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administrativo.","Totalmente de acuerdo / SI")/GETPIVOTDATA("18. Considero que la representación de los administrativos cumple su papel de comunicación entre los directivos y el personal administrativo.",$A$114)</f>
        <v>0.11403508771929824</v>
      </c>
      <c r="G117" s="217">
        <f>+GETPIVOTDATA("18. Considero que la representación de los administrativos cumple su papel de comunicación entre los directivos y el personal administrativo.",$A$114,"18. Considero que la representación de los administrativos cumple su papel de comunicación entre los directivos y el personal administrativo.","No sabe / No puede opinar al respecto")/GETPIVOTDATA("18. Considero que la representación de los administrativos cumple su papel de comunicación entre los directivos y el personal administrativo.",$A$114)</f>
        <v>8.771929824561403E-2</v>
      </c>
      <c r="H117" s="218">
        <f>SUM(B117:G117)</f>
        <v>1</v>
      </c>
    </row>
    <row r="118" spans="1:8" ht="15" x14ac:dyDescent="0.25">
      <c r="A118"/>
      <c r="B118" s="164" t="s">
        <v>2816</v>
      </c>
      <c r="C118"/>
      <c r="D118"/>
      <c r="E118"/>
      <c r="F118"/>
      <c r="G118"/>
      <c r="H118"/>
    </row>
    <row r="119" spans="1:8" ht="15" x14ac:dyDescent="0.25">
      <c r="A119"/>
      <c r="B119" t="s">
        <v>1093</v>
      </c>
      <c r="C119" t="s">
        <v>1</v>
      </c>
      <c r="D119" t="s">
        <v>2</v>
      </c>
      <c r="E119" t="s">
        <v>3</v>
      </c>
      <c r="F119" t="s">
        <v>1092</v>
      </c>
      <c r="G119" t="s">
        <v>5</v>
      </c>
      <c r="H119" t="s">
        <v>1096</v>
      </c>
    </row>
    <row r="120" spans="1:8" ht="90" x14ac:dyDescent="0.25">
      <c r="A120" s="166" t="s">
        <v>1841</v>
      </c>
      <c r="B120" s="165">
        <v>10</v>
      </c>
      <c r="C120" s="165">
        <v>14</v>
      </c>
      <c r="D120" s="165">
        <v>25</v>
      </c>
      <c r="E120" s="165">
        <v>36</v>
      </c>
      <c r="F120" s="165">
        <v>12</v>
      </c>
      <c r="G120" s="165">
        <v>17</v>
      </c>
      <c r="H120" s="165">
        <v>114</v>
      </c>
    </row>
    <row r="121" spans="1:8" ht="15" x14ac:dyDescent="0.25">
      <c r="A121"/>
      <c r="B121" s="215">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relacionado.","Totalmente en desacuerdo / NO")/GETPIVOTDATA("19. Considero que los representantes administrativos han liderado propuestas para el mejoramiento de los programas académicos con los cuales me he relacionado.",$A$118)</f>
        <v>8.771929824561403E-2</v>
      </c>
      <c r="C121" s="217">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relacionado.","En desacuerdo")/GETPIVOTDATA("19. Considero que los representantes administrativos han liderado propuestas para el mejoramiento de los programas académicos con los cuales me he relacionado.",$A$118)</f>
        <v>0.12280701754385964</v>
      </c>
      <c r="D121" s="217">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relacionado.","Medianamente de acuerdo")/GETPIVOTDATA("19. Considero que los representantes administrativos han liderado propuestas para el mejoramiento de los programas académicos con los cuales me he relacionado.",$A$118)</f>
        <v>0.21929824561403508</v>
      </c>
      <c r="E121" s="217">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relacionado.","De acuerdo")/GETPIVOTDATA("19. Considero que los representantes administrativos han liderado propuestas para el mejoramiento de los programas académicos con los cuales me he relacionado.",$A$118)</f>
        <v>0.31578947368421051</v>
      </c>
      <c r="F121" s="217">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relacionado.","Totalmente de acuerdo / SI")/GETPIVOTDATA("19. Considero que los representantes administrativos han liderado propuestas para el mejoramiento de los programas académicos con los cuales me he relacionado.",$A$118)</f>
        <v>0.10526315789473684</v>
      </c>
      <c r="G121" s="217">
        <f>+GETPIVOTDATA("19. Considero que los representantes administrativos han liderado propuestas para el mejoramiento de los programas académicos con los cuales me he relacionado.",$A$118,"19. Considero que los representantes administrativos han liderado propuestas para el mejoramiento de los programas académicos con los cuales me he relacionado.","No sabe / No puede opinar al respecto")/GETPIVOTDATA("19. Considero que los representantes administrativos han liderado propuestas para el mejoramiento de los programas académicos con los cuales me he relacionado.",$A$118)</f>
        <v>0.14912280701754385</v>
      </c>
      <c r="H121" s="218">
        <f>SUM(B121:G121)</f>
        <v>1</v>
      </c>
    </row>
    <row r="122" spans="1:8" ht="15" x14ac:dyDescent="0.25">
      <c r="A122"/>
      <c r="B122" s="164" t="s">
        <v>2816</v>
      </c>
      <c r="C122"/>
      <c r="D122"/>
      <c r="E122"/>
      <c r="F122"/>
      <c r="G122"/>
      <c r="H122"/>
    </row>
    <row r="123" spans="1:8" ht="15" x14ac:dyDescent="0.25">
      <c r="A123"/>
      <c r="B123" t="s">
        <v>1093</v>
      </c>
      <c r="C123" t="s">
        <v>1</v>
      </c>
      <c r="D123" t="s">
        <v>2</v>
      </c>
      <c r="E123" t="s">
        <v>3</v>
      </c>
      <c r="F123" t="s">
        <v>1092</v>
      </c>
      <c r="G123" t="s">
        <v>5</v>
      </c>
      <c r="H123" t="s">
        <v>1096</v>
      </c>
    </row>
    <row r="124" spans="1:8" ht="75" x14ac:dyDescent="0.25">
      <c r="A124" s="166" t="s">
        <v>1842</v>
      </c>
      <c r="B124" s="165">
        <v>4</v>
      </c>
      <c r="C124" s="165">
        <v>10</v>
      </c>
      <c r="D124" s="165">
        <v>31</v>
      </c>
      <c r="E124" s="165">
        <v>49</v>
      </c>
      <c r="F124" s="165">
        <v>12</v>
      </c>
      <c r="G124" s="165">
        <v>8</v>
      </c>
      <c r="H124" s="165">
        <v>114</v>
      </c>
    </row>
    <row r="125" spans="1:8" ht="15" x14ac:dyDescent="0.25">
      <c r="A125"/>
      <c r="B125" s="215">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efectivos.","Totalmente en desacuerdo / NO")/GETPIVOTDATA("20. Considero que los sistemas de información empleados por los programas académicos con los cuales me he relacionado son efectivos.",$A$122)</f>
        <v>3.5087719298245612E-2</v>
      </c>
      <c r="C125" s="217">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efectivos.","En desacuerdo")/GETPIVOTDATA("20. Considero que los sistemas de información empleados por los programas académicos con los cuales me he relacionado son efectivos.",$A$122)</f>
        <v>8.771929824561403E-2</v>
      </c>
      <c r="D125" s="217">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efectivos.","Medianamente de acuerdo")/GETPIVOTDATA("20. Considero que los sistemas de información empleados por los programas académicos con los cuales me he relacionado son efectivos.",$A$122)</f>
        <v>0.27192982456140352</v>
      </c>
      <c r="E125" s="217">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efectivos.","De acuerdo")/GETPIVOTDATA("20. Considero que los sistemas de información empleados por los programas académicos con los cuales me he relacionado son efectivos.",$A$122)</f>
        <v>0.42982456140350878</v>
      </c>
      <c r="F125" s="217">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efectivos.","Totalmente de acuerdo / SI")/GETPIVOTDATA("20. Considero que los sistemas de información empleados por los programas académicos con los cuales me he relacionado son efectivos.",$A$122)</f>
        <v>0.10526315789473684</v>
      </c>
      <c r="G125" s="217">
        <f>+GETPIVOTDATA("20. Considero que los sistemas de información empleados por los programas académicos con los cuales me he relacionado son efectivos.",$A$122,"20. Considero que los sistemas de información empleados por los programas académicos con los cuales me he relacionado son efectivos.","No sabe / No puede opinar al respecto")/GETPIVOTDATA("20. Considero que los sistemas de información empleados por los programas académicos con los cuales me he relacionado son efectivos.",$A$122)</f>
        <v>7.0175438596491224E-2</v>
      </c>
      <c r="H125" s="218">
        <f>SUM(B125:G125)</f>
        <v>1</v>
      </c>
    </row>
    <row r="126" spans="1:8" ht="15" x14ac:dyDescent="0.25">
      <c r="A126"/>
      <c r="B126" s="164" t="s">
        <v>2816</v>
      </c>
      <c r="C126"/>
      <c r="D126"/>
      <c r="E126"/>
      <c r="F126"/>
      <c r="G126"/>
      <c r="H126"/>
    </row>
    <row r="127" spans="1:8" ht="15" x14ac:dyDescent="0.25">
      <c r="A127"/>
      <c r="B127" t="s">
        <v>1093</v>
      </c>
      <c r="C127" t="s">
        <v>1</v>
      </c>
      <c r="D127" t="s">
        <v>2</v>
      </c>
      <c r="E127" t="s">
        <v>3</v>
      </c>
      <c r="F127" t="s">
        <v>1092</v>
      </c>
      <c r="G127" t="s">
        <v>5</v>
      </c>
      <c r="H127" t="s">
        <v>1096</v>
      </c>
    </row>
    <row r="128" spans="1:8" ht="75" x14ac:dyDescent="0.25">
      <c r="A128" s="166" t="s">
        <v>1843</v>
      </c>
      <c r="B128" s="165">
        <v>4</v>
      </c>
      <c r="C128" s="165">
        <v>10</v>
      </c>
      <c r="D128" s="165">
        <v>40</v>
      </c>
      <c r="E128" s="165">
        <v>42</v>
      </c>
      <c r="F128" s="165">
        <v>12</v>
      </c>
      <c r="G128" s="165">
        <v>6</v>
      </c>
      <c r="H128" s="165">
        <v>114</v>
      </c>
    </row>
    <row r="129" spans="1:8" ht="15" x14ac:dyDescent="0.25">
      <c r="A129"/>
      <c r="B129" s="215">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efectivos.","Totalmente en desacuerdo / NO")/GETPIVOTDATA("21. Considero que los mecanismos de comunicación empleados por los programas académicos con los cuales me he relacionado son efectivos.",$A$126)</f>
        <v>3.5087719298245612E-2</v>
      </c>
      <c r="C129" s="217">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efectivos.","En desacuerdo")/GETPIVOTDATA("21. Considero que los mecanismos de comunicación empleados por los programas académicos con los cuales me he relacionado son efectivos.",$A$126)</f>
        <v>8.771929824561403E-2</v>
      </c>
      <c r="D129" s="217">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efectivos.","Medianamente de acuerdo")/GETPIVOTDATA("21. Considero que los mecanismos de comunicación empleados por los programas académicos con los cuales me he relacionado son efectivos.",$A$126)</f>
        <v>0.35087719298245612</v>
      </c>
      <c r="E129" s="217">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efectivos.","De acuerdo")/GETPIVOTDATA("21. Considero que los mecanismos de comunicación empleados por los programas académicos con los cuales me he relacionado son efectivos.",$A$126)</f>
        <v>0.36842105263157893</v>
      </c>
      <c r="F129" s="217">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efectivos.","Totalmente de acuerdo / SI")/GETPIVOTDATA("21. Considero que los mecanismos de comunicación empleados por los programas académicos con los cuales me he relacionado son efectivos.",$A$126)</f>
        <v>0.10526315789473684</v>
      </c>
      <c r="G129" s="217">
        <f>+GETPIVOTDATA("21. Considero que los mecanismos de comunicación empleados por los programas académicos con los cuales me he relacionado son efectivos.",$A$126,"21. Considero que los mecanismos de comunicación empleados por los programas académicos con los cuales me he relacionado son efectivos.","No sabe / No puede opinar al respecto")/GETPIVOTDATA("21. Considero que los mecanismos de comunicación empleados por los programas académicos con los cuales me he relacionado son efectivos.",$A$126)</f>
        <v>5.2631578947368418E-2</v>
      </c>
      <c r="H129" s="218">
        <f>SUM(B129:G129)</f>
        <v>1</v>
      </c>
    </row>
    <row r="130" spans="1:8" ht="15" x14ac:dyDescent="0.25">
      <c r="A130"/>
      <c r="B130" s="164" t="s">
        <v>2816</v>
      </c>
      <c r="C130"/>
      <c r="D130"/>
      <c r="E130"/>
      <c r="F130"/>
      <c r="G130"/>
    </row>
    <row r="131" spans="1:8" ht="15" x14ac:dyDescent="0.25">
      <c r="A131"/>
      <c r="B131" t="s">
        <v>1</v>
      </c>
      <c r="C131" t="s">
        <v>2</v>
      </c>
      <c r="D131" t="s">
        <v>3</v>
      </c>
      <c r="E131" t="s">
        <v>1092</v>
      </c>
      <c r="F131" t="s">
        <v>5</v>
      </c>
      <c r="G131" t="s">
        <v>1096</v>
      </c>
    </row>
    <row r="132" spans="1:8" ht="75" x14ac:dyDescent="0.25">
      <c r="A132" s="166" t="s">
        <v>1844</v>
      </c>
      <c r="B132" s="165">
        <v>5</v>
      </c>
      <c r="C132" s="165">
        <v>31</v>
      </c>
      <c r="D132" s="165">
        <v>54</v>
      </c>
      <c r="E132" s="165">
        <v>15</v>
      </c>
      <c r="F132" s="165">
        <v>9</v>
      </c>
      <c r="G132" s="165">
        <v>114</v>
      </c>
    </row>
    <row r="133" spans="1:8" ht="15" x14ac:dyDescent="0.25">
      <c r="A133"/>
      <c r="B133" s="215">
        <f>+GETPIVOTDATA("22. Considero que las orientaciones de los directivos de los programas académicos con los cuales me he relacionado son adecuadas.",$A$130,"22. Considero que las orientaciones de los directivos de los programas académicos con los cuales me he relacionado son adecuadas.","En desacuerdo")/GETPIVOTDATA("22. Considero que las orientaciones de los directivos de los programas académicos con los cuales me he relacionado son adecuadas.",$A$130)</f>
        <v>4.3859649122807015E-2</v>
      </c>
      <c r="C133" s="215">
        <f>+GETPIVOTDATA("22. Considero que las orientaciones de los directivos de los programas académicos con los cuales me he relacionado son adecuadas.",$A$130,"22. Considero que las orientaciones de los directivos de los programas académicos con los cuales me he relacionado son adecuadas.","Medianamente de acuerdo")/GETPIVOTDATA("22. Considero que las orientaciones de los directivos de los programas académicos con los cuales me he relacionado son adecuadas.",$A$130)</f>
        <v>0.27192982456140352</v>
      </c>
      <c r="D133" s="215">
        <f>+GETPIVOTDATA("22. Considero que las orientaciones de los directivos de los programas académicos con los cuales me he relacionado son adecuadas.",$A$130,"22. Considero que las orientaciones de los directivos de los programas académicos con los cuales me he relacionado son adecuadas.","De acuerdo")/GETPIVOTDATA("22. Considero que las orientaciones de los directivos de los programas académicos con los cuales me he relacionado son adecuadas.",$A$130)</f>
        <v>0.47368421052631576</v>
      </c>
      <c r="E133" s="215">
        <f>+GETPIVOTDATA("22. Considero que las orientaciones de los directivos de los programas académicos con los cuales me he relacionado son adecuadas.",$A$130,"22. Considero que las orientaciones de los directivos de los programas académicos con los cuales me he relacionado son adecuadas.","Totalmente de acuerdo / SI")/GETPIVOTDATA("22. Considero que las orientaciones de los directivos de los programas académicos con los cuales me he relacionado son adecuadas.",$A$130)</f>
        <v>0.13157894736842105</v>
      </c>
      <c r="F133" s="215">
        <f>+GETPIVOTDATA("22. Considero que las orientaciones de los directivos de los programas académicos con los cuales me he relacionado son adecuadas.",$A$130,"22. Considero que las orientaciones de los directivos de los programas académicos con los cuales me he relacionado son adecuadas.","No sabe / No puede opinar al respecto")/GETPIVOTDATA("22. Considero que las orientaciones de los directivos de los programas académicos con los cuales me he relacionado son adecuadas.",$A$130)</f>
        <v>7.8947368421052627E-2</v>
      </c>
      <c r="G133"/>
      <c r="H133" s="218">
        <f>SUM(B133:G133)</f>
        <v>1</v>
      </c>
    </row>
    <row r="134" spans="1:8" ht="15" x14ac:dyDescent="0.25">
      <c r="A134"/>
      <c r="B134" s="164" t="s">
        <v>2816</v>
      </c>
      <c r="C134"/>
      <c r="D134"/>
      <c r="E134"/>
      <c r="F134"/>
      <c r="G134"/>
      <c r="H134"/>
    </row>
    <row r="135" spans="1:8" ht="15" x14ac:dyDescent="0.25">
      <c r="A135"/>
      <c r="B135" t="s">
        <v>1093</v>
      </c>
      <c r="C135" t="s">
        <v>1</v>
      </c>
      <c r="D135" t="s">
        <v>2</v>
      </c>
      <c r="E135" t="s">
        <v>3</v>
      </c>
      <c r="F135" t="s">
        <v>1092</v>
      </c>
      <c r="G135" t="s">
        <v>5</v>
      </c>
      <c r="H135" t="s">
        <v>1096</v>
      </c>
    </row>
    <row r="136" spans="1:8" ht="75" x14ac:dyDescent="0.25">
      <c r="A136" s="166" t="s">
        <v>1845</v>
      </c>
      <c r="B136" s="165">
        <v>1</v>
      </c>
      <c r="C136" s="165">
        <v>5</v>
      </c>
      <c r="D136" s="165">
        <v>29</v>
      </c>
      <c r="E136" s="165">
        <v>50</v>
      </c>
      <c r="F136" s="165">
        <v>18</v>
      </c>
      <c r="G136" s="165">
        <v>11</v>
      </c>
      <c r="H136" s="165">
        <v>114</v>
      </c>
    </row>
    <row r="137" spans="1:8" ht="15" x14ac:dyDescent="0.25">
      <c r="A137"/>
      <c r="B137" s="214">
        <f>+GETPIVOTDATA("23. Considero que el liderazgo ejercido por los directivos de los programas académicos con los cuales me he relacionado es idóneo.",$A$134,"23. Considero que el liderazgo ejercido por los directivos de los programas académicos con los cuales me he relacionado es idóneo.","Totalmente en desacuerdo / NO")/GETPIVOTDATA("23. Considero que el liderazgo ejercido por los directivos de los programas académicos con los cuales me he relacionado es idóneo.",$A$134)</f>
        <v>8.771929824561403E-3</v>
      </c>
      <c r="C137" s="218">
        <f>+GETPIVOTDATA("23. Considero que el liderazgo ejercido por los directivos de los programas académicos con los cuales me he relacionado es idóneo.",$A$134,"23. Considero que el liderazgo ejercido por los directivos de los programas académicos con los cuales me he relacionado es idóneo.","En desacuerdo")/GETPIVOTDATA("23. Considero que el liderazgo ejercido por los directivos de los programas académicos con los cuales me he relacionado es idóneo.",$A$134)</f>
        <v>4.3859649122807015E-2</v>
      </c>
      <c r="D137" s="218">
        <f>+GETPIVOTDATA("23. Considero que el liderazgo ejercido por los directivos de los programas académicos con los cuales me he relacionado es idóneo.",$A$134,"23. Considero que el liderazgo ejercido por los directivos de los programas académicos con los cuales me he relacionado es idóneo.","Medianamente de acuerdo")/GETPIVOTDATA("23. Considero que el liderazgo ejercido por los directivos de los programas académicos con los cuales me he relacionado es idóneo.",$A$134)</f>
        <v>0.25438596491228072</v>
      </c>
      <c r="E137" s="218">
        <f>+GETPIVOTDATA("23. Considero que el liderazgo ejercido por los directivos de los programas académicos con los cuales me he relacionado es idóneo.",$A$134,"23. Considero que el liderazgo ejercido por los directivos de los programas académicos con los cuales me he relacionado es idóneo.","De acuerdo")/GETPIVOTDATA("23. Considero que el liderazgo ejercido por los directivos de los programas académicos con los cuales me he relacionado es idóneo.",$A$134)</f>
        <v>0.43859649122807015</v>
      </c>
      <c r="F137" s="218">
        <f>+GETPIVOTDATA("23. Considero que el liderazgo ejercido por los directivos de los programas académicos con los cuales me he relacionado es idóneo.",$A$134,"23. Considero que el liderazgo ejercido por los directivos de los programas académicos con los cuales me he relacionado es idóneo.","Totalmente de acuerdo / SI")/GETPIVOTDATA("23. Considero que el liderazgo ejercido por los directivos de los programas académicos con los cuales me he relacionado es idóneo.",$A$134)</f>
        <v>0.15789473684210525</v>
      </c>
      <c r="G137" s="218">
        <f>+GETPIVOTDATA("23. Considero que el liderazgo ejercido por los directivos de los programas académicos con los cuales me he relacionado es idóneo.",$A$134,"23. Considero que el liderazgo ejercido por los directivos de los programas académicos con los cuales me he relacionado es idóneo.","No sabe / No puede opinar al respecto")/GETPIVOTDATA("23. Considero que el liderazgo ejercido por los directivos de los programas académicos con los cuales me he relacionado es idóneo.",$A$134)</f>
        <v>9.6491228070175433E-2</v>
      </c>
      <c r="H137" s="218">
        <f>SUM(B137:G137)</f>
        <v>0.99999999999999989</v>
      </c>
    </row>
    <row r="138" spans="1:8" ht="15" x14ac:dyDescent="0.25">
      <c r="A138"/>
      <c r="B138" s="164" t="s">
        <v>2816</v>
      </c>
      <c r="C138"/>
      <c r="D138"/>
      <c r="E138"/>
      <c r="F138"/>
      <c r="G138"/>
      <c r="H138"/>
    </row>
    <row r="139" spans="1:8" ht="15" x14ac:dyDescent="0.25">
      <c r="A139"/>
      <c r="B139" t="s">
        <v>1093</v>
      </c>
      <c r="C139" t="s">
        <v>1</v>
      </c>
      <c r="D139" t="s">
        <v>2</v>
      </c>
      <c r="E139" t="s">
        <v>3</v>
      </c>
      <c r="F139" t="s">
        <v>1092</v>
      </c>
      <c r="G139" t="s">
        <v>5</v>
      </c>
      <c r="H139" t="s">
        <v>1096</v>
      </c>
    </row>
    <row r="140" spans="1:8" ht="75" x14ac:dyDescent="0.25">
      <c r="A140" s="166" t="s">
        <v>1846</v>
      </c>
      <c r="B140" s="165">
        <v>2</v>
      </c>
      <c r="C140" s="165">
        <v>11</v>
      </c>
      <c r="D140" s="165">
        <v>53</v>
      </c>
      <c r="E140" s="165">
        <v>34</v>
      </c>
      <c r="F140" s="165">
        <v>11</v>
      </c>
      <c r="G140" s="165">
        <v>3</v>
      </c>
      <c r="H140" s="165">
        <v>114</v>
      </c>
    </row>
    <row r="141" spans="1:8" ht="15" x14ac:dyDescent="0.25">
      <c r="A141"/>
      <c r="B141" s="215">
        <f>+GETPIVOTDATA("24.1. Considero que la planta física empleada por los programas académicos con los cuales me he relacionado es: ADECUADA.",$A$138,"24.1. Considero que la planta física empleada por los programas académicos con los cuales me he relacionado es: ADECUADA.","Totalmente en desacuerdo / NO")/GETPIVOTDATA("24.1. Considero que la planta física empleada por los programas académicos con los cuales me he relacionado es: ADECUADA.",$A$138)</f>
        <v>1.7543859649122806E-2</v>
      </c>
      <c r="C141" s="217">
        <f>+GETPIVOTDATA("24.1. Considero que la planta física empleada por los programas académicos con los cuales me he relacionado es: ADECUADA.",$A$138,"24.1. Considero que la planta física empleada por los programas académicos con los cuales me he relacionado es: ADECUADA.","En desacuerdo")/GETPIVOTDATA("24.1. Considero que la planta física empleada por los programas académicos con los cuales me he relacionado es: ADECUADA.",$A$138)</f>
        <v>9.6491228070175433E-2</v>
      </c>
      <c r="D141" s="217">
        <f>+GETPIVOTDATA("24.1. Considero que la planta física empleada por los programas académicos con los cuales me he relacionado es: ADECUADA.",$A$138,"24.1. Considero que la planta física empleada por los programas académicos con los cuales me he relacionado es: ADECUADA.","Medianamente de acuerdo")/GETPIVOTDATA("24.1. Considero que la planta física empleada por los programas académicos con los cuales me he relacionado es: ADECUADA.",$A$138)</f>
        <v>0.46491228070175439</v>
      </c>
      <c r="E141" s="217">
        <f>+GETPIVOTDATA("24.1. Considero que la planta física empleada por los programas académicos con los cuales me he relacionado es: ADECUADA.",$A$138,"24.1. Considero que la planta física empleada por los programas académicos con los cuales me he relacionado es: ADECUADA.","De acuerdo")/GETPIVOTDATA("24.1. Considero que la planta física empleada por los programas académicos con los cuales me he relacionado es: ADECUADA.",$A$138)</f>
        <v>0.2982456140350877</v>
      </c>
      <c r="F141" s="217">
        <f>+GETPIVOTDATA("24.1. Considero que la planta física empleada por los programas académicos con los cuales me he relacionado es: ADECUADA.",$A$138,"24.1. Considero que la planta física empleada por los programas académicos con los cuales me he relacionado es: ADECUADA.","Totalmente de acuerdo / SI")/GETPIVOTDATA("24.1. Considero que la planta física empleada por los programas académicos con los cuales me he relacionado es: ADECUADA.",$A$138)</f>
        <v>9.6491228070175433E-2</v>
      </c>
      <c r="G141" s="217">
        <f>+GETPIVOTDATA("24.1. Considero que la planta física empleada por los programas académicos con los cuales me he relacionado es: ADECUADA.",$A$138,"24.1. Considero que la planta física empleada por los programas académicos con los cuales me he relacionado es: ADECUADA.","No sabe / No puede opinar al respecto")/GETPIVOTDATA("24.1. Considero que la planta física empleada por los programas académicos con los cuales me he relacionado es: ADECUADA.",$A$138)</f>
        <v>2.6315789473684209E-2</v>
      </c>
      <c r="H141" s="218">
        <f>SUM(B141:G141)</f>
        <v>1</v>
      </c>
    </row>
    <row r="142" spans="1:8" ht="15" x14ac:dyDescent="0.25">
      <c r="A142"/>
      <c r="B142" s="164" t="s">
        <v>2816</v>
      </c>
      <c r="C142"/>
      <c r="D142"/>
      <c r="E142"/>
      <c r="F142"/>
      <c r="G142"/>
      <c r="H142"/>
    </row>
    <row r="143" spans="1:8" ht="15" x14ac:dyDescent="0.25">
      <c r="A143"/>
      <c r="B143" t="s">
        <v>1093</v>
      </c>
      <c r="C143" t="s">
        <v>1</v>
      </c>
      <c r="D143" t="s">
        <v>2</v>
      </c>
      <c r="E143" t="s">
        <v>3</v>
      </c>
      <c r="F143" t="s">
        <v>1092</v>
      </c>
      <c r="G143" t="s">
        <v>5</v>
      </c>
      <c r="H143" t="s">
        <v>1096</v>
      </c>
    </row>
    <row r="144" spans="1:8" ht="75" x14ac:dyDescent="0.25">
      <c r="A144" s="166" t="s">
        <v>1847</v>
      </c>
      <c r="B144" s="165">
        <v>12</v>
      </c>
      <c r="C144" s="165">
        <v>22</v>
      </c>
      <c r="D144" s="165">
        <v>48</v>
      </c>
      <c r="E144" s="165">
        <v>23</v>
      </c>
      <c r="F144" s="165">
        <v>6</v>
      </c>
      <c r="G144" s="165">
        <v>3</v>
      </c>
      <c r="H144" s="165">
        <v>114</v>
      </c>
    </row>
    <row r="145" spans="1:8" ht="15" x14ac:dyDescent="0.25">
      <c r="A145"/>
      <c r="B145" s="215">
        <f>+GETPIVOTDATA("24.2. Considero que la planta física empleada por los programas académicos con los cuales me he relacionado es: SUFICIENTE.",$A$142,"24.2. Considero que la planta física empleada por los programas académicos con los cuales me he relacionado es: SUFICIENTE.","Totalmente en desacuerdo / NO")/GETPIVOTDATA("24.2. Considero que la planta física empleada por los programas académicos con los cuales me he relacionado es: SUFICIENTE.",$A$142)</f>
        <v>0.10526315789473684</v>
      </c>
      <c r="C145" s="217">
        <f>+GETPIVOTDATA("24.2. Considero que la planta física empleada por los programas académicos con los cuales me he relacionado es: SUFICIENTE.",$A$142,"24.2. Considero que la planta física empleada por los programas académicos con los cuales me he relacionado es: SUFICIENTE.","En desacuerdo")/GETPIVOTDATA("24.2. Considero que la planta física empleada por los programas académicos con los cuales me he relacionado es: SUFICIENTE.",$A$142)</f>
        <v>0.19298245614035087</v>
      </c>
      <c r="D145" s="217">
        <f>+GETPIVOTDATA("24.2. Considero que la planta física empleada por los programas académicos con los cuales me he relacionado es: SUFICIENTE.",$A$142,"24.2. Considero que la planta física empleada por los programas académicos con los cuales me he relacionado es: SUFICIENTE.","Medianamente de acuerdo")/GETPIVOTDATA("24.2. Considero que la planta física empleada por los programas académicos con los cuales me he relacionado es: SUFICIENTE.",$A$142)</f>
        <v>0.42105263157894735</v>
      </c>
      <c r="E145" s="217">
        <f>+GETPIVOTDATA("24.2. Considero que la planta física empleada por los programas académicos con los cuales me he relacionado es: SUFICIENTE.",$A$142,"24.2. Considero que la planta física empleada por los programas académicos con los cuales me he relacionado es: SUFICIENTE.","De acuerdo")/GETPIVOTDATA("24.2. Considero que la planta física empleada por los programas académicos con los cuales me he relacionado es: SUFICIENTE.",$A$142)</f>
        <v>0.20175438596491227</v>
      </c>
      <c r="F145" s="217">
        <f>+GETPIVOTDATA("24.2. Considero que la planta física empleada por los programas académicos con los cuales me he relacionado es: SUFICIENTE.",$A$142,"24.2. Considero que la planta física empleada por los programas académicos con los cuales me he relacionado es: SUFICIENTE.","Totalmente de acuerdo / SI")/GETPIVOTDATA("24.2. Considero que la planta física empleada por los programas académicos con los cuales me he relacionado es: SUFICIENTE.",$A$142)</f>
        <v>5.2631578947368418E-2</v>
      </c>
      <c r="G145" s="217">
        <f>+GETPIVOTDATA("24.2. Considero que la planta física empleada por los programas académicos con los cuales me he relacionado es: SUFICIENTE.",$A$142,"24.2. Considero que la planta física empleada por los programas académicos con los cuales me he relacionado es: SUFICIENTE.","No sabe / No puede opinar al respecto")/GETPIVOTDATA("24.2. Considero que la planta física empleada por los programas académicos con los cuales me he relacionado es: SUFICIENTE.",$A$142)</f>
        <v>2.6315789473684209E-2</v>
      </c>
      <c r="H145" s="218">
        <f>SUM(B145:G145)</f>
        <v>0.99999999999999989</v>
      </c>
    </row>
    <row r="146" spans="1:8" ht="15" x14ac:dyDescent="0.25">
      <c r="A146"/>
      <c r="B146" s="164" t="s">
        <v>2816</v>
      </c>
      <c r="C146"/>
      <c r="D146"/>
      <c r="E146"/>
      <c r="F146"/>
      <c r="G146"/>
      <c r="H146"/>
    </row>
    <row r="147" spans="1:8" ht="15" x14ac:dyDescent="0.25">
      <c r="A147"/>
      <c r="B147" t="s">
        <v>1093</v>
      </c>
      <c r="C147" t="s">
        <v>1</v>
      </c>
      <c r="D147" t="s">
        <v>2</v>
      </c>
      <c r="E147" t="s">
        <v>3</v>
      </c>
      <c r="F147" t="s">
        <v>1092</v>
      </c>
      <c r="G147" t="s">
        <v>5</v>
      </c>
      <c r="H147" t="s">
        <v>1096</v>
      </c>
    </row>
    <row r="148" spans="1:8" ht="75" x14ac:dyDescent="0.25">
      <c r="A148" s="166" t="s">
        <v>1848</v>
      </c>
      <c r="B148" s="165">
        <v>3</v>
      </c>
      <c r="C148" s="165">
        <v>16</v>
      </c>
      <c r="D148" s="165">
        <v>47</v>
      </c>
      <c r="E148" s="165">
        <v>32</v>
      </c>
      <c r="F148" s="165">
        <v>11</v>
      </c>
      <c r="G148" s="165">
        <v>5</v>
      </c>
      <c r="H148" s="165">
        <v>114</v>
      </c>
    </row>
    <row r="149" spans="1:8" ht="15" x14ac:dyDescent="0.25">
      <c r="A149"/>
      <c r="B149" s="215">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MANTENIDA.","Totalmente en desacuerdo / NO")/GETPIVOTDATA("24.3. Considero que la planta física empleada por los programas académicos con los cuales me he relacionado es:. DEBIDAMENTE MANTENIDA.",$A$146)</f>
        <v>2.6315789473684209E-2</v>
      </c>
      <c r="C149" s="217">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MANTENIDA.","En desacuerdo")/GETPIVOTDATA("24.3. Considero que la planta física empleada por los programas académicos con los cuales me he relacionado es:. DEBIDAMENTE MANTENIDA.",$A$146)</f>
        <v>0.14035087719298245</v>
      </c>
      <c r="D149" s="217">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MANTENIDA.","Medianamente de acuerdo")/GETPIVOTDATA("24.3. Considero que la planta física empleada por los programas académicos con los cuales me he relacionado es:. DEBIDAMENTE MANTENIDA.",$A$146)</f>
        <v>0.41228070175438597</v>
      </c>
      <c r="E149" s="217">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MANTENIDA.","De acuerdo")/GETPIVOTDATA("24.3. Considero que la planta física empleada por los programas académicos con los cuales me he relacionado es:. DEBIDAMENTE MANTENIDA.",$A$146)</f>
        <v>0.2807017543859649</v>
      </c>
      <c r="F149" s="217">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MANTENIDA.","Totalmente de acuerdo / SI")/GETPIVOTDATA("24.3. Considero que la planta física empleada por los programas académicos con los cuales me he relacionado es:. DEBIDAMENTE MANTENIDA.",$A$146)</f>
        <v>9.6491228070175433E-2</v>
      </c>
      <c r="G149" s="217">
        <f>+GETPIVOTDATA("24.3. Considero que la planta física empleada por los programas académicos con los cuales me he relacionado es:. DEBIDAMENTE MANTENIDA.",$A$146,"24.3. Considero que la planta física empleada por los programas académicos con los cuales me he relacionado es:. DEBIDAMENTE MANTENIDA.","No sabe / No puede opinar al respecto")/GETPIVOTDATA("24.3. Considero que la planta física empleada por los programas académicos con los cuales me he relacionado es:. DEBIDAMENTE MANTENIDA.",$A$146)</f>
        <v>4.3859649122807015E-2</v>
      </c>
      <c r="H149" s="218">
        <f>SUM(B149:G149)</f>
        <v>1</v>
      </c>
    </row>
    <row r="150" spans="1:8" ht="15" x14ac:dyDescent="0.25">
      <c r="A150"/>
      <c r="B150"/>
    </row>
    <row r="151" spans="1:8" ht="15" x14ac:dyDescent="0.25">
      <c r="A151"/>
      <c r="B151"/>
    </row>
    <row r="152" spans="1:8" ht="15" x14ac:dyDescent="0.25">
      <c r="A152"/>
      <c r="B152"/>
    </row>
    <row r="153" spans="1:8" ht="15" x14ac:dyDescent="0.25">
      <c r="A153"/>
      <c r="B15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9"/>
  <sheetViews>
    <sheetView topLeftCell="J1" workbookViewId="0"/>
  </sheetViews>
  <sheetFormatPr baseColWidth="10" defaultColWidth="14.42578125" defaultRowHeight="15.75" customHeight="1" x14ac:dyDescent="0.2"/>
  <cols>
    <col min="1" max="55" width="21.42578125" style="161" customWidth="1"/>
    <col min="56" max="16384" width="14.42578125" style="161"/>
  </cols>
  <sheetData>
    <row r="1" spans="1:55" ht="15.75" customHeight="1" thickBot="1" x14ac:dyDescent="0.25">
      <c r="B1" s="161" t="s">
        <v>1436</v>
      </c>
      <c r="C1" s="161" t="s">
        <v>2817</v>
      </c>
      <c r="D1" s="161" t="s">
        <v>1438</v>
      </c>
      <c r="E1" s="162" t="s">
        <v>1856</v>
      </c>
      <c r="F1" s="161" t="s">
        <v>1857</v>
      </c>
      <c r="G1" s="161" t="s">
        <v>1858</v>
      </c>
      <c r="H1" s="161" t="s">
        <v>1228</v>
      </c>
      <c r="I1" s="162" t="s">
        <v>1860</v>
      </c>
      <c r="J1" s="161" t="s">
        <v>1861</v>
      </c>
      <c r="K1" s="161" t="s">
        <v>1862</v>
      </c>
      <c r="L1" s="161" t="s">
        <v>1863</v>
      </c>
      <c r="M1" s="161" t="s">
        <v>1864</v>
      </c>
      <c r="N1" s="161" t="s">
        <v>1865</v>
      </c>
      <c r="O1" s="161" t="s">
        <v>1866</v>
      </c>
      <c r="P1" s="161" t="s">
        <v>1230</v>
      </c>
      <c r="Q1" s="161" t="s">
        <v>1231</v>
      </c>
      <c r="R1" s="161" t="s">
        <v>1232</v>
      </c>
      <c r="S1" s="161" t="s">
        <v>1233</v>
      </c>
      <c r="T1" s="161" t="s">
        <v>1867</v>
      </c>
      <c r="U1" s="161" t="s">
        <v>1868</v>
      </c>
      <c r="V1" s="161" t="s">
        <v>1869</v>
      </c>
      <c r="W1" s="161" t="s">
        <v>1870</v>
      </c>
      <c r="X1" s="161" t="s">
        <v>1871</v>
      </c>
      <c r="Y1" s="161" t="s">
        <v>1872</v>
      </c>
      <c r="Z1" s="161" t="s">
        <v>1873</v>
      </c>
      <c r="AA1" s="161" t="s">
        <v>1874</v>
      </c>
      <c r="AB1" s="161" t="s">
        <v>1875</v>
      </c>
      <c r="AC1" s="161" t="s">
        <v>1876</v>
      </c>
      <c r="AD1" s="161" t="s">
        <v>1877</v>
      </c>
      <c r="AE1" s="161" t="s">
        <v>1878</v>
      </c>
      <c r="AF1" s="161" t="s">
        <v>1879</v>
      </c>
      <c r="AG1" s="161" t="s">
        <v>1880</v>
      </c>
      <c r="AH1" s="161" t="s">
        <v>1881</v>
      </c>
      <c r="AI1" s="161" t="s">
        <v>1882</v>
      </c>
      <c r="AJ1" s="161" t="s">
        <v>1883</v>
      </c>
      <c r="AK1" s="161" t="s">
        <v>1884</v>
      </c>
      <c r="AL1" s="161" t="s">
        <v>1885</v>
      </c>
      <c r="AM1" s="161" t="s">
        <v>1886</v>
      </c>
      <c r="AN1" s="161" t="s">
        <v>1887</v>
      </c>
      <c r="AO1" s="161" t="s">
        <v>1888</v>
      </c>
      <c r="AP1" s="161" t="s">
        <v>1889</v>
      </c>
      <c r="AQ1" s="161" t="s">
        <v>1890</v>
      </c>
      <c r="AR1" s="161" t="s">
        <v>1891</v>
      </c>
      <c r="AS1" s="161" t="s">
        <v>1892</v>
      </c>
      <c r="AT1" s="161" t="s">
        <v>1089</v>
      </c>
      <c r="AU1" s="161" t="s">
        <v>1859</v>
      </c>
      <c r="AV1" s="162" t="s">
        <v>1893</v>
      </c>
      <c r="AW1" s="162" t="s">
        <v>1091</v>
      </c>
      <c r="AX1" s="162" t="s">
        <v>1091</v>
      </c>
      <c r="AY1" s="162" t="s">
        <v>1091</v>
      </c>
      <c r="AZ1" s="162" t="s">
        <v>1091</v>
      </c>
      <c r="BA1" s="162" t="s">
        <v>1091</v>
      </c>
      <c r="BB1" s="162" t="s">
        <v>1091</v>
      </c>
      <c r="BC1" s="162" t="s">
        <v>1091</v>
      </c>
    </row>
    <row r="2" spans="1:55" ht="15.75" customHeight="1" thickBot="1" x14ac:dyDescent="0.3">
      <c r="A2" s="184">
        <v>42934.490730034726</v>
      </c>
      <c r="B2" s="185" t="s">
        <v>1894</v>
      </c>
      <c r="C2" s="185" t="s">
        <v>1895</v>
      </c>
      <c r="D2" s="185">
        <v>79888241</v>
      </c>
      <c r="E2" s="185" t="s">
        <v>1896</v>
      </c>
      <c r="F2" s="185">
        <v>2008</v>
      </c>
      <c r="G2" s="185">
        <v>3186296904</v>
      </c>
      <c r="H2" s="185" t="s">
        <v>1897</v>
      </c>
      <c r="I2" s="185" t="s">
        <v>1898</v>
      </c>
      <c r="J2" s="185" t="s">
        <v>1899</v>
      </c>
      <c r="K2" s="185" t="s">
        <v>1900</v>
      </c>
      <c r="L2" s="188"/>
      <c r="M2" s="185" t="s">
        <v>1901</v>
      </c>
      <c r="N2" s="185">
        <v>4687292</v>
      </c>
      <c r="O2" s="188"/>
      <c r="P2" s="185" t="s">
        <v>3</v>
      </c>
      <c r="Q2" s="185" t="s">
        <v>1092</v>
      </c>
      <c r="R2" s="185" t="s">
        <v>3</v>
      </c>
      <c r="S2" s="185" t="s">
        <v>3</v>
      </c>
      <c r="T2" s="185" t="s">
        <v>3</v>
      </c>
      <c r="U2" s="185" t="s">
        <v>3</v>
      </c>
      <c r="V2" s="185" t="s">
        <v>1</v>
      </c>
      <c r="W2" s="185" t="s">
        <v>3</v>
      </c>
      <c r="X2" s="185" t="s">
        <v>3</v>
      </c>
      <c r="Y2" s="185" t="s">
        <v>3</v>
      </c>
      <c r="Z2" s="185" t="s">
        <v>3</v>
      </c>
      <c r="AA2" s="185" t="s">
        <v>3</v>
      </c>
      <c r="AB2" s="185" t="s">
        <v>2</v>
      </c>
      <c r="AC2" s="185" t="s">
        <v>3</v>
      </c>
      <c r="AD2" s="185" t="s">
        <v>2</v>
      </c>
      <c r="AE2" s="185" t="s">
        <v>3</v>
      </c>
      <c r="AF2" s="185" t="s">
        <v>2</v>
      </c>
      <c r="AG2" s="185" t="s">
        <v>3</v>
      </c>
      <c r="AH2" s="185" t="s">
        <v>3</v>
      </c>
      <c r="AI2" s="185" t="s">
        <v>3</v>
      </c>
      <c r="AJ2" s="185" t="s">
        <v>3</v>
      </c>
      <c r="AK2" s="185" t="s">
        <v>1092</v>
      </c>
      <c r="AL2" s="185" t="s">
        <v>3</v>
      </c>
      <c r="AM2" s="185" t="s">
        <v>5</v>
      </c>
      <c r="AN2" s="185" t="s">
        <v>5</v>
      </c>
      <c r="AO2" s="185" t="s">
        <v>3</v>
      </c>
      <c r="AP2" s="185" t="s">
        <v>3</v>
      </c>
      <c r="AQ2" s="185" t="s">
        <v>2</v>
      </c>
      <c r="AR2" s="185" t="s">
        <v>3</v>
      </c>
      <c r="AS2" s="185" t="s">
        <v>1092</v>
      </c>
      <c r="AT2" s="190" t="s">
        <v>1092</v>
      </c>
      <c r="AU2" s="188"/>
      <c r="AV2" s="185" t="s">
        <v>1902</v>
      </c>
    </row>
    <row r="3" spans="1:55" ht="15.75" customHeight="1" thickBot="1" x14ac:dyDescent="0.3">
      <c r="A3" s="184">
        <v>42934.498607766203</v>
      </c>
      <c r="B3" s="185" t="s">
        <v>1903</v>
      </c>
      <c r="C3" s="185" t="s">
        <v>1904</v>
      </c>
      <c r="D3" s="185">
        <v>80255381</v>
      </c>
      <c r="E3" s="185" t="s">
        <v>1896</v>
      </c>
      <c r="F3" s="185">
        <v>2008</v>
      </c>
      <c r="G3" s="185">
        <v>3133828431</v>
      </c>
      <c r="H3" s="185" t="s">
        <v>1905</v>
      </c>
      <c r="I3" s="185" t="s">
        <v>1906</v>
      </c>
      <c r="J3" s="185" t="s">
        <v>1907</v>
      </c>
      <c r="K3" s="185" t="s">
        <v>1908</v>
      </c>
      <c r="L3" s="185" t="s">
        <v>1909</v>
      </c>
      <c r="M3" s="185" t="s">
        <v>1910</v>
      </c>
      <c r="N3" s="185">
        <v>6016060</v>
      </c>
      <c r="O3" s="188"/>
      <c r="P3" s="185" t="s">
        <v>1092</v>
      </c>
      <c r="Q3" s="185" t="s">
        <v>3</v>
      </c>
      <c r="R3" s="185" t="s">
        <v>3</v>
      </c>
      <c r="S3" s="185" t="s">
        <v>3</v>
      </c>
      <c r="T3" s="185" t="s">
        <v>1092</v>
      </c>
      <c r="U3" s="185" t="s">
        <v>1092</v>
      </c>
      <c r="V3" s="185" t="s">
        <v>1092</v>
      </c>
      <c r="W3" s="185" t="s">
        <v>1092</v>
      </c>
      <c r="X3" s="185" t="s">
        <v>1092</v>
      </c>
      <c r="Y3" s="185" t="s">
        <v>1092</v>
      </c>
      <c r="Z3" s="185" t="s">
        <v>1092</v>
      </c>
      <c r="AA3" s="185" t="s">
        <v>1092</v>
      </c>
      <c r="AB3" s="185" t="s">
        <v>1092</v>
      </c>
      <c r="AC3" s="185" t="s">
        <v>1092</v>
      </c>
      <c r="AD3" s="185" t="s">
        <v>1092</v>
      </c>
      <c r="AE3" s="185" t="s">
        <v>1092</v>
      </c>
      <c r="AF3" s="185" t="s">
        <v>1092</v>
      </c>
      <c r="AG3" s="185" t="s">
        <v>1092</v>
      </c>
      <c r="AH3" s="185" t="s">
        <v>1092</v>
      </c>
      <c r="AI3" s="185" t="s">
        <v>3</v>
      </c>
      <c r="AJ3" s="185" t="s">
        <v>2</v>
      </c>
      <c r="AK3" s="185" t="s">
        <v>5</v>
      </c>
      <c r="AL3" s="185" t="s">
        <v>5</v>
      </c>
      <c r="AM3" s="185" t="s">
        <v>5</v>
      </c>
      <c r="AN3" s="185" t="s">
        <v>5</v>
      </c>
      <c r="AO3" s="185" t="s">
        <v>2</v>
      </c>
      <c r="AP3" s="185" t="s">
        <v>1092</v>
      </c>
      <c r="AQ3" s="185" t="s">
        <v>1092</v>
      </c>
      <c r="AR3" s="185" t="s">
        <v>1092</v>
      </c>
      <c r="AS3" s="185" t="s">
        <v>1092</v>
      </c>
      <c r="AT3" s="190" t="s">
        <v>1092</v>
      </c>
      <c r="AU3" s="188"/>
      <c r="AV3" s="185" t="s">
        <v>1902</v>
      </c>
    </row>
    <row r="4" spans="1:55" ht="15.75" customHeight="1" thickBot="1" x14ac:dyDescent="0.3">
      <c r="A4" s="184">
        <v>42934.728694224541</v>
      </c>
      <c r="B4" s="185" t="s">
        <v>1911</v>
      </c>
      <c r="C4" s="185" t="s">
        <v>1912</v>
      </c>
      <c r="D4" s="185">
        <v>80256384</v>
      </c>
      <c r="E4" s="185" t="s">
        <v>1896</v>
      </c>
      <c r="F4" s="185">
        <v>2010</v>
      </c>
      <c r="G4" s="185">
        <v>3154078752</v>
      </c>
      <c r="H4" s="185" t="s">
        <v>1913</v>
      </c>
      <c r="I4" s="185" t="s">
        <v>1914</v>
      </c>
      <c r="J4" s="185" t="s">
        <v>1899</v>
      </c>
      <c r="K4" s="185" t="s">
        <v>1915</v>
      </c>
      <c r="L4" s="185" t="s">
        <v>1916</v>
      </c>
      <c r="M4" s="185" t="s">
        <v>1917</v>
      </c>
      <c r="N4" s="185">
        <v>7049064</v>
      </c>
      <c r="O4" s="188"/>
      <c r="P4" s="185" t="s">
        <v>1093</v>
      </c>
      <c r="Q4" s="185" t="s">
        <v>5</v>
      </c>
      <c r="R4" s="185" t="s">
        <v>1092</v>
      </c>
      <c r="S4" s="185" t="s">
        <v>3</v>
      </c>
      <c r="T4" s="185" t="s">
        <v>3</v>
      </c>
      <c r="U4" s="185" t="s">
        <v>2</v>
      </c>
      <c r="V4" s="185" t="s">
        <v>2</v>
      </c>
      <c r="W4" s="185" t="s">
        <v>2</v>
      </c>
      <c r="X4" s="185" t="s">
        <v>2</v>
      </c>
      <c r="Y4" s="185" t="s">
        <v>2</v>
      </c>
      <c r="Z4" s="185" t="s">
        <v>3</v>
      </c>
      <c r="AA4" s="185" t="s">
        <v>3</v>
      </c>
      <c r="AB4" s="185" t="s">
        <v>1</v>
      </c>
      <c r="AC4" s="185" t="s">
        <v>2</v>
      </c>
      <c r="AD4" s="185" t="s">
        <v>3</v>
      </c>
      <c r="AE4" s="185" t="s">
        <v>3</v>
      </c>
      <c r="AF4" s="185" t="s">
        <v>3</v>
      </c>
      <c r="AG4" s="185" t="s">
        <v>3</v>
      </c>
      <c r="AH4" s="185" t="s">
        <v>1092</v>
      </c>
      <c r="AI4" s="185" t="s">
        <v>3</v>
      </c>
      <c r="AJ4" s="185" t="s">
        <v>1</v>
      </c>
      <c r="AK4" s="185" t="s">
        <v>2</v>
      </c>
      <c r="AL4" s="185" t="s">
        <v>3</v>
      </c>
      <c r="AM4" s="185" t="s">
        <v>1093</v>
      </c>
      <c r="AN4" s="185" t="s">
        <v>5</v>
      </c>
      <c r="AO4" s="185" t="s">
        <v>3</v>
      </c>
      <c r="AP4" s="185" t="s">
        <v>3</v>
      </c>
      <c r="AQ4" s="185" t="s">
        <v>3</v>
      </c>
      <c r="AR4" s="185" t="s">
        <v>3</v>
      </c>
      <c r="AS4" s="185" t="s">
        <v>1092</v>
      </c>
      <c r="AT4" s="190" t="s">
        <v>1092</v>
      </c>
      <c r="AU4" s="188"/>
      <c r="AV4" s="185" t="s">
        <v>1902</v>
      </c>
    </row>
    <row r="5" spans="1:55" ht="15.75" customHeight="1" thickBot="1" x14ac:dyDescent="0.3">
      <c r="A5" s="184">
        <v>42934.73068346065</v>
      </c>
      <c r="B5" s="185" t="s">
        <v>1961</v>
      </c>
      <c r="C5" s="185" t="s">
        <v>2519</v>
      </c>
      <c r="D5" s="185">
        <v>1024515791</v>
      </c>
      <c r="E5" s="185" t="s">
        <v>2520</v>
      </c>
      <c r="F5" s="185">
        <v>2015</v>
      </c>
      <c r="G5" s="185">
        <v>3132485063</v>
      </c>
      <c r="H5" s="185" t="s">
        <v>2521</v>
      </c>
      <c r="I5" s="185" t="s">
        <v>2522</v>
      </c>
      <c r="J5" s="185" t="s">
        <v>2522</v>
      </c>
      <c r="K5" s="185" t="s">
        <v>1908</v>
      </c>
      <c r="L5" s="188"/>
      <c r="M5" s="188"/>
      <c r="N5" s="188"/>
      <c r="O5" s="188"/>
      <c r="P5" s="185" t="s">
        <v>2</v>
      </c>
      <c r="Q5" s="185" t="s">
        <v>1092</v>
      </c>
      <c r="R5" s="185" t="s">
        <v>1092</v>
      </c>
      <c r="S5" s="185" t="s">
        <v>1092</v>
      </c>
      <c r="T5" s="185" t="s">
        <v>3</v>
      </c>
      <c r="U5" s="185" t="s">
        <v>3</v>
      </c>
      <c r="V5" s="185" t="s">
        <v>1092</v>
      </c>
      <c r="W5" s="185" t="s">
        <v>3</v>
      </c>
      <c r="X5" s="185" t="s">
        <v>1092</v>
      </c>
      <c r="Y5" s="185" t="s">
        <v>3</v>
      </c>
      <c r="Z5" s="185" t="s">
        <v>3</v>
      </c>
      <c r="AA5" s="185" t="s">
        <v>2</v>
      </c>
      <c r="AB5" s="185" t="s">
        <v>1092</v>
      </c>
      <c r="AC5" s="185" t="s">
        <v>3</v>
      </c>
      <c r="AD5" s="185" t="s">
        <v>1092</v>
      </c>
      <c r="AE5" s="185" t="s">
        <v>1092</v>
      </c>
      <c r="AF5" s="185" t="s">
        <v>1092</v>
      </c>
      <c r="AG5" s="185" t="s">
        <v>1092</v>
      </c>
      <c r="AH5" s="185" t="s">
        <v>1092</v>
      </c>
      <c r="AI5" s="185" t="s">
        <v>1092</v>
      </c>
      <c r="AJ5" s="185" t="s">
        <v>1092</v>
      </c>
      <c r="AK5" s="185" t="s">
        <v>1092</v>
      </c>
      <c r="AL5" s="185" t="s">
        <v>3</v>
      </c>
      <c r="AM5" s="185" t="s">
        <v>1</v>
      </c>
      <c r="AN5" s="185" t="s">
        <v>3</v>
      </c>
      <c r="AO5" s="185" t="s">
        <v>3</v>
      </c>
      <c r="AP5" s="185" t="s">
        <v>3</v>
      </c>
      <c r="AQ5" s="185" t="s">
        <v>3</v>
      </c>
      <c r="AR5" s="185" t="s">
        <v>3</v>
      </c>
      <c r="AS5" s="185" t="s">
        <v>3</v>
      </c>
      <c r="AT5" s="191" t="s">
        <v>3</v>
      </c>
      <c r="AU5" s="188"/>
      <c r="AV5" s="185" t="s">
        <v>1902</v>
      </c>
    </row>
    <row r="6" spans="1:55" ht="15.75" customHeight="1" thickBot="1" x14ac:dyDescent="0.3">
      <c r="A6" s="184">
        <v>42934.740741770831</v>
      </c>
      <c r="B6" s="185" t="s">
        <v>1918</v>
      </c>
      <c r="C6" s="185" t="s">
        <v>1919</v>
      </c>
      <c r="D6" s="185">
        <v>80113731</v>
      </c>
      <c r="E6" s="185" t="s">
        <v>1896</v>
      </c>
      <c r="F6" s="185">
        <v>2007</v>
      </c>
      <c r="G6" s="185">
        <v>3012822383</v>
      </c>
      <c r="H6" s="185" t="s">
        <v>1920</v>
      </c>
      <c r="I6" s="185" t="s">
        <v>1922</v>
      </c>
      <c r="J6" s="185" t="s">
        <v>1923</v>
      </c>
      <c r="K6" s="185" t="s">
        <v>1924</v>
      </c>
      <c r="L6" s="188"/>
      <c r="M6" s="188"/>
      <c r="N6" s="188"/>
      <c r="O6" s="188"/>
      <c r="P6" s="185" t="s">
        <v>1092</v>
      </c>
      <c r="Q6" s="185" t="s">
        <v>3</v>
      </c>
      <c r="R6" s="185" t="s">
        <v>1092</v>
      </c>
      <c r="S6" s="185" t="s">
        <v>1092</v>
      </c>
      <c r="T6" s="185" t="s">
        <v>1092</v>
      </c>
      <c r="U6" s="185" t="s">
        <v>1092</v>
      </c>
      <c r="V6" s="185" t="s">
        <v>2</v>
      </c>
      <c r="W6" s="185" t="s">
        <v>1092</v>
      </c>
      <c r="X6" s="185" t="s">
        <v>1092</v>
      </c>
      <c r="Y6" s="185" t="s">
        <v>1092</v>
      </c>
      <c r="Z6" s="185" t="s">
        <v>3</v>
      </c>
      <c r="AA6" s="185" t="s">
        <v>2</v>
      </c>
      <c r="AB6" s="185" t="s">
        <v>2</v>
      </c>
      <c r="AC6" s="185" t="s">
        <v>3</v>
      </c>
      <c r="AD6" s="185" t="s">
        <v>1092</v>
      </c>
      <c r="AE6" s="185" t="s">
        <v>1092</v>
      </c>
      <c r="AF6" s="185" t="s">
        <v>1092</v>
      </c>
      <c r="AG6" s="185" t="s">
        <v>1092</v>
      </c>
      <c r="AH6" s="185" t="s">
        <v>3</v>
      </c>
      <c r="AI6" s="185" t="s">
        <v>1092</v>
      </c>
      <c r="AJ6" s="185" t="s">
        <v>1092</v>
      </c>
      <c r="AK6" s="185" t="s">
        <v>1092</v>
      </c>
      <c r="AL6" s="185" t="s">
        <v>1092</v>
      </c>
      <c r="AM6" s="185" t="s">
        <v>2</v>
      </c>
      <c r="AN6" s="185" t="s">
        <v>5</v>
      </c>
      <c r="AO6" s="185" t="s">
        <v>3</v>
      </c>
      <c r="AP6" s="185" t="s">
        <v>1092</v>
      </c>
      <c r="AQ6" s="185" t="s">
        <v>2</v>
      </c>
      <c r="AR6" s="185" t="s">
        <v>3</v>
      </c>
      <c r="AS6" s="185" t="s">
        <v>1092</v>
      </c>
      <c r="AT6" s="190" t="s">
        <v>1092</v>
      </c>
      <c r="AU6" s="185" t="s">
        <v>1921</v>
      </c>
      <c r="AV6" s="185" t="s">
        <v>1902</v>
      </c>
    </row>
    <row r="7" spans="1:55" thickBot="1" x14ac:dyDescent="0.3">
      <c r="A7" s="184">
        <v>42934.882509039351</v>
      </c>
      <c r="B7" s="185" t="s">
        <v>2523</v>
      </c>
      <c r="C7" s="185" t="s">
        <v>2524</v>
      </c>
      <c r="D7" s="185">
        <v>1072651117</v>
      </c>
      <c r="E7" s="185" t="s">
        <v>2520</v>
      </c>
      <c r="F7" s="185">
        <v>2015</v>
      </c>
      <c r="G7" s="185">
        <v>3138385223</v>
      </c>
      <c r="H7" s="185" t="s">
        <v>2525</v>
      </c>
      <c r="I7" s="185" t="s">
        <v>2526</v>
      </c>
      <c r="J7" s="185" t="s">
        <v>2527</v>
      </c>
      <c r="K7" s="185" t="s">
        <v>2528</v>
      </c>
      <c r="L7" s="188"/>
      <c r="M7" s="188"/>
      <c r="N7" s="188"/>
      <c r="O7" s="188"/>
      <c r="P7" s="185" t="s">
        <v>2</v>
      </c>
      <c r="Q7" s="185" t="s">
        <v>3</v>
      </c>
      <c r="R7" s="185" t="s">
        <v>1092</v>
      </c>
      <c r="S7" s="185" t="s">
        <v>2</v>
      </c>
      <c r="T7" s="185" t="s">
        <v>3</v>
      </c>
      <c r="U7" s="185" t="s">
        <v>1</v>
      </c>
      <c r="V7" s="185" t="s">
        <v>2</v>
      </c>
      <c r="W7" s="185" t="s">
        <v>2</v>
      </c>
      <c r="X7" s="185" t="s">
        <v>3</v>
      </c>
      <c r="Y7" s="185" t="s">
        <v>2</v>
      </c>
      <c r="Z7" s="185" t="s">
        <v>3</v>
      </c>
      <c r="AA7" s="185" t="s">
        <v>1092</v>
      </c>
      <c r="AB7" s="185" t="s">
        <v>2</v>
      </c>
      <c r="AC7" s="185" t="s">
        <v>2</v>
      </c>
      <c r="AD7" s="185" t="s">
        <v>3</v>
      </c>
      <c r="AE7" s="185" t="s">
        <v>2</v>
      </c>
      <c r="AF7" s="185" t="s">
        <v>3</v>
      </c>
      <c r="AG7" s="185" t="s">
        <v>2</v>
      </c>
      <c r="AH7" s="185" t="s">
        <v>2</v>
      </c>
      <c r="AI7" s="185" t="s">
        <v>3</v>
      </c>
      <c r="AJ7" s="185" t="s">
        <v>1092</v>
      </c>
      <c r="AK7" s="185" t="s">
        <v>1092</v>
      </c>
      <c r="AL7" s="185" t="s">
        <v>1092</v>
      </c>
      <c r="AM7" s="185" t="s">
        <v>2</v>
      </c>
      <c r="AN7" s="185" t="s">
        <v>5</v>
      </c>
      <c r="AO7" s="185" t="s">
        <v>2</v>
      </c>
      <c r="AP7" s="185" t="s">
        <v>2</v>
      </c>
      <c r="AQ7" s="185" t="s">
        <v>3</v>
      </c>
      <c r="AR7" s="185" t="s">
        <v>3</v>
      </c>
      <c r="AS7" s="185" t="s">
        <v>3</v>
      </c>
      <c r="AT7" s="191" t="s">
        <v>3</v>
      </c>
      <c r="AU7" s="185" t="s">
        <v>2529</v>
      </c>
      <c r="AV7" s="185" t="s">
        <v>1902</v>
      </c>
    </row>
    <row r="8" spans="1:55" ht="13.5" thickBot="1" x14ac:dyDescent="0.25">
      <c r="A8" s="184">
        <v>42935.265613495372</v>
      </c>
      <c r="B8" s="185" t="s">
        <v>2530</v>
      </c>
      <c r="C8" s="185" t="s">
        <v>2531</v>
      </c>
      <c r="D8" s="185">
        <v>80063157</v>
      </c>
      <c r="E8" s="185" t="s">
        <v>2520</v>
      </c>
      <c r="F8" s="185">
        <v>2013</v>
      </c>
      <c r="G8" s="185">
        <v>3108562627</v>
      </c>
      <c r="H8" s="185" t="s">
        <v>2532</v>
      </c>
      <c r="I8" s="185" t="s">
        <v>2533</v>
      </c>
      <c r="J8" s="185" t="s">
        <v>2534</v>
      </c>
      <c r="K8" s="185" t="s">
        <v>2535</v>
      </c>
      <c r="L8" s="185" t="s">
        <v>2536</v>
      </c>
      <c r="M8" s="185" t="s">
        <v>2537</v>
      </c>
      <c r="N8" s="185">
        <v>3599300</v>
      </c>
      <c r="O8" s="185" t="s">
        <v>2538</v>
      </c>
      <c r="P8" s="185" t="s">
        <v>5</v>
      </c>
      <c r="Q8" s="185" t="s">
        <v>5</v>
      </c>
      <c r="R8" s="185" t="s">
        <v>1093</v>
      </c>
      <c r="S8" s="185" t="s">
        <v>3</v>
      </c>
      <c r="T8" s="185" t="s">
        <v>3</v>
      </c>
      <c r="U8" s="185" t="s">
        <v>3</v>
      </c>
      <c r="V8" s="185" t="s">
        <v>1093</v>
      </c>
      <c r="W8" s="185" t="s">
        <v>1093</v>
      </c>
      <c r="X8" s="185" t="s">
        <v>3</v>
      </c>
      <c r="Y8" s="185" t="s">
        <v>3</v>
      </c>
      <c r="Z8" s="185" t="s">
        <v>3</v>
      </c>
      <c r="AA8" s="185" t="s">
        <v>2</v>
      </c>
      <c r="AB8" s="185" t="s">
        <v>3</v>
      </c>
      <c r="AC8" s="185" t="s">
        <v>2</v>
      </c>
      <c r="AD8" s="185" t="s">
        <v>2</v>
      </c>
      <c r="AE8" s="185" t="s">
        <v>3</v>
      </c>
      <c r="AF8" s="185" t="s">
        <v>2</v>
      </c>
      <c r="AG8" s="185" t="s">
        <v>2</v>
      </c>
      <c r="AH8" s="185" t="s">
        <v>2</v>
      </c>
      <c r="AI8" s="185" t="s">
        <v>3</v>
      </c>
      <c r="AJ8" s="185" t="s">
        <v>3</v>
      </c>
      <c r="AK8" s="185" t="s">
        <v>1093</v>
      </c>
      <c r="AL8" s="185" t="s">
        <v>1093</v>
      </c>
      <c r="AM8" s="185" t="s">
        <v>1</v>
      </c>
      <c r="AN8" s="185" t="s">
        <v>1</v>
      </c>
      <c r="AO8" s="185" t="s">
        <v>3</v>
      </c>
      <c r="AP8" s="185" t="s">
        <v>1</v>
      </c>
      <c r="AQ8" s="185" t="s">
        <v>3</v>
      </c>
      <c r="AR8" s="185" t="s">
        <v>2</v>
      </c>
      <c r="AS8" s="185" t="s">
        <v>3</v>
      </c>
      <c r="AT8" s="191" t="s">
        <v>3</v>
      </c>
      <c r="AU8" s="185" t="s">
        <v>2539</v>
      </c>
      <c r="AV8" s="185" t="s">
        <v>1902</v>
      </c>
    </row>
    <row r="9" spans="1:55" ht="27" thickBot="1" x14ac:dyDescent="0.3">
      <c r="A9" s="184">
        <v>42935.488944594908</v>
      </c>
      <c r="B9" s="185" t="s">
        <v>1925</v>
      </c>
      <c r="C9" s="185" t="s">
        <v>1926</v>
      </c>
      <c r="D9" s="185">
        <v>79891068</v>
      </c>
      <c r="E9" s="185" t="s">
        <v>1896</v>
      </c>
      <c r="F9" s="185">
        <v>2008</v>
      </c>
      <c r="G9" s="185">
        <v>3005159616</v>
      </c>
      <c r="H9" s="185" t="s">
        <v>1927</v>
      </c>
      <c r="I9" s="185" t="s">
        <v>1929</v>
      </c>
      <c r="J9" s="185" t="s">
        <v>1899</v>
      </c>
      <c r="K9" s="185" t="s">
        <v>1930</v>
      </c>
      <c r="L9" s="188"/>
      <c r="M9" s="185" t="s">
        <v>1927</v>
      </c>
      <c r="N9" s="185">
        <v>2499167</v>
      </c>
      <c r="O9" s="185" t="s">
        <v>1931</v>
      </c>
      <c r="P9" s="185" t="s">
        <v>2</v>
      </c>
      <c r="Q9" s="185" t="s">
        <v>2</v>
      </c>
      <c r="R9" s="185" t="s">
        <v>1092</v>
      </c>
      <c r="S9" s="185" t="s">
        <v>3</v>
      </c>
      <c r="T9" s="185" t="s">
        <v>3</v>
      </c>
      <c r="U9" s="185" t="s">
        <v>1092</v>
      </c>
      <c r="V9" s="185" t="s">
        <v>2</v>
      </c>
      <c r="W9" s="185" t="s">
        <v>2</v>
      </c>
      <c r="X9" s="185" t="s">
        <v>3</v>
      </c>
      <c r="Y9" s="185" t="s">
        <v>1092</v>
      </c>
      <c r="Z9" s="185" t="s">
        <v>3</v>
      </c>
      <c r="AA9" s="185" t="s">
        <v>2</v>
      </c>
      <c r="AB9" s="185" t="s">
        <v>1093</v>
      </c>
      <c r="AC9" s="185" t="s">
        <v>3</v>
      </c>
      <c r="AD9" s="185" t="s">
        <v>3</v>
      </c>
      <c r="AE9" s="185" t="s">
        <v>1092</v>
      </c>
      <c r="AF9" s="185" t="s">
        <v>3</v>
      </c>
      <c r="AG9" s="185" t="s">
        <v>3</v>
      </c>
      <c r="AH9" s="185" t="s">
        <v>1092</v>
      </c>
      <c r="AI9" s="185" t="s">
        <v>1092</v>
      </c>
      <c r="AJ9" s="185" t="s">
        <v>1093</v>
      </c>
      <c r="AK9" s="185" t="s">
        <v>1092</v>
      </c>
      <c r="AL9" s="185" t="s">
        <v>1092</v>
      </c>
      <c r="AM9" s="185" t="s">
        <v>5</v>
      </c>
      <c r="AN9" s="185" t="s">
        <v>5</v>
      </c>
      <c r="AO9" s="185" t="s">
        <v>3</v>
      </c>
      <c r="AP9" s="185" t="s">
        <v>3</v>
      </c>
      <c r="AQ9" s="185" t="s">
        <v>1093</v>
      </c>
      <c r="AR9" s="185" t="s">
        <v>2</v>
      </c>
      <c r="AS9" s="185" t="s">
        <v>1092</v>
      </c>
      <c r="AT9" s="191" t="s">
        <v>1092</v>
      </c>
      <c r="AU9" s="185" t="s">
        <v>1928</v>
      </c>
      <c r="AV9" s="185" t="s">
        <v>1902</v>
      </c>
    </row>
    <row r="10" spans="1:55" thickBot="1" x14ac:dyDescent="0.3">
      <c r="A10" s="184">
        <v>42935.497012893524</v>
      </c>
      <c r="B10" s="185" t="s">
        <v>1932</v>
      </c>
      <c r="C10" s="185" t="s">
        <v>1933</v>
      </c>
      <c r="D10" s="185">
        <v>79734355</v>
      </c>
      <c r="E10" s="185" t="s">
        <v>1896</v>
      </c>
      <c r="F10" s="185">
        <v>2013</v>
      </c>
      <c r="G10" s="185">
        <v>3177902526</v>
      </c>
      <c r="H10" s="185" t="s">
        <v>1934</v>
      </c>
      <c r="I10" s="185" t="s">
        <v>1935</v>
      </c>
      <c r="J10" s="185" t="s">
        <v>1936</v>
      </c>
      <c r="K10" s="185" t="s">
        <v>1937</v>
      </c>
      <c r="L10" s="188"/>
      <c r="M10" s="188"/>
      <c r="N10" s="188"/>
      <c r="O10" s="188"/>
      <c r="P10" s="185" t="s">
        <v>1092</v>
      </c>
      <c r="Q10" s="185" t="s">
        <v>2</v>
      </c>
      <c r="R10" s="185" t="s">
        <v>1092</v>
      </c>
      <c r="S10" s="185" t="s">
        <v>2</v>
      </c>
      <c r="T10" s="185" t="s">
        <v>3</v>
      </c>
      <c r="U10" s="185" t="s">
        <v>3</v>
      </c>
      <c r="V10" s="185" t="s">
        <v>2</v>
      </c>
      <c r="W10" s="185" t="s">
        <v>2</v>
      </c>
      <c r="X10" s="185" t="s">
        <v>1092</v>
      </c>
      <c r="Y10" s="185" t="s">
        <v>3</v>
      </c>
      <c r="Z10" s="185" t="s">
        <v>3</v>
      </c>
      <c r="AA10" s="185" t="s">
        <v>2</v>
      </c>
      <c r="AB10" s="185" t="s">
        <v>3</v>
      </c>
      <c r="AC10" s="185" t="s">
        <v>3</v>
      </c>
      <c r="AD10" s="185" t="s">
        <v>3</v>
      </c>
      <c r="AE10" s="185" t="s">
        <v>3</v>
      </c>
      <c r="AF10" s="185" t="s">
        <v>3</v>
      </c>
      <c r="AG10" s="185" t="s">
        <v>1092</v>
      </c>
      <c r="AH10" s="185" t="s">
        <v>2</v>
      </c>
      <c r="AI10" s="185" t="s">
        <v>3</v>
      </c>
      <c r="AJ10" s="185" t="s">
        <v>2</v>
      </c>
      <c r="AK10" s="185" t="s">
        <v>2</v>
      </c>
      <c r="AL10" s="185" t="s">
        <v>2</v>
      </c>
      <c r="AM10" s="185" t="s">
        <v>3</v>
      </c>
      <c r="AN10" s="185" t="s">
        <v>2</v>
      </c>
      <c r="AO10" s="185" t="s">
        <v>3</v>
      </c>
      <c r="AP10" s="185" t="s">
        <v>3</v>
      </c>
      <c r="AQ10" s="185" t="s">
        <v>2</v>
      </c>
      <c r="AR10" s="185" t="s">
        <v>2</v>
      </c>
      <c r="AS10" s="185" t="s">
        <v>3</v>
      </c>
      <c r="AT10" s="191" t="s">
        <v>3</v>
      </c>
      <c r="AU10" s="188"/>
      <c r="AV10" s="185" t="s">
        <v>1902</v>
      </c>
    </row>
    <row r="11" spans="1:55" ht="27" thickBot="1" x14ac:dyDescent="0.3">
      <c r="A11" s="184">
        <v>42935.524502511573</v>
      </c>
      <c r="B11" s="185" t="s">
        <v>2540</v>
      </c>
      <c r="C11" s="185" t="s">
        <v>2541</v>
      </c>
      <c r="D11" s="185">
        <v>52384067</v>
      </c>
      <c r="E11" s="185" t="s">
        <v>2520</v>
      </c>
      <c r="F11" s="185">
        <v>2013</v>
      </c>
      <c r="G11" s="185">
        <v>3163370501</v>
      </c>
      <c r="H11" s="185" t="s">
        <v>2542</v>
      </c>
      <c r="I11" s="185" t="s">
        <v>2543</v>
      </c>
      <c r="J11" s="185" t="s">
        <v>2544</v>
      </c>
      <c r="K11" s="185" t="s">
        <v>2545</v>
      </c>
      <c r="L11" s="185" t="s">
        <v>2546</v>
      </c>
      <c r="M11" s="185" t="s">
        <v>2547</v>
      </c>
      <c r="N11" s="185">
        <v>0</v>
      </c>
      <c r="O11" s="188"/>
      <c r="P11" s="185" t="s">
        <v>1092</v>
      </c>
      <c r="Q11" s="185" t="s">
        <v>1092</v>
      </c>
      <c r="R11" s="185" t="s">
        <v>1092</v>
      </c>
      <c r="S11" s="185" t="s">
        <v>1092</v>
      </c>
      <c r="T11" s="185" t="s">
        <v>1092</v>
      </c>
      <c r="U11" s="185" t="s">
        <v>1092</v>
      </c>
      <c r="V11" s="185" t="s">
        <v>1092</v>
      </c>
      <c r="W11" s="185" t="s">
        <v>1092</v>
      </c>
      <c r="X11" s="185" t="s">
        <v>1092</v>
      </c>
      <c r="Y11" s="185" t="s">
        <v>1092</v>
      </c>
      <c r="Z11" s="185" t="s">
        <v>1092</v>
      </c>
      <c r="AA11" s="185" t="s">
        <v>1092</v>
      </c>
      <c r="AB11" s="185" t="s">
        <v>3</v>
      </c>
      <c r="AC11" s="185" t="s">
        <v>1092</v>
      </c>
      <c r="AD11" s="185" t="s">
        <v>1092</v>
      </c>
      <c r="AE11" s="185" t="s">
        <v>1092</v>
      </c>
      <c r="AF11" s="185" t="s">
        <v>1092</v>
      </c>
      <c r="AG11" s="185" t="s">
        <v>1092</v>
      </c>
      <c r="AH11" s="185" t="s">
        <v>1092</v>
      </c>
      <c r="AI11" s="185" t="s">
        <v>1092</v>
      </c>
      <c r="AJ11" s="185" t="s">
        <v>1092</v>
      </c>
      <c r="AK11" s="185" t="s">
        <v>1092</v>
      </c>
      <c r="AL11" s="185" t="s">
        <v>1092</v>
      </c>
      <c r="AM11" s="185" t="s">
        <v>2</v>
      </c>
      <c r="AN11" s="185" t="s">
        <v>2</v>
      </c>
      <c r="AO11" s="185" t="s">
        <v>1092</v>
      </c>
      <c r="AP11" s="185" t="s">
        <v>1092</v>
      </c>
      <c r="AQ11" s="185" t="s">
        <v>1092</v>
      </c>
      <c r="AR11" s="185" t="s">
        <v>1092</v>
      </c>
      <c r="AS11" s="185" t="s">
        <v>1092</v>
      </c>
      <c r="AT11" s="191" t="s">
        <v>1092</v>
      </c>
      <c r="AU11" s="188"/>
      <c r="AV11" s="185" t="s">
        <v>1902</v>
      </c>
    </row>
    <row r="12" spans="1:55" thickBot="1" x14ac:dyDescent="0.3">
      <c r="A12" s="184">
        <v>42935.582899699075</v>
      </c>
      <c r="B12" s="185" t="s">
        <v>2548</v>
      </c>
      <c r="C12" s="185" t="s">
        <v>2549</v>
      </c>
      <c r="D12" s="185">
        <v>52937116</v>
      </c>
      <c r="E12" s="185" t="s">
        <v>2520</v>
      </c>
      <c r="F12" s="185">
        <v>2011</v>
      </c>
      <c r="G12" s="185">
        <v>3134520662</v>
      </c>
      <c r="H12" s="185" t="s">
        <v>2550</v>
      </c>
      <c r="I12" s="185" t="s">
        <v>2551</v>
      </c>
      <c r="J12" s="185" t="s">
        <v>2552</v>
      </c>
      <c r="K12" s="185" t="s">
        <v>2553</v>
      </c>
      <c r="L12" s="185" t="s">
        <v>2554</v>
      </c>
      <c r="M12" s="185" t="s">
        <v>2555</v>
      </c>
      <c r="N12" s="185">
        <v>4178000</v>
      </c>
      <c r="O12" s="188"/>
      <c r="P12" s="185" t="s">
        <v>3</v>
      </c>
      <c r="Q12" s="185" t="s">
        <v>3</v>
      </c>
      <c r="R12" s="185" t="s">
        <v>1092</v>
      </c>
      <c r="S12" s="185" t="s">
        <v>3</v>
      </c>
      <c r="T12" s="185" t="s">
        <v>1092</v>
      </c>
      <c r="U12" s="185" t="s">
        <v>1092</v>
      </c>
      <c r="V12" s="185" t="s">
        <v>3</v>
      </c>
      <c r="W12" s="185" t="s">
        <v>1</v>
      </c>
      <c r="X12" s="185" t="s">
        <v>1092</v>
      </c>
      <c r="Y12" s="185" t="s">
        <v>3</v>
      </c>
      <c r="Z12" s="185" t="s">
        <v>3</v>
      </c>
      <c r="AA12" s="185" t="s">
        <v>1</v>
      </c>
      <c r="AB12" s="185" t="s">
        <v>3</v>
      </c>
      <c r="AC12" s="185" t="s">
        <v>3</v>
      </c>
      <c r="AD12" s="185" t="s">
        <v>1</v>
      </c>
      <c r="AE12" s="185" t="s">
        <v>1092</v>
      </c>
      <c r="AF12" s="185" t="s">
        <v>1</v>
      </c>
      <c r="AG12" s="185" t="s">
        <v>1092</v>
      </c>
      <c r="AH12" s="185" t="s">
        <v>1092</v>
      </c>
      <c r="AI12" s="185" t="s">
        <v>1092</v>
      </c>
      <c r="AJ12" s="185" t="s">
        <v>1092</v>
      </c>
      <c r="AK12" s="185" t="s">
        <v>1092</v>
      </c>
      <c r="AL12" s="185" t="s">
        <v>1092</v>
      </c>
      <c r="AM12" s="185" t="s">
        <v>3</v>
      </c>
      <c r="AN12" s="185" t="s">
        <v>1</v>
      </c>
      <c r="AO12" s="185" t="s">
        <v>3</v>
      </c>
      <c r="AP12" s="185" t="s">
        <v>1</v>
      </c>
      <c r="AQ12" s="185" t="s">
        <v>3</v>
      </c>
      <c r="AR12" s="185" t="s">
        <v>1092</v>
      </c>
      <c r="AS12" s="185" t="s">
        <v>1092</v>
      </c>
      <c r="AT12" s="190" t="s">
        <v>1092</v>
      </c>
      <c r="AU12" s="185" t="s">
        <v>2556</v>
      </c>
      <c r="AV12" s="185" t="s">
        <v>1902</v>
      </c>
    </row>
    <row r="13" spans="1:55" ht="13.5" thickBot="1" x14ac:dyDescent="0.25">
      <c r="A13" s="184">
        <v>42935.843135821764</v>
      </c>
      <c r="B13" s="185" t="s">
        <v>2557</v>
      </c>
      <c r="C13" s="185" t="s">
        <v>2558</v>
      </c>
      <c r="D13" s="185">
        <v>80857616</v>
      </c>
      <c r="E13" s="185" t="s">
        <v>2520</v>
      </c>
      <c r="F13" s="185">
        <v>2011</v>
      </c>
      <c r="G13" s="185">
        <v>3153044114</v>
      </c>
      <c r="H13" s="185" t="s">
        <v>2559</v>
      </c>
      <c r="I13" s="185" t="s">
        <v>2560</v>
      </c>
      <c r="J13" s="185" t="s">
        <v>2561</v>
      </c>
      <c r="K13" s="185" t="s">
        <v>2562</v>
      </c>
      <c r="L13" s="185" t="s">
        <v>2563</v>
      </c>
      <c r="M13" s="185" t="s">
        <v>2564</v>
      </c>
      <c r="N13" s="185">
        <v>6016060</v>
      </c>
      <c r="O13" s="185" t="s">
        <v>2565</v>
      </c>
      <c r="P13" s="185" t="s">
        <v>2</v>
      </c>
      <c r="Q13" s="185" t="s">
        <v>3</v>
      </c>
      <c r="R13" s="185" t="s">
        <v>1092</v>
      </c>
      <c r="S13" s="185" t="s">
        <v>1092</v>
      </c>
      <c r="T13" s="185" t="s">
        <v>3</v>
      </c>
      <c r="U13" s="185" t="s">
        <v>3</v>
      </c>
      <c r="V13" s="185" t="s">
        <v>3</v>
      </c>
      <c r="W13" s="185" t="s">
        <v>2</v>
      </c>
      <c r="X13" s="185" t="s">
        <v>3</v>
      </c>
      <c r="Y13" s="185" t="s">
        <v>3</v>
      </c>
      <c r="Z13" s="185" t="s">
        <v>3</v>
      </c>
      <c r="AA13" s="185" t="s">
        <v>1092</v>
      </c>
      <c r="AB13" s="185" t="s">
        <v>1092</v>
      </c>
      <c r="AC13" s="185" t="s">
        <v>3</v>
      </c>
      <c r="AD13" s="185" t="s">
        <v>1092</v>
      </c>
      <c r="AE13" s="185" t="s">
        <v>1092</v>
      </c>
      <c r="AF13" s="185" t="s">
        <v>3</v>
      </c>
      <c r="AG13" s="185" t="s">
        <v>1092</v>
      </c>
      <c r="AH13" s="185" t="s">
        <v>1092</v>
      </c>
      <c r="AI13" s="185" t="s">
        <v>1092</v>
      </c>
      <c r="AJ13" s="185" t="s">
        <v>3</v>
      </c>
      <c r="AK13" s="185" t="s">
        <v>1092</v>
      </c>
      <c r="AL13" s="185" t="s">
        <v>1092</v>
      </c>
      <c r="AM13" s="185" t="s">
        <v>5</v>
      </c>
      <c r="AN13" s="185" t="s">
        <v>5</v>
      </c>
      <c r="AO13" s="185" t="s">
        <v>1092</v>
      </c>
      <c r="AP13" s="185" t="s">
        <v>3</v>
      </c>
      <c r="AQ13" s="185" t="s">
        <v>1092</v>
      </c>
      <c r="AR13" s="185" t="s">
        <v>1092</v>
      </c>
      <c r="AS13" s="185" t="s">
        <v>1092</v>
      </c>
      <c r="AT13" s="190" t="s">
        <v>1092</v>
      </c>
      <c r="AU13" s="185" t="s">
        <v>2566</v>
      </c>
      <c r="AV13" s="185" t="s">
        <v>1902</v>
      </c>
    </row>
    <row r="14" spans="1:55" thickBot="1" x14ac:dyDescent="0.3">
      <c r="A14" s="184">
        <v>42937.585557245373</v>
      </c>
      <c r="B14" s="185" t="s">
        <v>1938</v>
      </c>
      <c r="C14" s="185" t="s">
        <v>1939</v>
      </c>
      <c r="D14" s="185">
        <v>79924970</v>
      </c>
      <c r="E14" s="185" t="s">
        <v>1896</v>
      </c>
      <c r="F14" s="185">
        <v>2013</v>
      </c>
      <c r="G14" s="185">
        <v>3005565668</v>
      </c>
      <c r="H14" s="185" t="s">
        <v>1940</v>
      </c>
      <c r="I14" s="185" t="s">
        <v>1941</v>
      </c>
      <c r="J14" s="185" t="s">
        <v>1941</v>
      </c>
      <c r="K14" s="188"/>
      <c r="L14" s="188"/>
      <c r="M14" s="188"/>
      <c r="N14" s="188"/>
      <c r="O14" s="188"/>
      <c r="P14" s="185" t="s">
        <v>1092</v>
      </c>
      <c r="Q14" s="185" t="s">
        <v>1092</v>
      </c>
      <c r="R14" s="185" t="s">
        <v>3</v>
      </c>
      <c r="S14" s="185" t="s">
        <v>1092</v>
      </c>
      <c r="T14" s="185" t="s">
        <v>1092</v>
      </c>
      <c r="U14" s="185" t="s">
        <v>3</v>
      </c>
      <c r="V14" s="185" t="s">
        <v>2</v>
      </c>
      <c r="W14" s="185" t="s">
        <v>3</v>
      </c>
      <c r="X14" s="185" t="s">
        <v>3</v>
      </c>
      <c r="Y14" s="185" t="s">
        <v>3</v>
      </c>
      <c r="Z14" s="185" t="s">
        <v>1092</v>
      </c>
      <c r="AA14" s="185" t="s">
        <v>1092</v>
      </c>
      <c r="AB14" s="185" t="s">
        <v>1092</v>
      </c>
      <c r="AC14" s="185" t="s">
        <v>1092</v>
      </c>
      <c r="AD14" s="185" t="s">
        <v>1092</v>
      </c>
      <c r="AE14" s="185" t="s">
        <v>1092</v>
      </c>
      <c r="AF14" s="185" t="s">
        <v>3</v>
      </c>
      <c r="AG14" s="185" t="s">
        <v>3</v>
      </c>
      <c r="AH14" s="185" t="s">
        <v>1092</v>
      </c>
      <c r="AI14" s="185" t="s">
        <v>3</v>
      </c>
      <c r="AJ14" s="185" t="s">
        <v>3</v>
      </c>
      <c r="AK14" s="185" t="s">
        <v>3</v>
      </c>
      <c r="AL14" s="185" t="s">
        <v>3</v>
      </c>
      <c r="AM14" s="185" t="s">
        <v>2</v>
      </c>
      <c r="AN14" s="185" t="s">
        <v>1</v>
      </c>
      <c r="AO14" s="185" t="s">
        <v>3</v>
      </c>
      <c r="AP14" s="185" t="s">
        <v>3</v>
      </c>
      <c r="AQ14" s="185" t="s">
        <v>3</v>
      </c>
      <c r="AR14" s="185" t="s">
        <v>3</v>
      </c>
      <c r="AS14" s="185" t="s">
        <v>3</v>
      </c>
      <c r="AT14" s="191" t="s">
        <v>3</v>
      </c>
      <c r="AU14" s="188"/>
      <c r="AV14" s="185" t="s">
        <v>1902</v>
      </c>
    </row>
    <row r="15" spans="1:55" thickBot="1" x14ac:dyDescent="0.3">
      <c r="A15" s="184">
        <v>42937.625864768517</v>
      </c>
      <c r="B15" s="185" t="s">
        <v>1942</v>
      </c>
      <c r="C15" s="185" t="s">
        <v>1943</v>
      </c>
      <c r="D15" s="185">
        <v>52238894</v>
      </c>
      <c r="E15" s="185" t="s">
        <v>1896</v>
      </c>
      <c r="F15" s="185">
        <v>2007</v>
      </c>
      <c r="G15" s="185">
        <v>3115935313</v>
      </c>
      <c r="H15" s="185" t="s">
        <v>1944</v>
      </c>
      <c r="I15" s="185" t="s">
        <v>1945</v>
      </c>
      <c r="J15" s="185" t="s">
        <v>1945</v>
      </c>
      <c r="K15" s="188"/>
      <c r="L15" s="188"/>
      <c r="M15" s="188"/>
      <c r="N15" s="188"/>
      <c r="O15" s="188"/>
      <c r="P15" s="185" t="s">
        <v>1093</v>
      </c>
      <c r="Q15" s="185" t="s">
        <v>1093</v>
      </c>
      <c r="R15" s="185" t="s">
        <v>3</v>
      </c>
      <c r="S15" s="185" t="s">
        <v>3</v>
      </c>
      <c r="T15" s="185" t="s">
        <v>3</v>
      </c>
      <c r="U15" s="185" t="s">
        <v>3</v>
      </c>
      <c r="V15" s="185" t="s">
        <v>2</v>
      </c>
      <c r="W15" s="185" t="s">
        <v>2</v>
      </c>
      <c r="X15" s="185" t="s">
        <v>2</v>
      </c>
      <c r="Y15" s="185" t="s">
        <v>2</v>
      </c>
      <c r="Z15" s="185" t="s">
        <v>2</v>
      </c>
      <c r="AA15" s="185" t="s">
        <v>1</v>
      </c>
      <c r="AB15" s="185" t="s">
        <v>1</v>
      </c>
      <c r="AC15" s="185" t="s">
        <v>2</v>
      </c>
      <c r="AD15" s="185" t="s">
        <v>1</v>
      </c>
      <c r="AE15" s="185" t="s">
        <v>1</v>
      </c>
      <c r="AF15" s="185" t="s">
        <v>1</v>
      </c>
      <c r="AG15" s="185" t="s">
        <v>1093</v>
      </c>
      <c r="AH15" s="185" t="s">
        <v>1092</v>
      </c>
      <c r="AI15" s="185" t="s">
        <v>3</v>
      </c>
      <c r="AJ15" s="185" t="s">
        <v>3</v>
      </c>
      <c r="AK15" s="185" t="s">
        <v>2</v>
      </c>
      <c r="AL15" s="185" t="s">
        <v>2</v>
      </c>
      <c r="AM15" s="185" t="s">
        <v>1</v>
      </c>
      <c r="AN15" s="185" t="s">
        <v>2</v>
      </c>
      <c r="AO15" s="185" t="s">
        <v>1</v>
      </c>
      <c r="AP15" s="185" t="s">
        <v>1</v>
      </c>
      <c r="AQ15" s="185" t="s">
        <v>1</v>
      </c>
      <c r="AR15" s="185" t="s">
        <v>2</v>
      </c>
      <c r="AS15" s="185" t="s">
        <v>3</v>
      </c>
      <c r="AT15" s="191" t="s">
        <v>3</v>
      </c>
      <c r="AU15" s="188"/>
      <c r="AV15" s="185" t="s">
        <v>1902</v>
      </c>
    </row>
    <row r="16" spans="1:55" thickBot="1" x14ac:dyDescent="0.3">
      <c r="A16" s="184">
        <v>42937.631503923607</v>
      </c>
      <c r="B16" s="185" t="s">
        <v>2567</v>
      </c>
      <c r="C16" s="185" t="s">
        <v>2568</v>
      </c>
      <c r="D16" s="185">
        <v>94475676</v>
      </c>
      <c r="E16" s="185" t="s">
        <v>2520</v>
      </c>
      <c r="F16" s="185">
        <v>2013</v>
      </c>
      <c r="G16" s="185">
        <v>3212664455</v>
      </c>
      <c r="H16" s="185" t="s">
        <v>2569</v>
      </c>
      <c r="I16" s="185" t="s">
        <v>2570</v>
      </c>
      <c r="J16" s="185" t="s">
        <v>2571</v>
      </c>
      <c r="K16" s="188"/>
      <c r="L16" s="188"/>
      <c r="M16" s="188"/>
      <c r="N16" s="188"/>
      <c r="O16" s="188"/>
      <c r="P16" s="185" t="s">
        <v>3</v>
      </c>
      <c r="Q16" s="185" t="s">
        <v>3</v>
      </c>
      <c r="R16" s="185" t="s">
        <v>5</v>
      </c>
      <c r="S16" s="185" t="s">
        <v>3</v>
      </c>
      <c r="T16" s="185" t="s">
        <v>3</v>
      </c>
      <c r="U16" s="185" t="s">
        <v>3</v>
      </c>
      <c r="V16" s="185" t="s">
        <v>3</v>
      </c>
      <c r="W16" s="185" t="s">
        <v>2</v>
      </c>
      <c r="X16" s="185" t="s">
        <v>3</v>
      </c>
      <c r="Y16" s="185" t="s">
        <v>3</v>
      </c>
      <c r="Z16" s="185" t="s">
        <v>3</v>
      </c>
      <c r="AA16" s="185" t="s">
        <v>3</v>
      </c>
      <c r="AB16" s="185" t="s">
        <v>2</v>
      </c>
      <c r="AC16" s="185" t="s">
        <v>2</v>
      </c>
      <c r="AD16" s="185" t="s">
        <v>3</v>
      </c>
      <c r="AE16" s="185" t="s">
        <v>3</v>
      </c>
      <c r="AF16" s="185" t="s">
        <v>3</v>
      </c>
      <c r="AG16" s="185" t="s">
        <v>3</v>
      </c>
      <c r="AH16" s="185" t="s">
        <v>3</v>
      </c>
      <c r="AI16" s="185" t="s">
        <v>3</v>
      </c>
      <c r="AJ16" s="185" t="s">
        <v>3</v>
      </c>
      <c r="AK16" s="185" t="s">
        <v>3</v>
      </c>
      <c r="AL16" s="185" t="s">
        <v>3</v>
      </c>
      <c r="AM16" s="185" t="s">
        <v>3</v>
      </c>
      <c r="AN16" s="185" t="s">
        <v>3</v>
      </c>
      <c r="AO16" s="185" t="s">
        <v>3</v>
      </c>
      <c r="AP16" s="185" t="s">
        <v>3</v>
      </c>
      <c r="AQ16" s="185" t="s">
        <v>3</v>
      </c>
      <c r="AR16" s="185" t="s">
        <v>3</v>
      </c>
      <c r="AS16" s="185" t="s">
        <v>3</v>
      </c>
      <c r="AT16" s="191" t="s">
        <v>3</v>
      </c>
      <c r="AU16" s="185" t="s">
        <v>2572</v>
      </c>
      <c r="AV16" s="185" t="s">
        <v>1902</v>
      </c>
    </row>
    <row r="17" spans="1:48" thickBot="1" x14ac:dyDescent="0.3">
      <c r="A17" s="184">
        <v>42937.636749166668</v>
      </c>
      <c r="B17" s="185" t="s">
        <v>1697</v>
      </c>
      <c r="C17" s="185" t="s">
        <v>2573</v>
      </c>
      <c r="D17" s="185">
        <v>79994844</v>
      </c>
      <c r="E17" s="185" t="s">
        <v>2520</v>
      </c>
      <c r="F17" s="185">
        <v>2015</v>
      </c>
      <c r="G17" s="185">
        <v>3003949144</v>
      </c>
      <c r="H17" s="185" t="s">
        <v>2574</v>
      </c>
      <c r="I17" s="185" t="s">
        <v>2575</v>
      </c>
      <c r="J17" s="185" t="s">
        <v>2576</v>
      </c>
      <c r="K17" s="188"/>
      <c r="L17" s="188"/>
      <c r="M17" s="188"/>
      <c r="N17" s="188"/>
      <c r="O17" s="188"/>
      <c r="P17" s="185" t="s">
        <v>3</v>
      </c>
      <c r="Q17" s="185" t="s">
        <v>3</v>
      </c>
      <c r="R17" s="185" t="s">
        <v>2</v>
      </c>
      <c r="S17" s="185" t="s">
        <v>3</v>
      </c>
      <c r="T17" s="185" t="s">
        <v>3</v>
      </c>
      <c r="U17" s="185" t="s">
        <v>3</v>
      </c>
      <c r="V17" s="185" t="s">
        <v>2</v>
      </c>
      <c r="W17" s="185" t="s">
        <v>2</v>
      </c>
      <c r="X17" s="185" t="s">
        <v>3</v>
      </c>
      <c r="Y17" s="185" t="s">
        <v>3</v>
      </c>
      <c r="Z17" s="185" t="s">
        <v>3</v>
      </c>
      <c r="AA17" s="185" t="s">
        <v>2</v>
      </c>
      <c r="AB17" s="185" t="s">
        <v>1</v>
      </c>
      <c r="AC17" s="185" t="s">
        <v>2</v>
      </c>
      <c r="AD17" s="185" t="s">
        <v>2</v>
      </c>
      <c r="AE17" s="185" t="s">
        <v>3</v>
      </c>
      <c r="AF17" s="185" t="s">
        <v>3</v>
      </c>
      <c r="AG17" s="185" t="s">
        <v>1</v>
      </c>
      <c r="AH17" s="185" t="s">
        <v>3</v>
      </c>
      <c r="AI17" s="185" t="s">
        <v>2</v>
      </c>
      <c r="AJ17" s="185" t="s">
        <v>3</v>
      </c>
      <c r="AK17" s="185" t="s">
        <v>3</v>
      </c>
      <c r="AL17" s="185" t="s">
        <v>3</v>
      </c>
      <c r="AM17" s="185" t="s">
        <v>1093</v>
      </c>
      <c r="AN17" s="185" t="s">
        <v>1093</v>
      </c>
      <c r="AO17" s="185" t="s">
        <v>3</v>
      </c>
      <c r="AP17" s="185" t="s">
        <v>3</v>
      </c>
      <c r="AQ17" s="185" t="s">
        <v>3</v>
      </c>
      <c r="AR17" s="185" t="s">
        <v>3</v>
      </c>
      <c r="AS17" s="185" t="s">
        <v>3</v>
      </c>
      <c r="AT17" s="191" t="s">
        <v>3</v>
      </c>
      <c r="AU17" s="188"/>
      <c r="AV17" s="185" t="s">
        <v>1953</v>
      </c>
    </row>
    <row r="18" spans="1:48" thickBot="1" x14ac:dyDescent="0.3">
      <c r="A18" s="184">
        <v>42937.644408263892</v>
      </c>
      <c r="B18" s="185" t="s">
        <v>1946</v>
      </c>
      <c r="C18" s="185" t="s">
        <v>1947</v>
      </c>
      <c r="D18" s="185">
        <v>79891371</v>
      </c>
      <c r="E18" s="185" t="s">
        <v>1896</v>
      </c>
      <c r="F18" s="185">
        <v>2011</v>
      </c>
      <c r="G18" s="185">
        <v>3178204965</v>
      </c>
      <c r="H18" s="185" t="s">
        <v>1948</v>
      </c>
      <c r="I18" s="185" t="s">
        <v>1949</v>
      </c>
      <c r="J18" s="185" t="s">
        <v>1950</v>
      </c>
      <c r="K18" s="185" t="s">
        <v>1951</v>
      </c>
      <c r="L18" s="185" t="s">
        <v>1952</v>
      </c>
      <c r="M18" s="188"/>
      <c r="N18" s="188"/>
      <c r="O18" s="188"/>
      <c r="P18" s="185" t="s">
        <v>1092</v>
      </c>
      <c r="Q18" s="185" t="s">
        <v>1092</v>
      </c>
      <c r="R18" s="185" t="s">
        <v>1092</v>
      </c>
      <c r="S18" s="185" t="s">
        <v>1092</v>
      </c>
      <c r="T18" s="185" t="s">
        <v>1092</v>
      </c>
      <c r="U18" s="185" t="s">
        <v>1092</v>
      </c>
      <c r="V18" s="185" t="s">
        <v>1092</v>
      </c>
      <c r="W18" s="185" t="s">
        <v>3</v>
      </c>
      <c r="X18" s="185" t="s">
        <v>1092</v>
      </c>
      <c r="Y18" s="185" t="s">
        <v>1092</v>
      </c>
      <c r="Z18" s="185" t="s">
        <v>1092</v>
      </c>
      <c r="AA18" s="185" t="s">
        <v>1092</v>
      </c>
      <c r="AB18" s="185" t="s">
        <v>1092</v>
      </c>
      <c r="AC18" s="185" t="s">
        <v>1092</v>
      </c>
      <c r="AD18" s="185" t="s">
        <v>1092</v>
      </c>
      <c r="AE18" s="185" t="s">
        <v>1092</v>
      </c>
      <c r="AF18" s="185" t="s">
        <v>3</v>
      </c>
      <c r="AG18" s="185" t="s">
        <v>1092</v>
      </c>
      <c r="AH18" s="185" t="s">
        <v>1092</v>
      </c>
      <c r="AI18" s="185" t="s">
        <v>1092</v>
      </c>
      <c r="AJ18" s="185" t="s">
        <v>3</v>
      </c>
      <c r="AK18" s="185" t="s">
        <v>1092</v>
      </c>
      <c r="AL18" s="185" t="s">
        <v>1092</v>
      </c>
      <c r="AM18" s="185" t="s">
        <v>3</v>
      </c>
      <c r="AN18" s="185" t="s">
        <v>3</v>
      </c>
      <c r="AO18" s="185" t="s">
        <v>1092</v>
      </c>
      <c r="AP18" s="185" t="s">
        <v>1092</v>
      </c>
      <c r="AQ18" s="185" t="s">
        <v>1092</v>
      </c>
      <c r="AR18" s="185" t="s">
        <v>1092</v>
      </c>
      <c r="AS18" s="185" t="s">
        <v>1092</v>
      </c>
      <c r="AT18" s="190" t="s">
        <v>1092</v>
      </c>
      <c r="AU18" s="188"/>
      <c r="AV18" s="185" t="s">
        <v>1953</v>
      </c>
    </row>
    <row r="19" spans="1:48" ht="13.5" thickBot="1" x14ac:dyDescent="0.25">
      <c r="A19" s="184">
        <v>42937.647080509254</v>
      </c>
      <c r="B19" s="185" t="s">
        <v>2577</v>
      </c>
      <c r="C19" s="185" t="s">
        <v>2578</v>
      </c>
      <c r="D19" s="185">
        <v>79925384</v>
      </c>
      <c r="E19" s="185" t="s">
        <v>2520</v>
      </c>
      <c r="F19" s="185">
        <v>2012</v>
      </c>
      <c r="G19" s="185">
        <v>3045788321</v>
      </c>
      <c r="H19" s="185" t="s">
        <v>2579</v>
      </c>
      <c r="I19" s="185" t="s">
        <v>2580</v>
      </c>
      <c r="J19" s="185" t="s">
        <v>1950</v>
      </c>
      <c r="K19" s="185" t="s">
        <v>2581</v>
      </c>
      <c r="L19" s="185" t="s">
        <v>2582</v>
      </c>
      <c r="M19" s="185" t="s">
        <v>2583</v>
      </c>
      <c r="N19" s="185">
        <v>3183351680</v>
      </c>
      <c r="O19" s="185" t="s">
        <v>2584</v>
      </c>
      <c r="P19" s="185" t="s">
        <v>3</v>
      </c>
      <c r="Q19" s="185" t="s">
        <v>3</v>
      </c>
      <c r="R19" s="185" t="s">
        <v>3</v>
      </c>
      <c r="S19" s="185" t="s">
        <v>2</v>
      </c>
      <c r="T19" s="185" t="s">
        <v>3</v>
      </c>
      <c r="U19" s="185" t="s">
        <v>3</v>
      </c>
      <c r="V19" s="185" t="s">
        <v>2</v>
      </c>
      <c r="W19" s="185" t="s">
        <v>3</v>
      </c>
      <c r="X19" s="185" t="s">
        <v>1092</v>
      </c>
      <c r="Y19" s="185" t="s">
        <v>3</v>
      </c>
      <c r="Z19" s="185" t="s">
        <v>2</v>
      </c>
      <c r="AA19" s="185" t="s">
        <v>3</v>
      </c>
      <c r="AB19" s="185" t="s">
        <v>2</v>
      </c>
      <c r="AC19" s="185" t="s">
        <v>2</v>
      </c>
      <c r="AD19" s="185" t="s">
        <v>3</v>
      </c>
      <c r="AE19" s="185" t="s">
        <v>1092</v>
      </c>
      <c r="AF19" s="185" t="s">
        <v>3</v>
      </c>
      <c r="AG19" s="185" t="s">
        <v>2</v>
      </c>
      <c r="AH19" s="185" t="s">
        <v>1092</v>
      </c>
      <c r="AI19" s="185" t="s">
        <v>3</v>
      </c>
      <c r="AJ19" s="185" t="s">
        <v>3</v>
      </c>
      <c r="AK19" s="185" t="s">
        <v>1092</v>
      </c>
      <c r="AL19" s="185" t="s">
        <v>1092</v>
      </c>
      <c r="AM19" s="185" t="s">
        <v>1092</v>
      </c>
      <c r="AN19" s="185" t="s">
        <v>5</v>
      </c>
      <c r="AO19" s="185" t="s">
        <v>3</v>
      </c>
      <c r="AP19" s="185" t="s">
        <v>3</v>
      </c>
      <c r="AQ19" s="185" t="s">
        <v>3</v>
      </c>
      <c r="AR19" s="185" t="s">
        <v>1092</v>
      </c>
      <c r="AS19" s="185" t="s">
        <v>1092</v>
      </c>
      <c r="AT19" s="190" t="s">
        <v>1092</v>
      </c>
      <c r="AU19" s="185" t="s">
        <v>2585</v>
      </c>
      <c r="AV19" s="185" t="s">
        <v>1902</v>
      </c>
    </row>
    <row r="20" spans="1:48" thickBot="1" x14ac:dyDescent="0.3">
      <c r="A20" s="184">
        <v>42937.648409907408</v>
      </c>
      <c r="B20" s="185" t="s">
        <v>1954</v>
      </c>
      <c r="C20" s="185" t="s">
        <v>1955</v>
      </c>
      <c r="D20" s="185">
        <v>52185475</v>
      </c>
      <c r="E20" s="185" t="s">
        <v>1896</v>
      </c>
      <c r="F20" s="185">
        <v>2009</v>
      </c>
      <c r="G20" s="185">
        <v>3114580669</v>
      </c>
      <c r="H20" s="185" t="s">
        <v>1956</v>
      </c>
      <c r="I20" s="185" t="s">
        <v>1958</v>
      </c>
      <c r="J20" s="185" t="s">
        <v>1959</v>
      </c>
      <c r="K20" s="185" t="s">
        <v>1959</v>
      </c>
      <c r="L20" s="185" t="s">
        <v>1960</v>
      </c>
      <c r="M20" s="185" t="s">
        <v>1956</v>
      </c>
      <c r="N20" s="188"/>
      <c r="O20" s="188"/>
      <c r="P20" s="185" t="s">
        <v>3</v>
      </c>
      <c r="Q20" s="185" t="s">
        <v>3</v>
      </c>
      <c r="R20" s="185" t="s">
        <v>1092</v>
      </c>
      <c r="S20" s="185" t="s">
        <v>1092</v>
      </c>
      <c r="T20" s="185" t="s">
        <v>1092</v>
      </c>
      <c r="U20" s="185" t="s">
        <v>1092</v>
      </c>
      <c r="V20" s="185" t="s">
        <v>3</v>
      </c>
      <c r="W20" s="185" t="s">
        <v>3</v>
      </c>
      <c r="X20" s="185" t="s">
        <v>3</v>
      </c>
      <c r="Y20" s="185" t="s">
        <v>3</v>
      </c>
      <c r="Z20" s="185" t="s">
        <v>3</v>
      </c>
      <c r="AA20" s="185" t="s">
        <v>3</v>
      </c>
      <c r="AB20" s="185" t="s">
        <v>3</v>
      </c>
      <c r="AC20" s="185" t="s">
        <v>3</v>
      </c>
      <c r="AD20" s="185" t="s">
        <v>3</v>
      </c>
      <c r="AE20" s="185" t="s">
        <v>3</v>
      </c>
      <c r="AF20" s="185" t="s">
        <v>1092</v>
      </c>
      <c r="AG20" s="185" t="s">
        <v>1092</v>
      </c>
      <c r="AH20" s="185" t="s">
        <v>3</v>
      </c>
      <c r="AI20" s="185" t="s">
        <v>3</v>
      </c>
      <c r="AJ20" s="185" t="s">
        <v>1092</v>
      </c>
      <c r="AK20" s="185" t="s">
        <v>1092</v>
      </c>
      <c r="AL20" s="185" t="s">
        <v>1092</v>
      </c>
      <c r="AM20" s="185" t="s">
        <v>3</v>
      </c>
      <c r="AN20" s="185" t="s">
        <v>2</v>
      </c>
      <c r="AO20" s="185" t="s">
        <v>3</v>
      </c>
      <c r="AP20" s="185" t="s">
        <v>2</v>
      </c>
      <c r="AQ20" s="185" t="s">
        <v>3</v>
      </c>
      <c r="AR20" s="185" t="s">
        <v>3</v>
      </c>
      <c r="AS20" s="185" t="s">
        <v>3</v>
      </c>
      <c r="AT20" s="191" t="s">
        <v>3</v>
      </c>
      <c r="AU20" s="185" t="s">
        <v>1957</v>
      </c>
      <c r="AV20" s="185" t="s">
        <v>1902</v>
      </c>
    </row>
    <row r="21" spans="1:48" thickBot="1" x14ac:dyDescent="0.3">
      <c r="A21" s="184">
        <v>42937.64922846065</v>
      </c>
      <c r="B21" s="185" t="s">
        <v>1961</v>
      </c>
      <c r="C21" s="185" t="s">
        <v>1962</v>
      </c>
      <c r="D21" s="185">
        <v>79850214</v>
      </c>
      <c r="E21" s="185" t="s">
        <v>1896</v>
      </c>
      <c r="F21" s="185">
        <v>2014</v>
      </c>
      <c r="G21" s="185">
        <v>3108601584</v>
      </c>
      <c r="H21" s="185" t="s">
        <v>1963</v>
      </c>
      <c r="I21" s="185" t="s">
        <v>1965</v>
      </c>
      <c r="J21" s="185" t="s">
        <v>1966</v>
      </c>
      <c r="K21" s="185" t="s">
        <v>1967</v>
      </c>
      <c r="L21" s="185" t="s">
        <v>1968</v>
      </c>
      <c r="M21" s="185" t="s">
        <v>1969</v>
      </c>
      <c r="N21" s="185">
        <v>6016060</v>
      </c>
      <c r="O21" s="188"/>
      <c r="P21" s="185" t="s">
        <v>2</v>
      </c>
      <c r="Q21" s="185" t="s">
        <v>2</v>
      </c>
      <c r="R21" s="185" t="s">
        <v>1092</v>
      </c>
      <c r="S21" s="185" t="s">
        <v>3</v>
      </c>
      <c r="T21" s="185" t="s">
        <v>3</v>
      </c>
      <c r="U21" s="185" t="s">
        <v>3</v>
      </c>
      <c r="V21" s="185" t="s">
        <v>2</v>
      </c>
      <c r="W21" s="185" t="s">
        <v>3</v>
      </c>
      <c r="X21" s="185" t="s">
        <v>1092</v>
      </c>
      <c r="Y21" s="185" t="s">
        <v>1092</v>
      </c>
      <c r="Z21" s="185" t="s">
        <v>1092</v>
      </c>
      <c r="AA21" s="185" t="s">
        <v>3</v>
      </c>
      <c r="AB21" s="185" t="s">
        <v>3</v>
      </c>
      <c r="AC21" s="185" t="s">
        <v>1092</v>
      </c>
      <c r="AD21" s="185" t="s">
        <v>1092</v>
      </c>
      <c r="AE21" s="185" t="s">
        <v>1092</v>
      </c>
      <c r="AF21" s="185" t="s">
        <v>1092</v>
      </c>
      <c r="AG21" s="185" t="s">
        <v>1092</v>
      </c>
      <c r="AH21" s="185" t="s">
        <v>1092</v>
      </c>
      <c r="AI21" s="185" t="s">
        <v>3</v>
      </c>
      <c r="AJ21" s="185" t="s">
        <v>1092</v>
      </c>
      <c r="AK21" s="185" t="s">
        <v>1092</v>
      </c>
      <c r="AL21" s="185" t="s">
        <v>1092</v>
      </c>
      <c r="AM21" s="185" t="s">
        <v>3</v>
      </c>
      <c r="AN21" s="185" t="s">
        <v>3</v>
      </c>
      <c r="AO21" s="185" t="s">
        <v>1092</v>
      </c>
      <c r="AP21" s="185" t="s">
        <v>3</v>
      </c>
      <c r="AQ21" s="185" t="s">
        <v>1092</v>
      </c>
      <c r="AR21" s="185" t="s">
        <v>1092</v>
      </c>
      <c r="AS21" s="185" t="s">
        <v>1092</v>
      </c>
      <c r="AT21" s="190" t="s">
        <v>1092</v>
      </c>
      <c r="AU21" s="185" t="s">
        <v>1964</v>
      </c>
      <c r="AV21" s="185" t="s">
        <v>1902</v>
      </c>
    </row>
    <row r="22" spans="1:48" thickBot="1" x14ac:dyDescent="0.3">
      <c r="A22" s="184">
        <v>42937.666650173611</v>
      </c>
      <c r="B22" s="185" t="s">
        <v>1970</v>
      </c>
      <c r="C22" s="185" t="s">
        <v>1971</v>
      </c>
      <c r="D22" s="185">
        <v>79921075</v>
      </c>
      <c r="E22" s="185" t="s">
        <v>1896</v>
      </c>
      <c r="F22" s="185">
        <v>2010</v>
      </c>
      <c r="G22" s="185">
        <v>3204070795</v>
      </c>
      <c r="H22" s="185" t="s">
        <v>1972</v>
      </c>
      <c r="I22" s="185" t="s">
        <v>1974</v>
      </c>
      <c r="J22" s="185" t="s">
        <v>1975</v>
      </c>
      <c r="K22" s="185" t="s">
        <v>1976</v>
      </c>
      <c r="L22" s="188"/>
      <c r="M22" s="188"/>
      <c r="N22" s="185">
        <v>3204070795</v>
      </c>
      <c r="O22" s="188"/>
      <c r="P22" s="185" t="s">
        <v>3</v>
      </c>
      <c r="Q22" s="185" t="s">
        <v>5</v>
      </c>
      <c r="R22" s="185" t="s">
        <v>3</v>
      </c>
      <c r="S22" s="185" t="s">
        <v>2</v>
      </c>
      <c r="T22" s="185" t="s">
        <v>3</v>
      </c>
      <c r="U22" s="185" t="s">
        <v>5</v>
      </c>
      <c r="V22" s="185" t="s">
        <v>5</v>
      </c>
      <c r="W22" s="185" t="s">
        <v>1</v>
      </c>
      <c r="X22" s="185" t="s">
        <v>3</v>
      </c>
      <c r="Y22" s="185" t="s">
        <v>2</v>
      </c>
      <c r="Z22" s="185" t="s">
        <v>1</v>
      </c>
      <c r="AA22" s="185" t="s">
        <v>2</v>
      </c>
      <c r="AB22" s="185" t="s">
        <v>2</v>
      </c>
      <c r="AC22" s="185" t="s">
        <v>1093</v>
      </c>
      <c r="AD22" s="185" t="s">
        <v>3</v>
      </c>
      <c r="AE22" s="185" t="s">
        <v>2</v>
      </c>
      <c r="AF22" s="185" t="s">
        <v>2</v>
      </c>
      <c r="AG22" s="185" t="s">
        <v>3</v>
      </c>
      <c r="AH22" s="185" t="s">
        <v>1092</v>
      </c>
      <c r="AI22" s="185" t="s">
        <v>3</v>
      </c>
      <c r="AJ22" s="185" t="s">
        <v>2</v>
      </c>
      <c r="AK22" s="185" t="s">
        <v>1092</v>
      </c>
      <c r="AL22" s="185" t="s">
        <v>3</v>
      </c>
      <c r="AM22" s="185" t="s">
        <v>3</v>
      </c>
      <c r="AN22" s="185" t="s">
        <v>5</v>
      </c>
      <c r="AO22" s="185" t="s">
        <v>1</v>
      </c>
      <c r="AP22" s="185" t="s">
        <v>1</v>
      </c>
      <c r="AQ22" s="185" t="s">
        <v>2</v>
      </c>
      <c r="AR22" s="185" t="s">
        <v>2</v>
      </c>
      <c r="AS22" s="185" t="s">
        <v>3</v>
      </c>
      <c r="AT22" s="191" t="s">
        <v>3</v>
      </c>
      <c r="AU22" s="185" t="s">
        <v>1973</v>
      </c>
      <c r="AV22" s="185" t="s">
        <v>1902</v>
      </c>
    </row>
    <row r="23" spans="1:48" thickBot="1" x14ac:dyDescent="0.3">
      <c r="A23" s="184">
        <v>42937.695729039347</v>
      </c>
      <c r="B23" s="185" t="s">
        <v>1977</v>
      </c>
      <c r="C23" s="185" t="s">
        <v>1978</v>
      </c>
      <c r="D23" s="185">
        <v>79772428</v>
      </c>
      <c r="E23" s="185" t="s">
        <v>1896</v>
      </c>
      <c r="F23" s="185">
        <v>2011</v>
      </c>
      <c r="G23" s="185">
        <v>3163526646</v>
      </c>
      <c r="H23" s="185" t="s">
        <v>1979</v>
      </c>
      <c r="I23" s="185" t="s">
        <v>1980</v>
      </c>
      <c r="J23" s="185" t="s">
        <v>1981</v>
      </c>
      <c r="K23" s="185" t="s">
        <v>1982</v>
      </c>
      <c r="L23" s="185" t="s">
        <v>1983</v>
      </c>
      <c r="M23" s="185" t="s">
        <v>1984</v>
      </c>
      <c r="N23" s="185">
        <v>3163526646</v>
      </c>
      <c r="O23" s="188"/>
      <c r="P23" s="185" t="s">
        <v>3</v>
      </c>
      <c r="Q23" s="185" t="s">
        <v>3</v>
      </c>
      <c r="R23" s="185" t="s">
        <v>1092</v>
      </c>
      <c r="S23" s="185" t="s">
        <v>1092</v>
      </c>
      <c r="T23" s="185" t="s">
        <v>3</v>
      </c>
      <c r="U23" s="185" t="s">
        <v>1092</v>
      </c>
      <c r="V23" s="185" t="s">
        <v>3</v>
      </c>
      <c r="W23" s="185" t="s">
        <v>3</v>
      </c>
      <c r="X23" s="185" t="s">
        <v>3</v>
      </c>
      <c r="Y23" s="185" t="s">
        <v>3</v>
      </c>
      <c r="Z23" s="185" t="s">
        <v>3</v>
      </c>
      <c r="AA23" s="185" t="s">
        <v>3</v>
      </c>
      <c r="AB23" s="185" t="s">
        <v>3</v>
      </c>
      <c r="AC23" s="185" t="s">
        <v>3</v>
      </c>
      <c r="AD23" s="185" t="s">
        <v>3</v>
      </c>
      <c r="AE23" s="185" t="s">
        <v>3</v>
      </c>
      <c r="AF23" s="185" t="s">
        <v>3</v>
      </c>
      <c r="AG23" s="185" t="s">
        <v>3</v>
      </c>
      <c r="AH23" s="185" t="s">
        <v>3</v>
      </c>
      <c r="AI23" s="185" t="s">
        <v>3</v>
      </c>
      <c r="AJ23" s="185" t="s">
        <v>3</v>
      </c>
      <c r="AK23" s="185" t="s">
        <v>3</v>
      </c>
      <c r="AL23" s="185" t="s">
        <v>3</v>
      </c>
      <c r="AM23" s="185" t="s">
        <v>3</v>
      </c>
      <c r="AN23" s="185" t="s">
        <v>3</v>
      </c>
      <c r="AO23" s="185" t="s">
        <v>3</v>
      </c>
      <c r="AP23" s="185" t="s">
        <v>3</v>
      </c>
      <c r="AQ23" s="185" t="s">
        <v>3</v>
      </c>
      <c r="AR23" s="185" t="s">
        <v>3</v>
      </c>
      <c r="AS23" s="185" t="s">
        <v>3</v>
      </c>
      <c r="AT23" s="191" t="s">
        <v>3</v>
      </c>
      <c r="AU23" s="188"/>
      <c r="AV23" s="185" t="s">
        <v>1902</v>
      </c>
    </row>
    <row r="24" spans="1:48" thickBot="1" x14ac:dyDescent="0.3">
      <c r="A24" s="184">
        <v>42937.700266145832</v>
      </c>
      <c r="B24" s="185" t="s">
        <v>1985</v>
      </c>
      <c r="C24" s="185" t="s">
        <v>1986</v>
      </c>
      <c r="D24" s="185">
        <v>52874445</v>
      </c>
      <c r="E24" s="185" t="s">
        <v>1896</v>
      </c>
      <c r="F24" s="185">
        <v>2009</v>
      </c>
      <c r="G24" s="185">
        <v>3134825296</v>
      </c>
      <c r="H24" s="185" t="s">
        <v>1987</v>
      </c>
      <c r="I24" s="185" t="s">
        <v>1989</v>
      </c>
      <c r="J24" s="185" t="s">
        <v>1989</v>
      </c>
      <c r="K24" s="185" t="s">
        <v>1990</v>
      </c>
      <c r="L24" s="188"/>
      <c r="M24" s="188"/>
      <c r="N24" s="185">
        <v>3006677915</v>
      </c>
      <c r="O24" s="188"/>
      <c r="P24" s="185" t="s">
        <v>3</v>
      </c>
      <c r="Q24" s="185" t="s">
        <v>3</v>
      </c>
      <c r="R24" s="185" t="s">
        <v>1092</v>
      </c>
      <c r="S24" s="185" t="s">
        <v>1092</v>
      </c>
      <c r="T24" s="185" t="s">
        <v>1092</v>
      </c>
      <c r="U24" s="185" t="s">
        <v>1092</v>
      </c>
      <c r="V24" s="185" t="s">
        <v>1092</v>
      </c>
      <c r="W24" s="185" t="s">
        <v>3</v>
      </c>
      <c r="X24" s="185" t="s">
        <v>1092</v>
      </c>
      <c r="Y24" s="185" t="s">
        <v>3</v>
      </c>
      <c r="Z24" s="185" t="s">
        <v>3</v>
      </c>
      <c r="AA24" s="185" t="s">
        <v>1092</v>
      </c>
      <c r="AB24" s="185" t="s">
        <v>1092</v>
      </c>
      <c r="AC24" s="185" t="s">
        <v>1092</v>
      </c>
      <c r="AD24" s="185" t="s">
        <v>1092</v>
      </c>
      <c r="AE24" s="185" t="s">
        <v>1092</v>
      </c>
      <c r="AF24" s="185" t="s">
        <v>1092</v>
      </c>
      <c r="AG24" s="185" t="s">
        <v>1092</v>
      </c>
      <c r="AH24" s="185" t="s">
        <v>1092</v>
      </c>
      <c r="AI24" s="185" t="s">
        <v>1092</v>
      </c>
      <c r="AJ24" s="185" t="s">
        <v>1092</v>
      </c>
      <c r="AK24" s="185" t="s">
        <v>1092</v>
      </c>
      <c r="AL24" s="185" t="s">
        <v>1092</v>
      </c>
      <c r="AM24" s="185" t="s">
        <v>1092</v>
      </c>
      <c r="AN24" s="185" t="s">
        <v>1092</v>
      </c>
      <c r="AO24" s="185" t="s">
        <v>1092</v>
      </c>
      <c r="AP24" s="185" t="s">
        <v>1092</v>
      </c>
      <c r="AQ24" s="185" t="s">
        <v>1092</v>
      </c>
      <c r="AR24" s="185" t="s">
        <v>1092</v>
      </c>
      <c r="AS24" s="185" t="s">
        <v>3</v>
      </c>
      <c r="AT24" s="191" t="s">
        <v>3</v>
      </c>
      <c r="AU24" s="185" t="s">
        <v>1988</v>
      </c>
      <c r="AV24" s="185" t="s">
        <v>1902</v>
      </c>
    </row>
    <row r="25" spans="1:48" thickBot="1" x14ac:dyDescent="0.3">
      <c r="A25" s="184">
        <v>42937.715442731482</v>
      </c>
      <c r="B25" s="185" t="s">
        <v>1991</v>
      </c>
      <c r="C25" s="185" t="s">
        <v>1992</v>
      </c>
      <c r="D25" s="185">
        <v>79909603</v>
      </c>
      <c r="E25" s="185" t="s">
        <v>1896</v>
      </c>
      <c r="F25" s="185">
        <v>2008</v>
      </c>
      <c r="G25" s="185">
        <v>3114599569</v>
      </c>
      <c r="H25" s="185" t="s">
        <v>1993</v>
      </c>
      <c r="I25" s="185" t="s">
        <v>1995</v>
      </c>
      <c r="J25" s="185" t="s">
        <v>1996</v>
      </c>
      <c r="K25" s="185" t="s">
        <v>1997</v>
      </c>
      <c r="L25" s="185" t="s">
        <v>1998</v>
      </c>
      <c r="M25" s="185" t="s">
        <v>1999</v>
      </c>
      <c r="N25" s="185">
        <v>3114599569</v>
      </c>
      <c r="O25" s="188"/>
      <c r="P25" s="185" t="s">
        <v>1092</v>
      </c>
      <c r="Q25" s="185" t="s">
        <v>3</v>
      </c>
      <c r="R25" s="185" t="s">
        <v>1</v>
      </c>
      <c r="S25" s="185" t="s">
        <v>1092</v>
      </c>
      <c r="T25" s="185" t="s">
        <v>5</v>
      </c>
      <c r="U25" s="185" t="s">
        <v>3</v>
      </c>
      <c r="V25" s="185" t="s">
        <v>1092</v>
      </c>
      <c r="W25" s="185" t="s">
        <v>1092</v>
      </c>
      <c r="X25" s="185" t="s">
        <v>1092</v>
      </c>
      <c r="Y25" s="185" t="s">
        <v>1092</v>
      </c>
      <c r="Z25" s="185" t="s">
        <v>1092</v>
      </c>
      <c r="AA25" s="185" t="s">
        <v>3</v>
      </c>
      <c r="AB25" s="185" t="s">
        <v>1092</v>
      </c>
      <c r="AC25" s="185" t="s">
        <v>1092</v>
      </c>
      <c r="AD25" s="185" t="s">
        <v>1092</v>
      </c>
      <c r="AE25" s="185" t="s">
        <v>1092</v>
      </c>
      <c r="AF25" s="185" t="s">
        <v>1092</v>
      </c>
      <c r="AG25" s="185" t="s">
        <v>1092</v>
      </c>
      <c r="AH25" s="185" t="s">
        <v>1092</v>
      </c>
      <c r="AI25" s="185" t="s">
        <v>1092</v>
      </c>
      <c r="AJ25" s="185" t="s">
        <v>2</v>
      </c>
      <c r="AK25" s="185" t="s">
        <v>1092</v>
      </c>
      <c r="AL25" s="185" t="s">
        <v>1092</v>
      </c>
      <c r="AM25" s="185" t="s">
        <v>1092</v>
      </c>
      <c r="AN25" s="185" t="s">
        <v>1092</v>
      </c>
      <c r="AO25" s="185" t="s">
        <v>1092</v>
      </c>
      <c r="AP25" s="185" t="s">
        <v>1092</v>
      </c>
      <c r="AQ25" s="185" t="s">
        <v>2</v>
      </c>
      <c r="AR25" s="185" t="s">
        <v>1092</v>
      </c>
      <c r="AS25" s="185" t="s">
        <v>1092</v>
      </c>
      <c r="AT25" s="190" t="s">
        <v>1092</v>
      </c>
      <c r="AU25" s="185" t="s">
        <v>1994</v>
      </c>
      <c r="AV25" s="185" t="s">
        <v>1902</v>
      </c>
    </row>
    <row r="26" spans="1:48" thickBot="1" x14ac:dyDescent="0.3">
      <c r="A26" s="184">
        <v>42937.774204293979</v>
      </c>
      <c r="B26" s="185" t="s">
        <v>2000</v>
      </c>
      <c r="C26" s="185" t="s">
        <v>2001</v>
      </c>
      <c r="D26" s="185">
        <v>80215759</v>
      </c>
      <c r="E26" s="185" t="s">
        <v>1896</v>
      </c>
      <c r="F26" s="185">
        <v>2010</v>
      </c>
      <c r="G26" s="185">
        <v>3213123218</v>
      </c>
      <c r="H26" s="185" t="s">
        <v>2002</v>
      </c>
      <c r="I26" s="185" t="s">
        <v>2004</v>
      </c>
      <c r="J26" s="185" t="s">
        <v>2005</v>
      </c>
      <c r="K26" s="185" t="s">
        <v>2006</v>
      </c>
      <c r="L26" s="185" t="s">
        <v>2007</v>
      </c>
      <c r="M26" s="185" t="s">
        <v>2008</v>
      </c>
      <c r="N26" s="185">
        <v>33268000</v>
      </c>
      <c r="O26" s="188"/>
      <c r="P26" s="185" t="s">
        <v>1092</v>
      </c>
      <c r="Q26" s="185" t="s">
        <v>3</v>
      </c>
      <c r="R26" s="185" t="s">
        <v>1092</v>
      </c>
      <c r="S26" s="185" t="s">
        <v>3</v>
      </c>
      <c r="T26" s="185" t="s">
        <v>1092</v>
      </c>
      <c r="U26" s="185" t="s">
        <v>3</v>
      </c>
      <c r="V26" s="185" t="s">
        <v>3</v>
      </c>
      <c r="W26" s="185" t="s">
        <v>2</v>
      </c>
      <c r="X26" s="185" t="s">
        <v>3</v>
      </c>
      <c r="Y26" s="185" t="s">
        <v>2</v>
      </c>
      <c r="Z26" s="185" t="s">
        <v>3</v>
      </c>
      <c r="AA26" s="185" t="s">
        <v>3</v>
      </c>
      <c r="AB26" s="185" t="s">
        <v>1</v>
      </c>
      <c r="AC26" s="185" t="s">
        <v>2</v>
      </c>
      <c r="AD26" s="185" t="s">
        <v>3</v>
      </c>
      <c r="AE26" s="185" t="s">
        <v>3</v>
      </c>
      <c r="AF26" s="185" t="s">
        <v>2</v>
      </c>
      <c r="AG26" s="185" t="s">
        <v>2</v>
      </c>
      <c r="AH26" s="185" t="s">
        <v>1092</v>
      </c>
      <c r="AI26" s="185" t="s">
        <v>3</v>
      </c>
      <c r="AJ26" s="185" t="s">
        <v>3</v>
      </c>
      <c r="AK26" s="185" t="s">
        <v>1092</v>
      </c>
      <c r="AL26" s="185" t="s">
        <v>1092</v>
      </c>
      <c r="AM26" s="185" t="s">
        <v>1093</v>
      </c>
      <c r="AN26" s="185" t="s">
        <v>1093</v>
      </c>
      <c r="AO26" s="185" t="s">
        <v>3</v>
      </c>
      <c r="AP26" s="185" t="s">
        <v>2</v>
      </c>
      <c r="AQ26" s="185" t="s">
        <v>3</v>
      </c>
      <c r="AR26" s="185" t="s">
        <v>2</v>
      </c>
      <c r="AS26" s="185" t="s">
        <v>1092</v>
      </c>
      <c r="AT26" s="190" t="s">
        <v>1092</v>
      </c>
      <c r="AU26" s="185" t="s">
        <v>2003</v>
      </c>
      <c r="AV26" s="185" t="s">
        <v>1902</v>
      </c>
    </row>
    <row r="27" spans="1:48" thickBot="1" x14ac:dyDescent="0.3">
      <c r="A27" s="184">
        <v>42937.783520520832</v>
      </c>
      <c r="B27" s="185" t="s">
        <v>2586</v>
      </c>
      <c r="C27" s="185" t="s">
        <v>2587</v>
      </c>
      <c r="D27" s="185">
        <v>80807128</v>
      </c>
      <c r="E27" s="185" t="s">
        <v>2520</v>
      </c>
      <c r="F27" s="185">
        <v>2015</v>
      </c>
      <c r="G27" s="185">
        <v>3114840946</v>
      </c>
      <c r="H27" s="185" t="s">
        <v>2588</v>
      </c>
      <c r="I27" s="185" t="s">
        <v>2589</v>
      </c>
      <c r="J27" s="185" t="s">
        <v>2590</v>
      </c>
      <c r="K27" s="185" t="s">
        <v>2591</v>
      </c>
      <c r="L27" s="185" t="s">
        <v>2592</v>
      </c>
      <c r="M27" s="185" t="s">
        <v>2593</v>
      </c>
      <c r="N27" s="185">
        <v>3114840946</v>
      </c>
      <c r="O27" s="188"/>
      <c r="P27" s="185" t="s">
        <v>1092</v>
      </c>
      <c r="Q27" s="185" t="s">
        <v>1092</v>
      </c>
      <c r="R27" s="185" t="s">
        <v>3</v>
      </c>
      <c r="S27" s="185" t="s">
        <v>3</v>
      </c>
      <c r="T27" s="185" t="s">
        <v>5</v>
      </c>
      <c r="U27" s="185" t="s">
        <v>3</v>
      </c>
      <c r="V27" s="185" t="s">
        <v>3</v>
      </c>
      <c r="W27" s="185" t="s">
        <v>1092</v>
      </c>
      <c r="X27" s="185" t="s">
        <v>1092</v>
      </c>
      <c r="Y27" s="185" t="s">
        <v>1092</v>
      </c>
      <c r="Z27" s="185" t="s">
        <v>1092</v>
      </c>
      <c r="AA27" s="185" t="s">
        <v>3</v>
      </c>
      <c r="AB27" s="185" t="s">
        <v>3</v>
      </c>
      <c r="AC27" s="185" t="s">
        <v>3</v>
      </c>
      <c r="AD27" s="185" t="s">
        <v>3</v>
      </c>
      <c r="AE27" s="185" t="s">
        <v>1092</v>
      </c>
      <c r="AF27" s="185" t="s">
        <v>1092</v>
      </c>
      <c r="AG27" s="185" t="s">
        <v>3</v>
      </c>
      <c r="AH27" s="185" t="s">
        <v>1092</v>
      </c>
      <c r="AI27" s="185" t="s">
        <v>1092</v>
      </c>
      <c r="AJ27" s="185" t="s">
        <v>1092</v>
      </c>
      <c r="AK27" s="185" t="s">
        <v>2</v>
      </c>
      <c r="AL27" s="185" t="s">
        <v>3</v>
      </c>
      <c r="AM27" s="185" t="s">
        <v>5</v>
      </c>
      <c r="AN27" s="185" t="s">
        <v>5</v>
      </c>
      <c r="AO27" s="185" t="s">
        <v>3</v>
      </c>
      <c r="AP27" s="185" t="s">
        <v>3</v>
      </c>
      <c r="AQ27" s="185" t="s">
        <v>1092</v>
      </c>
      <c r="AR27" s="185" t="s">
        <v>3</v>
      </c>
      <c r="AS27" s="185" t="s">
        <v>1092</v>
      </c>
      <c r="AT27" s="190" t="s">
        <v>1092</v>
      </c>
      <c r="AU27" s="188"/>
      <c r="AV27" s="185" t="s">
        <v>1902</v>
      </c>
    </row>
    <row r="28" spans="1:48" thickBot="1" x14ac:dyDescent="0.3">
      <c r="A28" s="184">
        <v>42937.838710393524</v>
      </c>
      <c r="B28" s="185" t="s">
        <v>2009</v>
      </c>
      <c r="C28" s="185" t="s">
        <v>2010</v>
      </c>
      <c r="D28" s="185">
        <v>79841512</v>
      </c>
      <c r="E28" s="185" t="s">
        <v>1896</v>
      </c>
      <c r="F28" s="185">
        <v>2006</v>
      </c>
      <c r="G28" s="185">
        <v>3175611993</v>
      </c>
      <c r="H28" s="185" t="s">
        <v>2011</v>
      </c>
      <c r="I28" s="185" t="s">
        <v>2012</v>
      </c>
      <c r="J28" s="185" t="s">
        <v>2013</v>
      </c>
      <c r="K28" s="185" t="s">
        <v>2014</v>
      </c>
      <c r="L28" s="188"/>
      <c r="M28" s="185" t="s">
        <v>2015</v>
      </c>
      <c r="N28" s="188"/>
      <c r="O28" s="188"/>
      <c r="P28" s="185" t="s">
        <v>1092</v>
      </c>
      <c r="Q28" s="185" t="s">
        <v>3</v>
      </c>
      <c r="R28" s="185" t="s">
        <v>1092</v>
      </c>
      <c r="S28" s="185" t="s">
        <v>3</v>
      </c>
      <c r="T28" s="185" t="s">
        <v>3</v>
      </c>
      <c r="U28" s="185" t="s">
        <v>3</v>
      </c>
      <c r="V28" s="185" t="s">
        <v>3</v>
      </c>
      <c r="W28" s="185" t="s">
        <v>3</v>
      </c>
      <c r="X28" s="185" t="s">
        <v>1092</v>
      </c>
      <c r="Y28" s="185" t="s">
        <v>3</v>
      </c>
      <c r="Z28" s="185" t="s">
        <v>3</v>
      </c>
      <c r="AA28" s="185" t="s">
        <v>3</v>
      </c>
      <c r="AB28" s="185" t="s">
        <v>2</v>
      </c>
      <c r="AC28" s="185" t="s">
        <v>1092</v>
      </c>
      <c r="AD28" s="185" t="s">
        <v>1092</v>
      </c>
      <c r="AE28" s="185" t="s">
        <v>1092</v>
      </c>
      <c r="AF28" s="185" t="s">
        <v>3</v>
      </c>
      <c r="AG28" s="185" t="s">
        <v>3</v>
      </c>
      <c r="AH28" s="185" t="s">
        <v>3</v>
      </c>
      <c r="AI28" s="185" t="s">
        <v>3</v>
      </c>
      <c r="AJ28" s="185" t="s">
        <v>3</v>
      </c>
      <c r="AK28" s="185" t="s">
        <v>1092</v>
      </c>
      <c r="AL28" s="185" t="s">
        <v>1092</v>
      </c>
      <c r="AM28" s="185" t="s">
        <v>3</v>
      </c>
      <c r="AN28" s="185" t="s">
        <v>3</v>
      </c>
      <c r="AO28" s="185" t="s">
        <v>3</v>
      </c>
      <c r="AP28" s="185" t="s">
        <v>3</v>
      </c>
      <c r="AQ28" s="185" t="s">
        <v>3</v>
      </c>
      <c r="AR28" s="185" t="s">
        <v>1092</v>
      </c>
      <c r="AS28" s="185" t="s">
        <v>1092</v>
      </c>
      <c r="AT28" s="190" t="s">
        <v>1092</v>
      </c>
      <c r="AU28" s="188"/>
      <c r="AV28" s="185" t="s">
        <v>1902</v>
      </c>
    </row>
    <row r="29" spans="1:48" thickBot="1" x14ac:dyDescent="0.3">
      <c r="A29" s="184">
        <v>42937.888872870375</v>
      </c>
      <c r="B29" s="185" t="s">
        <v>2594</v>
      </c>
      <c r="C29" s="185" t="s">
        <v>2595</v>
      </c>
      <c r="D29" s="185">
        <v>80154682</v>
      </c>
      <c r="E29" s="185" t="s">
        <v>2520</v>
      </c>
      <c r="F29" s="185">
        <v>2013</v>
      </c>
      <c r="G29" s="185">
        <v>3164726619</v>
      </c>
      <c r="H29" s="185" t="s">
        <v>2596</v>
      </c>
      <c r="I29" s="185" t="s">
        <v>2597</v>
      </c>
      <c r="J29" s="185" t="s">
        <v>2598</v>
      </c>
      <c r="K29" s="185" t="s">
        <v>2599</v>
      </c>
      <c r="L29" s="185" t="s">
        <v>2600</v>
      </c>
      <c r="M29" s="185" t="s">
        <v>2601</v>
      </c>
      <c r="N29" s="185">
        <v>8422859</v>
      </c>
      <c r="O29" s="188"/>
      <c r="P29" s="185" t="s">
        <v>3</v>
      </c>
      <c r="Q29" s="185" t="s">
        <v>3</v>
      </c>
      <c r="R29" s="185" t="s">
        <v>3</v>
      </c>
      <c r="S29" s="185" t="s">
        <v>3</v>
      </c>
      <c r="T29" s="185" t="s">
        <v>3</v>
      </c>
      <c r="U29" s="185" t="s">
        <v>3</v>
      </c>
      <c r="V29" s="185" t="s">
        <v>1</v>
      </c>
      <c r="W29" s="185" t="s">
        <v>2</v>
      </c>
      <c r="X29" s="185" t="s">
        <v>3</v>
      </c>
      <c r="Y29" s="185" t="s">
        <v>3</v>
      </c>
      <c r="Z29" s="185" t="s">
        <v>2</v>
      </c>
      <c r="AA29" s="185" t="s">
        <v>2</v>
      </c>
      <c r="AB29" s="185" t="s">
        <v>1</v>
      </c>
      <c r="AC29" s="185" t="s">
        <v>3</v>
      </c>
      <c r="AD29" s="185" t="s">
        <v>3</v>
      </c>
      <c r="AE29" s="185" t="s">
        <v>3</v>
      </c>
      <c r="AF29" s="185" t="s">
        <v>3</v>
      </c>
      <c r="AG29" s="185" t="s">
        <v>2</v>
      </c>
      <c r="AH29" s="185" t="s">
        <v>3</v>
      </c>
      <c r="AI29" s="185" t="s">
        <v>3</v>
      </c>
      <c r="AJ29" s="185" t="s">
        <v>3</v>
      </c>
      <c r="AK29" s="185" t="s">
        <v>3</v>
      </c>
      <c r="AL29" s="185" t="s">
        <v>3</v>
      </c>
      <c r="AM29" s="185" t="s">
        <v>3</v>
      </c>
      <c r="AN29" s="185" t="s">
        <v>1</v>
      </c>
      <c r="AO29" s="185" t="s">
        <v>2</v>
      </c>
      <c r="AP29" s="185" t="s">
        <v>2</v>
      </c>
      <c r="AQ29" s="185" t="s">
        <v>3</v>
      </c>
      <c r="AR29" s="185" t="s">
        <v>3</v>
      </c>
      <c r="AS29" s="185" t="s">
        <v>3</v>
      </c>
      <c r="AT29" s="191" t="s">
        <v>3</v>
      </c>
      <c r="AU29" s="188"/>
      <c r="AV29" s="185" t="s">
        <v>1902</v>
      </c>
    </row>
    <row r="30" spans="1:48" thickBot="1" x14ac:dyDescent="0.3">
      <c r="A30" s="184">
        <v>42937.946329212966</v>
      </c>
      <c r="B30" s="185" t="s">
        <v>2602</v>
      </c>
      <c r="C30" s="185" t="s">
        <v>2603</v>
      </c>
      <c r="D30" s="185">
        <v>80808938</v>
      </c>
      <c r="E30" s="185" t="s">
        <v>2520</v>
      </c>
      <c r="F30" s="185">
        <v>2014</v>
      </c>
      <c r="G30" s="185">
        <v>3143472033</v>
      </c>
      <c r="H30" s="185" t="s">
        <v>2604</v>
      </c>
      <c r="I30" s="185" t="s">
        <v>2605</v>
      </c>
      <c r="J30" s="185" t="s">
        <v>2606</v>
      </c>
      <c r="K30" s="185" t="s">
        <v>2607</v>
      </c>
      <c r="L30" s="185" t="s">
        <v>2608</v>
      </c>
      <c r="M30" s="185" t="s">
        <v>2609</v>
      </c>
      <c r="N30" s="185">
        <v>3128320659</v>
      </c>
      <c r="O30" s="188"/>
      <c r="P30" s="185" t="s">
        <v>1092</v>
      </c>
      <c r="Q30" s="185" t="s">
        <v>3</v>
      </c>
      <c r="R30" s="185" t="s">
        <v>3</v>
      </c>
      <c r="S30" s="185" t="s">
        <v>1092</v>
      </c>
      <c r="T30" s="185" t="s">
        <v>3</v>
      </c>
      <c r="U30" s="185" t="s">
        <v>3</v>
      </c>
      <c r="V30" s="185" t="s">
        <v>1</v>
      </c>
      <c r="W30" s="185" t="s">
        <v>1092</v>
      </c>
      <c r="X30" s="185" t="s">
        <v>1092</v>
      </c>
      <c r="Y30" s="185" t="s">
        <v>1092</v>
      </c>
      <c r="Z30" s="185" t="s">
        <v>1092</v>
      </c>
      <c r="AA30" s="185" t="s">
        <v>1092</v>
      </c>
      <c r="AB30" s="185" t="s">
        <v>1</v>
      </c>
      <c r="AC30" s="185" t="s">
        <v>3</v>
      </c>
      <c r="AD30" s="185" t="s">
        <v>3</v>
      </c>
      <c r="AE30" s="185" t="s">
        <v>3</v>
      </c>
      <c r="AF30" s="185" t="s">
        <v>3</v>
      </c>
      <c r="AG30" s="185" t="s">
        <v>3</v>
      </c>
      <c r="AH30" s="185" t="s">
        <v>5</v>
      </c>
      <c r="AI30" s="185" t="s">
        <v>1092</v>
      </c>
      <c r="AJ30" s="185" t="s">
        <v>1092</v>
      </c>
      <c r="AK30" s="185" t="s">
        <v>1092</v>
      </c>
      <c r="AL30" s="185" t="s">
        <v>3</v>
      </c>
      <c r="AM30" s="185" t="s">
        <v>1092</v>
      </c>
      <c r="AN30" s="185" t="s">
        <v>3</v>
      </c>
      <c r="AO30" s="185" t="s">
        <v>3</v>
      </c>
      <c r="AP30" s="185" t="s">
        <v>3</v>
      </c>
      <c r="AQ30" s="185" t="s">
        <v>3</v>
      </c>
      <c r="AR30" s="185" t="s">
        <v>3</v>
      </c>
      <c r="AS30" s="185" t="s">
        <v>1092</v>
      </c>
      <c r="AT30" s="190" t="s">
        <v>1092</v>
      </c>
      <c r="AU30" s="188"/>
      <c r="AV30" s="185" t="s">
        <v>1902</v>
      </c>
    </row>
    <row r="31" spans="1:48" thickBot="1" x14ac:dyDescent="0.3">
      <c r="A31" s="184">
        <v>42938.445261145833</v>
      </c>
      <c r="B31" s="185" t="s">
        <v>2016</v>
      </c>
      <c r="C31" s="185" t="s">
        <v>2017</v>
      </c>
      <c r="D31" s="185">
        <v>80167471</v>
      </c>
      <c r="E31" s="185" t="s">
        <v>1896</v>
      </c>
      <c r="F31" s="185">
        <v>2013</v>
      </c>
      <c r="G31" s="185">
        <v>3013792552</v>
      </c>
      <c r="H31" s="185" t="s">
        <v>2018</v>
      </c>
      <c r="I31" s="185" t="s">
        <v>1976</v>
      </c>
      <c r="J31" s="185" t="s">
        <v>2019</v>
      </c>
      <c r="K31" s="185" t="s">
        <v>2020</v>
      </c>
      <c r="L31" s="188"/>
      <c r="M31" s="188"/>
      <c r="N31" s="188"/>
      <c r="O31" s="188"/>
      <c r="P31" s="185" t="s">
        <v>5</v>
      </c>
      <c r="Q31" s="185" t="s">
        <v>5</v>
      </c>
      <c r="R31" s="185" t="s">
        <v>1</v>
      </c>
      <c r="S31" s="185" t="s">
        <v>2</v>
      </c>
      <c r="T31" s="185" t="s">
        <v>1</v>
      </c>
      <c r="U31" s="185" t="s">
        <v>1</v>
      </c>
      <c r="V31" s="185" t="s">
        <v>1093</v>
      </c>
      <c r="W31" s="185" t="s">
        <v>1093</v>
      </c>
      <c r="X31" s="185" t="s">
        <v>1092</v>
      </c>
      <c r="Y31" s="185" t="s">
        <v>2</v>
      </c>
      <c r="Z31" s="185" t="s">
        <v>1092</v>
      </c>
      <c r="AA31" s="185" t="s">
        <v>1092</v>
      </c>
      <c r="AB31" s="185" t="s">
        <v>1093</v>
      </c>
      <c r="AC31" s="185" t="s">
        <v>2</v>
      </c>
      <c r="AD31" s="185" t="s">
        <v>1092</v>
      </c>
      <c r="AE31" s="185" t="s">
        <v>1092</v>
      </c>
      <c r="AF31" s="185" t="s">
        <v>1</v>
      </c>
      <c r="AG31" s="185" t="s">
        <v>1092</v>
      </c>
      <c r="AH31" s="185" t="s">
        <v>2</v>
      </c>
      <c r="AI31" s="185" t="s">
        <v>2</v>
      </c>
      <c r="AJ31" s="185" t="s">
        <v>1093</v>
      </c>
      <c r="AK31" s="185" t="s">
        <v>1092</v>
      </c>
      <c r="AL31" s="185" t="s">
        <v>1</v>
      </c>
      <c r="AM31" s="185" t="s">
        <v>1093</v>
      </c>
      <c r="AN31" s="185" t="s">
        <v>1</v>
      </c>
      <c r="AO31" s="185" t="s">
        <v>2</v>
      </c>
      <c r="AP31" s="185" t="s">
        <v>2</v>
      </c>
      <c r="AQ31" s="185" t="s">
        <v>2</v>
      </c>
      <c r="AR31" s="185" t="s">
        <v>2</v>
      </c>
      <c r="AS31" s="185" t="s">
        <v>1092</v>
      </c>
      <c r="AT31" s="190" t="s">
        <v>1092</v>
      </c>
      <c r="AU31" s="188"/>
      <c r="AV31" s="185" t="s">
        <v>1902</v>
      </c>
    </row>
    <row r="32" spans="1:48" thickBot="1" x14ac:dyDescent="0.3">
      <c r="A32" s="184">
        <v>42939.671299363428</v>
      </c>
      <c r="B32" s="185" t="s">
        <v>2021</v>
      </c>
      <c r="C32" s="185" t="s">
        <v>2022</v>
      </c>
      <c r="D32" s="185">
        <v>79841112</v>
      </c>
      <c r="E32" s="185" t="s">
        <v>1896</v>
      </c>
      <c r="F32" s="185">
        <v>2006</v>
      </c>
      <c r="G32" s="185">
        <v>3138701077</v>
      </c>
      <c r="H32" s="185" t="s">
        <v>2023</v>
      </c>
      <c r="I32" s="185" t="s">
        <v>2024</v>
      </c>
      <c r="J32" s="185" t="s">
        <v>2025</v>
      </c>
      <c r="K32" s="185" t="s">
        <v>2026</v>
      </c>
      <c r="L32" s="185" t="s">
        <v>2027</v>
      </c>
      <c r="M32" s="185" t="s">
        <v>2028</v>
      </c>
      <c r="N32" s="185">
        <v>7500300</v>
      </c>
      <c r="O32" s="188"/>
      <c r="P32" s="185" t="s">
        <v>5</v>
      </c>
      <c r="Q32" s="185" t="s">
        <v>5</v>
      </c>
      <c r="R32" s="185" t="s">
        <v>2</v>
      </c>
      <c r="S32" s="185" t="s">
        <v>2</v>
      </c>
      <c r="T32" s="185" t="s">
        <v>5</v>
      </c>
      <c r="U32" s="185" t="s">
        <v>3</v>
      </c>
      <c r="V32" s="185" t="s">
        <v>2</v>
      </c>
      <c r="W32" s="185" t="s">
        <v>2</v>
      </c>
      <c r="X32" s="185" t="s">
        <v>2</v>
      </c>
      <c r="Y32" s="185" t="s">
        <v>2</v>
      </c>
      <c r="Z32" s="185" t="s">
        <v>1</v>
      </c>
      <c r="AA32" s="185" t="s">
        <v>2</v>
      </c>
      <c r="AB32" s="185" t="s">
        <v>1</v>
      </c>
      <c r="AC32" s="185" t="s">
        <v>2</v>
      </c>
      <c r="AD32" s="185" t="s">
        <v>2</v>
      </c>
      <c r="AE32" s="185" t="s">
        <v>2</v>
      </c>
      <c r="AF32" s="185" t="s">
        <v>2</v>
      </c>
      <c r="AG32" s="185" t="s">
        <v>2</v>
      </c>
      <c r="AH32" s="185" t="s">
        <v>2</v>
      </c>
      <c r="AI32" s="185" t="s">
        <v>2</v>
      </c>
      <c r="AJ32" s="185" t="s">
        <v>1093</v>
      </c>
      <c r="AK32" s="185" t="s">
        <v>3</v>
      </c>
      <c r="AL32" s="185" t="s">
        <v>3</v>
      </c>
      <c r="AM32" s="185" t="s">
        <v>1</v>
      </c>
      <c r="AN32" s="185" t="s">
        <v>2</v>
      </c>
      <c r="AO32" s="185" t="s">
        <v>2</v>
      </c>
      <c r="AP32" s="185" t="s">
        <v>1</v>
      </c>
      <c r="AQ32" s="185" t="s">
        <v>2</v>
      </c>
      <c r="AR32" s="185" t="s">
        <v>2</v>
      </c>
      <c r="AS32" s="185" t="s">
        <v>2</v>
      </c>
      <c r="AT32" s="190" t="s">
        <v>2</v>
      </c>
      <c r="AU32" s="188"/>
      <c r="AV32" s="185" t="s">
        <v>1902</v>
      </c>
    </row>
    <row r="33" spans="1:48" thickBot="1" x14ac:dyDescent="0.3">
      <c r="A33" s="184">
        <v>42940.313140949074</v>
      </c>
      <c r="B33" s="185" t="s">
        <v>2610</v>
      </c>
      <c r="C33" s="185" t="s">
        <v>2611</v>
      </c>
      <c r="D33" s="185">
        <v>52749117</v>
      </c>
      <c r="E33" s="185" t="s">
        <v>2520</v>
      </c>
      <c r="F33" s="185">
        <v>2015</v>
      </c>
      <c r="G33" s="185">
        <v>3163261870</v>
      </c>
      <c r="H33" s="185" t="s">
        <v>2612</v>
      </c>
      <c r="I33" s="185" t="s">
        <v>2105</v>
      </c>
      <c r="J33" s="185" t="s">
        <v>2613</v>
      </c>
      <c r="K33" s="185" t="s">
        <v>2614</v>
      </c>
      <c r="L33" s="188"/>
      <c r="M33" s="188"/>
      <c r="N33" s="188"/>
      <c r="O33" s="188"/>
      <c r="P33" s="185" t="s">
        <v>3</v>
      </c>
      <c r="Q33" s="185" t="s">
        <v>1092</v>
      </c>
      <c r="R33" s="185" t="s">
        <v>3</v>
      </c>
      <c r="S33" s="185" t="s">
        <v>1092</v>
      </c>
      <c r="T33" s="185" t="s">
        <v>3</v>
      </c>
      <c r="U33" s="185" t="s">
        <v>3</v>
      </c>
      <c r="V33" s="185" t="s">
        <v>3</v>
      </c>
      <c r="W33" s="185" t="s">
        <v>3</v>
      </c>
      <c r="X33" s="185" t="s">
        <v>1092</v>
      </c>
      <c r="Y33" s="185" t="s">
        <v>1092</v>
      </c>
      <c r="Z33" s="185" t="s">
        <v>1092</v>
      </c>
      <c r="AA33" s="185" t="s">
        <v>1092</v>
      </c>
      <c r="AB33" s="185" t="s">
        <v>1092</v>
      </c>
      <c r="AC33" s="185" t="s">
        <v>1092</v>
      </c>
      <c r="AD33" s="185" t="s">
        <v>1092</v>
      </c>
      <c r="AE33" s="185" t="s">
        <v>1092</v>
      </c>
      <c r="AF33" s="185" t="s">
        <v>1092</v>
      </c>
      <c r="AG33" s="185" t="s">
        <v>1092</v>
      </c>
      <c r="AH33" s="185" t="s">
        <v>1092</v>
      </c>
      <c r="AI33" s="185" t="s">
        <v>3</v>
      </c>
      <c r="AJ33" s="185" t="s">
        <v>1092</v>
      </c>
      <c r="AK33" s="185" t="s">
        <v>1092</v>
      </c>
      <c r="AL33" s="185" t="s">
        <v>1092</v>
      </c>
      <c r="AM33" s="185" t="s">
        <v>1092</v>
      </c>
      <c r="AN33" s="185" t="s">
        <v>5</v>
      </c>
      <c r="AO33" s="185" t="s">
        <v>1092</v>
      </c>
      <c r="AP33" s="185" t="s">
        <v>1092</v>
      </c>
      <c r="AQ33" s="185" t="s">
        <v>1092</v>
      </c>
      <c r="AR33" s="185" t="s">
        <v>1092</v>
      </c>
      <c r="AS33" s="185" t="s">
        <v>1092</v>
      </c>
      <c r="AT33" s="190" t="s">
        <v>1092</v>
      </c>
      <c r="AU33" s="188"/>
      <c r="AV33" s="185" t="s">
        <v>1953</v>
      </c>
    </row>
    <row r="34" spans="1:48" ht="27" thickBot="1" x14ac:dyDescent="0.3">
      <c r="A34" s="184">
        <v>42940.401724918978</v>
      </c>
      <c r="B34" s="185" t="s">
        <v>2615</v>
      </c>
      <c r="C34" s="185" t="s">
        <v>2616</v>
      </c>
      <c r="D34" s="185">
        <v>79742820</v>
      </c>
      <c r="E34" s="185" t="s">
        <v>2520</v>
      </c>
      <c r="F34" s="185">
        <v>2015</v>
      </c>
      <c r="G34" s="185">
        <v>3118272710</v>
      </c>
      <c r="H34" s="185" t="s">
        <v>2617</v>
      </c>
      <c r="I34" s="185" t="s">
        <v>2618</v>
      </c>
      <c r="J34" s="185" t="s">
        <v>2619</v>
      </c>
      <c r="K34" s="185" t="s">
        <v>2620</v>
      </c>
      <c r="L34" s="185" t="s">
        <v>2621</v>
      </c>
      <c r="M34" s="185" t="s">
        <v>2622</v>
      </c>
      <c r="N34" s="185">
        <v>3118272710</v>
      </c>
      <c r="O34" s="188"/>
      <c r="P34" s="185" t="s">
        <v>3</v>
      </c>
      <c r="Q34" s="185" t="s">
        <v>3</v>
      </c>
      <c r="R34" s="185" t="s">
        <v>1092</v>
      </c>
      <c r="S34" s="185" t="s">
        <v>3</v>
      </c>
      <c r="T34" s="185" t="s">
        <v>2</v>
      </c>
      <c r="U34" s="185" t="s">
        <v>3</v>
      </c>
      <c r="V34" s="185" t="s">
        <v>1</v>
      </c>
      <c r="W34" s="185" t="s">
        <v>2</v>
      </c>
      <c r="X34" s="185" t="s">
        <v>1092</v>
      </c>
      <c r="Y34" s="185" t="s">
        <v>3</v>
      </c>
      <c r="Z34" s="185" t="s">
        <v>3</v>
      </c>
      <c r="AA34" s="185" t="s">
        <v>1092</v>
      </c>
      <c r="AB34" s="185" t="s">
        <v>1092</v>
      </c>
      <c r="AC34" s="185" t="s">
        <v>3</v>
      </c>
      <c r="AD34" s="185" t="s">
        <v>3</v>
      </c>
      <c r="AE34" s="185" t="s">
        <v>3</v>
      </c>
      <c r="AF34" s="185" t="s">
        <v>3</v>
      </c>
      <c r="AG34" s="185" t="s">
        <v>2</v>
      </c>
      <c r="AH34" s="185" t="s">
        <v>1092</v>
      </c>
      <c r="AI34" s="185" t="s">
        <v>1092</v>
      </c>
      <c r="AJ34" s="185" t="s">
        <v>1092</v>
      </c>
      <c r="AK34" s="185" t="s">
        <v>1092</v>
      </c>
      <c r="AL34" s="185" t="s">
        <v>1092</v>
      </c>
      <c r="AM34" s="185" t="s">
        <v>1</v>
      </c>
      <c r="AN34" s="185" t="s">
        <v>5</v>
      </c>
      <c r="AO34" s="185" t="s">
        <v>3</v>
      </c>
      <c r="AP34" s="185" t="s">
        <v>3</v>
      </c>
      <c r="AQ34" s="185" t="s">
        <v>3</v>
      </c>
      <c r="AR34" s="185" t="s">
        <v>1092</v>
      </c>
      <c r="AS34" s="185" t="s">
        <v>1093</v>
      </c>
      <c r="AT34" s="191" t="s">
        <v>1093</v>
      </c>
      <c r="AU34" s="188"/>
      <c r="AV34" s="185" t="s">
        <v>1902</v>
      </c>
    </row>
    <row r="35" spans="1:48" thickBot="1" x14ac:dyDescent="0.3">
      <c r="A35" s="184">
        <v>42940.555847361116</v>
      </c>
      <c r="B35" s="185" t="s">
        <v>2029</v>
      </c>
      <c r="C35" s="185" t="s">
        <v>2030</v>
      </c>
      <c r="D35" s="185">
        <v>79952407</v>
      </c>
      <c r="E35" s="185" t="s">
        <v>1896</v>
      </c>
      <c r="F35" s="185">
        <v>2008</v>
      </c>
      <c r="G35" s="185">
        <v>3158021928</v>
      </c>
      <c r="H35" s="185" t="s">
        <v>2031</v>
      </c>
      <c r="I35" s="185" t="s">
        <v>2032</v>
      </c>
      <c r="J35" s="185" t="s">
        <v>2033</v>
      </c>
      <c r="K35" s="185" t="s">
        <v>2034</v>
      </c>
      <c r="L35" s="185" t="s">
        <v>2035</v>
      </c>
      <c r="M35" s="185" t="s">
        <v>2036</v>
      </c>
      <c r="N35" s="188"/>
      <c r="O35" s="188"/>
      <c r="P35" s="185" t="s">
        <v>1093</v>
      </c>
      <c r="Q35" s="185" t="s">
        <v>5</v>
      </c>
      <c r="R35" s="185" t="s">
        <v>1092</v>
      </c>
      <c r="S35" s="185" t="s">
        <v>1092</v>
      </c>
      <c r="T35" s="185" t="s">
        <v>1092</v>
      </c>
      <c r="U35" s="185" t="s">
        <v>1092</v>
      </c>
      <c r="V35" s="185" t="s">
        <v>1093</v>
      </c>
      <c r="W35" s="185" t="s">
        <v>1092</v>
      </c>
      <c r="X35" s="185" t="s">
        <v>1092</v>
      </c>
      <c r="Y35" s="185" t="s">
        <v>2</v>
      </c>
      <c r="Z35" s="185" t="s">
        <v>2</v>
      </c>
      <c r="AA35" s="185" t="s">
        <v>3</v>
      </c>
      <c r="AB35" s="185" t="s">
        <v>2</v>
      </c>
      <c r="AC35" s="185" t="s">
        <v>2</v>
      </c>
      <c r="AD35" s="185" t="s">
        <v>3</v>
      </c>
      <c r="AE35" s="185" t="s">
        <v>1092</v>
      </c>
      <c r="AF35" s="185" t="s">
        <v>2</v>
      </c>
      <c r="AG35" s="185" t="s">
        <v>1092</v>
      </c>
      <c r="AH35" s="185" t="s">
        <v>1092</v>
      </c>
      <c r="AI35" s="185" t="s">
        <v>1092</v>
      </c>
      <c r="AJ35" s="185" t="s">
        <v>1092</v>
      </c>
      <c r="AK35" s="185" t="s">
        <v>1092</v>
      </c>
      <c r="AL35" s="185" t="s">
        <v>1092</v>
      </c>
      <c r="AM35" s="185" t="s">
        <v>1092</v>
      </c>
      <c r="AN35" s="185" t="s">
        <v>1092</v>
      </c>
      <c r="AO35" s="185" t="s">
        <v>3</v>
      </c>
      <c r="AP35" s="185" t="s">
        <v>3</v>
      </c>
      <c r="AQ35" s="185" t="s">
        <v>3</v>
      </c>
      <c r="AR35" s="185" t="s">
        <v>3</v>
      </c>
      <c r="AS35" s="185" t="s">
        <v>1092</v>
      </c>
      <c r="AT35" s="190" t="s">
        <v>1092</v>
      </c>
      <c r="AU35" s="188"/>
      <c r="AV35" s="185" t="s">
        <v>1902</v>
      </c>
    </row>
    <row r="36" spans="1:48" thickBot="1" x14ac:dyDescent="0.3">
      <c r="A36" s="184">
        <v>42940.971467303243</v>
      </c>
      <c r="B36" s="185" t="s">
        <v>2623</v>
      </c>
      <c r="C36" s="185" t="s">
        <v>2624</v>
      </c>
      <c r="D36" s="185">
        <v>79769666</v>
      </c>
      <c r="E36" s="185" t="s">
        <v>2625</v>
      </c>
      <c r="F36" s="185">
        <v>2009</v>
      </c>
      <c r="G36" s="185">
        <v>3114947648</v>
      </c>
      <c r="H36" s="185" t="s">
        <v>2626</v>
      </c>
      <c r="I36" s="185" t="s">
        <v>2627</v>
      </c>
      <c r="J36" s="185" t="s">
        <v>2628</v>
      </c>
      <c r="K36" s="188"/>
      <c r="L36" s="188"/>
      <c r="M36" s="188"/>
      <c r="N36" s="188"/>
      <c r="O36" s="188"/>
      <c r="P36" s="185" t="s">
        <v>1093</v>
      </c>
      <c r="Q36" s="185" t="s">
        <v>1092</v>
      </c>
      <c r="R36" s="185" t="s">
        <v>1092</v>
      </c>
      <c r="S36" s="185" t="s">
        <v>1092</v>
      </c>
      <c r="T36" s="185" t="s">
        <v>1092</v>
      </c>
      <c r="U36" s="185" t="s">
        <v>3</v>
      </c>
      <c r="V36" s="185" t="s">
        <v>3</v>
      </c>
      <c r="W36" s="185" t="s">
        <v>1092</v>
      </c>
      <c r="X36" s="185" t="s">
        <v>3</v>
      </c>
      <c r="Y36" s="185" t="s">
        <v>3</v>
      </c>
      <c r="Z36" s="185" t="s">
        <v>1092</v>
      </c>
      <c r="AA36" s="185" t="s">
        <v>1092</v>
      </c>
      <c r="AB36" s="185" t="s">
        <v>2</v>
      </c>
      <c r="AC36" s="185" t="s">
        <v>3</v>
      </c>
      <c r="AD36" s="185" t="s">
        <v>3</v>
      </c>
      <c r="AE36" s="185" t="s">
        <v>3</v>
      </c>
      <c r="AF36" s="185" t="s">
        <v>3</v>
      </c>
      <c r="AG36" s="185" t="s">
        <v>1092</v>
      </c>
      <c r="AH36" s="185" t="s">
        <v>3</v>
      </c>
      <c r="AI36" s="185" t="s">
        <v>5</v>
      </c>
      <c r="AJ36" s="185" t="s">
        <v>1092</v>
      </c>
      <c r="AK36" s="185" t="s">
        <v>1092</v>
      </c>
      <c r="AL36" s="185" t="s">
        <v>1092</v>
      </c>
      <c r="AM36" s="185" t="s">
        <v>3</v>
      </c>
      <c r="AN36" s="185" t="s">
        <v>3</v>
      </c>
      <c r="AO36" s="185" t="s">
        <v>3</v>
      </c>
      <c r="AP36" s="185" t="s">
        <v>3</v>
      </c>
      <c r="AQ36" s="185" t="s">
        <v>5</v>
      </c>
      <c r="AR36" s="185" t="s">
        <v>3</v>
      </c>
      <c r="AS36" s="185" t="s">
        <v>3</v>
      </c>
      <c r="AT36" s="191" t="s">
        <v>3</v>
      </c>
      <c r="AU36" s="188"/>
      <c r="AV36" s="185" t="s">
        <v>1902</v>
      </c>
    </row>
    <row r="37" spans="1:48" thickBot="1" x14ac:dyDescent="0.3">
      <c r="A37" s="184">
        <v>42941.549923599538</v>
      </c>
      <c r="B37" s="185" t="s">
        <v>2629</v>
      </c>
      <c r="C37" s="185" t="s">
        <v>2630</v>
      </c>
      <c r="D37" s="185">
        <v>80727944</v>
      </c>
      <c r="E37" s="185" t="s">
        <v>2625</v>
      </c>
      <c r="F37" s="185">
        <v>2013</v>
      </c>
      <c r="G37" s="185">
        <v>3212149149</v>
      </c>
      <c r="H37" s="185" t="s">
        <v>2301</v>
      </c>
      <c r="I37" s="185" t="s">
        <v>2631</v>
      </c>
      <c r="J37" s="185" t="s">
        <v>2631</v>
      </c>
      <c r="K37" s="188"/>
      <c r="L37" s="188"/>
      <c r="M37" s="188"/>
      <c r="N37" s="188"/>
      <c r="O37" s="188"/>
      <c r="P37" s="185" t="s">
        <v>1092</v>
      </c>
      <c r="Q37" s="185" t="s">
        <v>1092</v>
      </c>
      <c r="R37" s="185" t="s">
        <v>1093</v>
      </c>
      <c r="S37" s="185" t="s">
        <v>1093</v>
      </c>
      <c r="T37" s="185" t="s">
        <v>1093</v>
      </c>
      <c r="U37" s="185" t="s">
        <v>3</v>
      </c>
      <c r="V37" s="185" t="s">
        <v>1093</v>
      </c>
      <c r="W37" s="185" t="s">
        <v>1093</v>
      </c>
      <c r="X37" s="185" t="s">
        <v>1093</v>
      </c>
      <c r="Y37" s="185" t="s">
        <v>1093</v>
      </c>
      <c r="Z37" s="185" t="s">
        <v>1093</v>
      </c>
      <c r="AA37" s="185" t="s">
        <v>1093</v>
      </c>
      <c r="AB37" s="185" t="s">
        <v>1093</v>
      </c>
      <c r="AC37" s="185" t="s">
        <v>1093</v>
      </c>
      <c r="AD37" s="185" t="s">
        <v>1092</v>
      </c>
      <c r="AE37" s="185" t="s">
        <v>1093</v>
      </c>
      <c r="AF37" s="185" t="s">
        <v>1093</v>
      </c>
      <c r="AG37" s="185" t="s">
        <v>1093</v>
      </c>
      <c r="AH37" s="185" t="s">
        <v>1092</v>
      </c>
      <c r="AI37" s="185" t="s">
        <v>1092</v>
      </c>
      <c r="AJ37" s="185" t="s">
        <v>1092</v>
      </c>
      <c r="AK37" s="185" t="s">
        <v>1092</v>
      </c>
      <c r="AL37" s="185" t="s">
        <v>1093</v>
      </c>
      <c r="AM37" s="185" t="s">
        <v>1093</v>
      </c>
      <c r="AN37" s="185" t="s">
        <v>1093</v>
      </c>
      <c r="AO37" s="185" t="s">
        <v>1093</v>
      </c>
      <c r="AP37" s="185" t="s">
        <v>1093</v>
      </c>
      <c r="AQ37" s="185" t="s">
        <v>3</v>
      </c>
      <c r="AR37" s="185" t="s">
        <v>2</v>
      </c>
      <c r="AS37" s="185" t="s">
        <v>3</v>
      </c>
      <c r="AT37" s="191" t="s">
        <v>3</v>
      </c>
      <c r="AU37" s="188"/>
      <c r="AV37" s="188"/>
    </row>
    <row r="38" spans="1:48" thickBot="1" x14ac:dyDescent="0.3">
      <c r="A38" s="184">
        <v>42941.653431388884</v>
      </c>
      <c r="B38" s="185" t="s">
        <v>2632</v>
      </c>
      <c r="C38" s="185" t="s">
        <v>2633</v>
      </c>
      <c r="D38" s="185">
        <v>1024468007</v>
      </c>
      <c r="E38" s="185" t="s">
        <v>2520</v>
      </c>
      <c r="F38" s="185">
        <v>2017</v>
      </c>
      <c r="G38" s="185">
        <v>3143247374</v>
      </c>
      <c r="H38" s="185" t="s">
        <v>2634</v>
      </c>
      <c r="I38" s="185" t="s">
        <v>2635</v>
      </c>
      <c r="J38" s="185" t="s">
        <v>2636</v>
      </c>
      <c r="K38" s="188"/>
      <c r="L38" s="188"/>
      <c r="M38" s="188"/>
      <c r="N38" s="188"/>
      <c r="O38" s="188"/>
      <c r="P38" s="185" t="s">
        <v>1092</v>
      </c>
      <c r="Q38" s="185" t="s">
        <v>1092</v>
      </c>
      <c r="R38" s="185" t="s">
        <v>1092</v>
      </c>
      <c r="S38" s="185" t="s">
        <v>1092</v>
      </c>
      <c r="T38" s="185" t="s">
        <v>1092</v>
      </c>
      <c r="U38" s="185" t="s">
        <v>3</v>
      </c>
      <c r="V38" s="185" t="s">
        <v>3</v>
      </c>
      <c r="W38" s="185" t="s">
        <v>3</v>
      </c>
      <c r="X38" s="185" t="s">
        <v>1092</v>
      </c>
      <c r="Y38" s="185" t="s">
        <v>3</v>
      </c>
      <c r="Z38" s="185" t="s">
        <v>3</v>
      </c>
      <c r="AA38" s="185" t="s">
        <v>1092</v>
      </c>
      <c r="AB38" s="185" t="s">
        <v>1092</v>
      </c>
      <c r="AC38" s="185" t="s">
        <v>3</v>
      </c>
      <c r="AD38" s="185" t="s">
        <v>3</v>
      </c>
      <c r="AE38" s="185" t="s">
        <v>3</v>
      </c>
      <c r="AF38" s="185" t="s">
        <v>2</v>
      </c>
      <c r="AG38" s="185" t="s">
        <v>2</v>
      </c>
      <c r="AH38" s="185" t="s">
        <v>1092</v>
      </c>
      <c r="AI38" s="185" t="s">
        <v>3</v>
      </c>
      <c r="AJ38" s="185" t="s">
        <v>1092</v>
      </c>
      <c r="AK38" s="185" t="s">
        <v>3</v>
      </c>
      <c r="AL38" s="185" t="s">
        <v>3</v>
      </c>
      <c r="AM38" s="185" t="s">
        <v>2</v>
      </c>
      <c r="AN38" s="185" t="s">
        <v>2</v>
      </c>
      <c r="AO38" s="185" t="s">
        <v>3</v>
      </c>
      <c r="AP38" s="185" t="s">
        <v>2</v>
      </c>
      <c r="AQ38" s="185" t="s">
        <v>1092</v>
      </c>
      <c r="AR38" s="185" t="s">
        <v>3</v>
      </c>
      <c r="AS38" s="185" t="s">
        <v>1092</v>
      </c>
      <c r="AT38" s="190" t="s">
        <v>1092</v>
      </c>
      <c r="AU38" s="188"/>
      <c r="AV38" s="188"/>
    </row>
    <row r="39" spans="1:48" ht="13.5" thickBot="1" x14ac:dyDescent="0.25">
      <c r="A39" s="184">
        <v>42941.688694039352</v>
      </c>
      <c r="B39" s="185" t="s">
        <v>2637</v>
      </c>
      <c r="C39" s="185" t="s">
        <v>2638</v>
      </c>
      <c r="D39" s="185">
        <v>79055747</v>
      </c>
      <c r="E39" s="185" t="s">
        <v>2520</v>
      </c>
      <c r="F39" s="185">
        <v>2015</v>
      </c>
      <c r="G39" s="185">
        <v>3164541070</v>
      </c>
      <c r="H39" s="185" t="s">
        <v>2639</v>
      </c>
      <c r="I39" s="185" t="s">
        <v>2640</v>
      </c>
      <c r="J39" s="185" t="s">
        <v>2641</v>
      </c>
      <c r="K39" s="185" t="s">
        <v>2642</v>
      </c>
      <c r="L39" s="185" t="s">
        <v>2643</v>
      </c>
      <c r="M39" s="185" t="s">
        <v>2644</v>
      </c>
      <c r="N39" s="185">
        <v>7892437</v>
      </c>
      <c r="O39" s="185" t="s">
        <v>2645</v>
      </c>
      <c r="P39" s="185" t="s">
        <v>1092</v>
      </c>
      <c r="Q39" s="185" t="s">
        <v>1092</v>
      </c>
      <c r="R39" s="185" t="s">
        <v>2</v>
      </c>
      <c r="S39" s="185" t="s">
        <v>3</v>
      </c>
      <c r="T39" s="185" t="s">
        <v>1093</v>
      </c>
      <c r="U39" s="185" t="s">
        <v>2</v>
      </c>
      <c r="V39" s="185" t="s">
        <v>2</v>
      </c>
      <c r="W39" s="185" t="s">
        <v>2</v>
      </c>
      <c r="X39" s="185" t="s">
        <v>3</v>
      </c>
      <c r="Y39" s="185" t="s">
        <v>3</v>
      </c>
      <c r="Z39" s="185" t="s">
        <v>3</v>
      </c>
      <c r="AA39" s="185" t="s">
        <v>1092</v>
      </c>
      <c r="AB39" s="185" t="s">
        <v>1</v>
      </c>
      <c r="AC39" s="185" t="s">
        <v>3</v>
      </c>
      <c r="AD39" s="185" t="s">
        <v>1092</v>
      </c>
      <c r="AE39" s="185" t="s">
        <v>1092</v>
      </c>
      <c r="AF39" s="185" t="s">
        <v>1092</v>
      </c>
      <c r="AG39" s="185" t="s">
        <v>3</v>
      </c>
      <c r="AH39" s="185" t="s">
        <v>1092</v>
      </c>
      <c r="AI39" s="185" t="s">
        <v>1092</v>
      </c>
      <c r="AJ39" s="185" t="s">
        <v>1092</v>
      </c>
      <c r="AK39" s="185" t="s">
        <v>1092</v>
      </c>
      <c r="AL39" s="185" t="s">
        <v>1092</v>
      </c>
      <c r="AM39" s="185" t="s">
        <v>2</v>
      </c>
      <c r="AN39" s="185" t="s">
        <v>1093</v>
      </c>
      <c r="AO39" s="185" t="s">
        <v>3</v>
      </c>
      <c r="AP39" s="185" t="s">
        <v>3</v>
      </c>
      <c r="AQ39" s="185" t="s">
        <v>1092</v>
      </c>
      <c r="AR39" s="185" t="s">
        <v>1092</v>
      </c>
      <c r="AS39" s="185" t="s">
        <v>1092</v>
      </c>
      <c r="AT39" s="190" t="s">
        <v>1092</v>
      </c>
      <c r="AU39" s="185" t="s">
        <v>2646</v>
      </c>
      <c r="AV39" s="185" t="s">
        <v>1902</v>
      </c>
    </row>
    <row r="40" spans="1:48" thickBot="1" x14ac:dyDescent="0.3">
      <c r="A40" s="184">
        <v>42941.80206725694</v>
      </c>
      <c r="B40" s="185" t="s">
        <v>2647</v>
      </c>
      <c r="C40" s="185" t="s">
        <v>2648</v>
      </c>
      <c r="D40" s="185">
        <v>1013651237</v>
      </c>
      <c r="E40" s="185" t="s">
        <v>2625</v>
      </c>
      <c r="F40" s="185">
        <v>2017</v>
      </c>
      <c r="G40" s="185">
        <v>3138012283</v>
      </c>
      <c r="H40" s="185" t="s">
        <v>2649</v>
      </c>
      <c r="I40" s="185" t="s">
        <v>64</v>
      </c>
      <c r="J40" s="185" t="s">
        <v>64</v>
      </c>
      <c r="K40" s="188"/>
      <c r="L40" s="188"/>
      <c r="M40" s="188"/>
      <c r="N40" s="188"/>
      <c r="O40" s="188"/>
      <c r="P40" s="185" t="s">
        <v>1092</v>
      </c>
      <c r="Q40" s="185" t="s">
        <v>1092</v>
      </c>
      <c r="R40" s="185" t="s">
        <v>1092</v>
      </c>
      <c r="S40" s="185" t="s">
        <v>1092</v>
      </c>
      <c r="T40" s="185" t="s">
        <v>3</v>
      </c>
      <c r="U40" s="185" t="s">
        <v>3</v>
      </c>
      <c r="V40" s="185" t="s">
        <v>1092</v>
      </c>
      <c r="W40" s="185" t="s">
        <v>2</v>
      </c>
      <c r="X40" s="185" t="s">
        <v>3</v>
      </c>
      <c r="Y40" s="185" t="s">
        <v>3</v>
      </c>
      <c r="Z40" s="185" t="s">
        <v>3</v>
      </c>
      <c r="AA40" s="185" t="s">
        <v>3</v>
      </c>
      <c r="AB40" s="185" t="s">
        <v>1092</v>
      </c>
      <c r="AC40" s="185" t="s">
        <v>3</v>
      </c>
      <c r="AD40" s="185" t="s">
        <v>1092</v>
      </c>
      <c r="AE40" s="185" t="s">
        <v>1092</v>
      </c>
      <c r="AF40" s="185" t="s">
        <v>1092</v>
      </c>
      <c r="AG40" s="185" t="s">
        <v>1092</v>
      </c>
      <c r="AH40" s="185" t="s">
        <v>3</v>
      </c>
      <c r="AI40" s="185" t="s">
        <v>2</v>
      </c>
      <c r="AJ40" s="185" t="s">
        <v>2</v>
      </c>
      <c r="AK40" s="185" t="s">
        <v>3</v>
      </c>
      <c r="AL40" s="185" t="s">
        <v>3</v>
      </c>
      <c r="AM40" s="185" t="s">
        <v>3</v>
      </c>
      <c r="AN40" s="185" t="s">
        <v>2</v>
      </c>
      <c r="AO40" s="185" t="s">
        <v>1092</v>
      </c>
      <c r="AP40" s="185" t="s">
        <v>3</v>
      </c>
      <c r="AQ40" s="185" t="s">
        <v>3</v>
      </c>
      <c r="AR40" s="185" t="s">
        <v>3</v>
      </c>
      <c r="AS40" s="185" t="s">
        <v>1092</v>
      </c>
      <c r="AT40" s="190" t="s">
        <v>1092</v>
      </c>
      <c r="AU40" s="188"/>
      <c r="AV40" s="185" t="s">
        <v>1902</v>
      </c>
    </row>
    <row r="41" spans="1:48" thickBot="1" x14ac:dyDescent="0.3">
      <c r="A41" s="184">
        <v>42941.862301377318</v>
      </c>
      <c r="B41" s="185" t="s">
        <v>2040</v>
      </c>
      <c r="C41" s="185" t="s">
        <v>2041</v>
      </c>
      <c r="D41" s="185">
        <v>79745707</v>
      </c>
      <c r="E41" s="185" t="s">
        <v>1896</v>
      </c>
      <c r="F41" s="185">
        <v>2010</v>
      </c>
      <c r="G41" s="185">
        <v>3112711624</v>
      </c>
      <c r="H41" s="185" t="s">
        <v>2042</v>
      </c>
      <c r="I41" s="185" t="s">
        <v>2043</v>
      </c>
      <c r="J41" s="185" t="s">
        <v>2044</v>
      </c>
      <c r="K41" s="188"/>
      <c r="L41" s="188"/>
      <c r="M41" s="188"/>
      <c r="N41" s="188"/>
      <c r="O41" s="188"/>
      <c r="P41" s="185" t="s">
        <v>3</v>
      </c>
      <c r="Q41" s="185" t="s">
        <v>1092</v>
      </c>
      <c r="R41" s="185" t="s">
        <v>5</v>
      </c>
      <c r="S41" s="185" t="s">
        <v>5</v>
      </c>
      <c r="T41" s="185" t="s">
        <v>3</v>
      </c>
      <c r="U41" s="185" t="s">
        <v>3</v>
      </c>
      <c r="V41" s="185" t="s">
        <v>2</v>
      </c>
      <c r="W41" s="185" t="s">
        <v>2</v>
      </c>
      <c r="X41" s="185" t="s">
        <v>3</v>
      </c>
      <c r="Y41" s="185" t="s">
        <v>1092</v>
      </c>
      <c r="Z41" s="185" t="s">
        <v>3</v>
      </c>
      <c r="AA41" s="185" t="s">
        <v>2</v>
      </c>
      <c r="AB41" s="185" t="s">
        <v>1</v>
      </c>
      <c r="AC41" s="185" t="s">
        <v>1092</v>
      </c>
      <c r="AD41" s="185" t="s">
        <v>1092</v>
      </c>
      <c r="AE41" s="185" t="s">
        <v>3</v>
      </c>
      <c r="AF41" s="185" t="s">
        <v>1092</v>
      </c>
      <c r="AG41" s="185" t="s">
        <v>3</v>
      </c>
      <c r="AH41" s="185" t="s">
        <v>3</v>
      </c>
      <c r="AI41" s="185" t="s">
        <v>3</v>
      </c>
      <c r="AJ41" s="185" t="s">
        <v>1</v>
      </c>
      <c r="AK41" s="185" t="s">
        <v>3</v>
      </c>
      <c r="AL41" s="185" t="s">
        <v>3</v>
      </c>
      <c r="AM41" s="185" t="s">
        <v>2</v>
      </c>
      <c r="AN41" s="185" t="s">
        <v>2</v>
      </c>
      <c r="AO41" s="185" t="s">
        <v>3</v>
      </c>
      <c r="AP41" s="185" t="s">
        <v>2</v>
      </c>
      <c r="AQ41" s="185" t="s">
        <v>3</v>
      </c>
      <c r="AR41" s="185" t="s">
        <v>3</v>
      </c>
      <c r="AS41" s="185" t="s">
        <v>3</v>
      </c>
      <c r="AT41" s="191" t="s">
        <v>3</v>
      </c>
      <c r="AU41" s="188"/>
      <c r="AV41" s="185" t="s">
        <v>1902</v>
      </c>
    </row>
    <row r="42" spans="1:48" thickBot="1" x14ac:dyDescent="0.3">
      <c r="A42" s="184">
        <v>42941.866905949079</v>
      </c>
      <c r="B42" s="185" t="s">
        <v>1498</v>
      </c>
      <c r="C42" s="185" t="s">
        <v>2650</v>
      </c>
      <c r="D42" s="185">
        <v>1013578535</v>
      </c>
      <c r="E42" s="185" t="s">
        <v>2520</v>
      </c>
      <c r="F42" s="185">
        <v>2012</v>
      </c>
      <c r="G42" s="185">
        <v>3044976893</v>
      </c>
      <c r="H42" s="185" t="s">
        <v>2651</v>
      </c>
      <c r="I42" s="185" t="s">
        <v>2652</v>
      </c>
      <c r="J42" s="185" t="s">
        <v>1907</v>
      </c>
      <c r="K42" s="185" t="s">
        <v>2050</v>
      </c>
      <c r="L42" s="185" t="s">
        <v>2582</v>
      </c>
      <c r="M42" s="185" t="s">
        <v>2653</v>
      </c>
      <c r="N42" s="185">
        <v>6016060</v>
      </c>
      <c r="O42" s="188"/>
      <c r="P42" s="185" t="s">
        <v>1092</v>
      </c>
      <c r="Q42" s="185" t="s">
        <v>1092</v>
      </c>
      <c r="R42" s="185" t="s">
        <v>1092</v>
      </c>
      <c r="S42" s="185" t="s">
        <v>1092</v>
      </c>
      <c r="T42" s="185" t="s">
        <v>1</v>
      </c>
      <c r="U42" s="185" t="s">
        <v>1</v>
      </c>
      <c r="V42" s="185" t="s">
        <v>1</v>
      </c>
      <c r="W42" s="185" t="s">
        <v>1</v>
      </c>
      <c r="X42" s="185" t="s">
        <v>1092</v>
      </c>
      <c r="Y42" s="185" t="s">
        <v>3</v>
      </c>
      <c r="Z42" s="185" t="s">
        <v>1092</v>
      </c>
      <c r="AA42" s="185" t="s">
        <v>1092</v>
      </c>
      <c r="AB42" s="185" t="s">
        <v>3</v>
      </c>
      <c r="AC42" s="185" t="s">
        <v>2</v>
      </c>
      <c r="AD42" s="185" t="s">
        <v>1</v>
      </c>
      <c r="AE42" s="185" t="s">
        <v>1092</v>
      </c>
      <c r="AF42" s="185" t="s">
        <v>1092</v>
      </c>
      <c r="AG42" s="185" t="s">
        <v>1092</v>
      </c>
      <c r="AH42" s="185" t="s">
        <v>1092</v>
      </c>
      <c r="AI42" s="185" t="s">
        <v>1092</v>
      </c>
      <c r="AJ42" s="185" t="s">
        <v>1092</v>
      </c>
      <c r="AK42" s="185" t="s">
        <v>1092</v>
      </c>
      <c r="AL42" s="185" t="s">
        <v>1092</v>
      </c>
      <c r="AM42" s="185" t="s">
        <v>5</v>
      </c>
      <c r="AN42" s="185" t="s">
        <v>5</v>
      </c>
      <c r="AO42" s="185" t="s">
        <v>1092</v>
      </c>
      <c r="AP42" s="185" t="s">
        <v>3</v>
      </c>
      <c r="AQ42" s="185" t="s">
        <v>1092</v>
      </c>
      <c r="AR42" s="185" t="s">
        <v>1092</v>
      </c>
      <c r="AS42" s="185" t="s">
        <v>1092</v>
      </c>
      <c r="AT42" s="190" t="s">
        <v>1092</v>
      </c>
      <c r="AU42" s="185" t="s">
        <v>2654</v>
      </c>
      <c r="AV42" s="185" t="s">
        <v>1902</v>
      </c>
    </row>
    <row r="43" spans="1:48" thickBot="1" x14ac:dyDescent="0.3">
      <c r="A43" s="184">
        <v>42941.927399884255</v>
      </c>
      <c r="B43" s="185" t="s">
        <v>2045</v>
      </c>
      <c r="C43" s="185" t="s">
        <v>2046</v>
      </c>
      <c r="D43" s="185">
        <v>52533912</v>
      </c>
      <c r="E43" s="185" t="s">
        <v>1896</v>
      </c>
      <c r="F43" s="185">
        <v>2003</v>
      </c>
      <c r="G43" s="185">
        <v>3214554345</v>
      </c>
      <c r="H43" s="185" t="s">
        <v>2047</v>
      </c>
      <c r="I43" s="185" t="s">
        <v>2048</v>
      </c>
      <c r="J43" s="185" t="s">
        <v>2049</v>
      </c>
      <c r="K43" s="185" t="s">
        <v>2050</v>
      </c>
      <c r="L43" s="188"/>
      <c r="M43" s="188"/>
      <c r="N43" s="188"/>
      <c r="O43" s="188"/>
      <c r="P43" s="185" t="s">
        <v>2</v>
      </c>
      <c r="Q43" s="185" t="s">
        <v>5</v>
      </c>
      <c r="R43" s="185" t="s">
        <v>3</v>
      </c>
      <c r="S43" s="185" t="s">
        <v>3</v>
      </c>
      <c r="T43" s="185" t="s">
        <v>3</v>
      </c>
      <c r="U43" s="185" t="s">
        <v>3</v>
      </c>
      <c r="V43" s="185" t="s">
        <v>5</v>
      </c>
      <c r="W43" s="185" t="s">
        <v>3</v>
      </c>
      <c r="X43" s="185" t="s">
        <v>3</v>
      </c>
      <c r="Y43" s="185" t="s">
        <v>3</v>
      </c>
      <c r="Z43" s="185" t="s">
        <v>3</v>
      </c>
      <c r="AA43" s="185" t="s">
        <v>3</v>
      </c>
      <c r="AB43" s="185" t="s">
        <v>3</v>
      </c>
      <c r="AC43" s="185" t="s">
        <v>3</v>
      </c>
      <c r="AD43" s="185" t="s">
        <v>3</v>
      </c>
      <c r="AE43" s="185" t="s">
        <v>3</v>
      </c>
      <c r="AF43" s="185" t="s">
        <v>3</v>
      </c>
      <c r="AG43" s="185" t="s">
        <v>5</v>
      </c>
      <c r="AH43" s="185" t="s">
        <v>2</v>
      </c>
      <c r="AI43" s="185" t="s">
        <v>1</v>
      </c>
      <c r="AJ43" s="185" t="s">
        <v>3</v>
      </c>
      <c r="AK43" s="185" t="s">
        <v>3</v>
      </c>
      <c r="AL43" s="185" t="s">
        <v>3</v>
      </c>
      <c r="AM43" s="185" t="s">
        <v>5</v>
      </c>
      <c r="AN43" s="185" t="s">
        <v>5</v>
      </c>
      <c r="AO43" s="185" t="s">
        <v>3</v>
      </c>
      <c r="AP43" s="185" t="s">
        <v>5</v>
      </c>
      <c r="AQ43" s="185" t="s">
        <v>3</v>
      </c>
      <c r="AR43" s="185" t="s">
        <v>3</v>
      </c>
      <c r="AS43" s="185" t="s">
        <v>3</v>
      </c>
      <c r="AT43" s="191" t="s">
        <v>3</v>
      </c>
      <c r="AU43" s="188"/>
      <c r="AV43" s="185" t="s">
        <v>1902</v>
      </c>
    </row>
    <row r="44" spans="1:48" thickBot="1" x14ac:dyDescent="0.3">
      <c r="A44" s="184">
        <v>42942.300185509259</v>
      </c>
      <c r="B44" s="185" t="s">
        <v>2051</v>
      </c>
      <c r="C44" s="185" t="s">
        <v>2052</v>
      </c>
      <c r="D44" s="185">
        <v>79761511</v>
      </c>
      <c r="E44" s="185" t="s">
        <v>1896</v>
      </c>
      <c r="F44" s="185">
        <v>2012</v>
      </c>
      <c r="G44" s="185">
        <v>3183442343</v>
      </c>
      <c r="H44" s="185" t="s">
        <v>2053</v>
      </c>
      <c r="I44" s="185" t="s">
        <v>2055</v>
      </c>
      <c r="J44" s="185" t="s">
        <v>2056</v>
      </c>
      <c r="K44" s="185" t="s">
        <v>2057</v>
      </c>
      <c r="L44" s="185" t="s">
        <v>2058</v>
      </c>
      <c r="M44" s="185" t="s">
        <v>2059</v>
      </c>
      <c r="N44" s="185">
        <v>3183442343</v>
      </c>
      <c r="O44" s="188"/>
      <c r="P44" s="185" t="s">
        <v>2</v>
      </c>
      <c r="Q44" s="185" t="s">
        <v>2</v>
      </c>
      <c r="R44" s="185" t="s">
        <v>1092</v>
      </c>
      <c r="S44" s="185" t="s">
        <v>1092</v>
      </c>
      <c r="T44" s="185" t="s">
        <v>1092</v>
      </c>
      <c r="U44" s="185" t="s">
        <v>3</v>
      </c>
      <c r="V44" s="185" t="s">
        <v>2</v>
      </c>
      <c r="W44" s="185" t="s">
        <v>3</v>
      </c>
      <c r="X44" s="185" t="s">
        <v>1092</v>
      </c>
      <c r="Y44" s="185" t="s">
        <v>1092</v>
      </c>
      <c r="Z44" s="185" t="s">
        <v>3</v>
      </c>
      <c r="AA44" s="185" t="s">
        <v>3</v>
      </c>
      <c r="AB44" s="185" t="s">
        <v>3</v>
      </c>
      <c r="AC44" s="185" t="s">
        <v>2</v>
      </c>
      <c r="AD44" s="185" t="s">
        <v>3</v>
      </c>
      <c r="AE44" s="185" t="s">
        <v>3</v>
      </c>
      <c r="AF44" s="185" t="s">
        <v>2</v>
      </c>
      <c r="AG44" s="185" t="s">
        <v>3</v>
      </c>
      <c r="AH44" s="185" t="s">
        <v>3</v>
      </c>
      <c r="AI44" s="185" t="s">
        <v>3</v>
      </c>
      <c r="AJ44" s="185" t="s">
        <v>3</v>
      </c>
      <c r="AK44" s="185" t="s">
        <v>1092</v>
      </c>
      <c r="AL44" s="185" t="s">
        <v>3</v>
      </c>
      <c r="AM44" s="185" t="s">
        <v>1092</v>
      </c>
      <c r="AN44" s="185" t="s">
        <v>3</v>
      </c>
      <c r="AO44" s="185" t="s">
        <v>1092</v>
      </c>
      <c r="AP44" s="185" t="s">
        <v>3</v>
      </c>
      <c r="AQ44" s="185" t="s">
        <v>3</v>
      </c>
      <c r="AR44" s="185" t="s">
        <v>3</v>
      </c>
      <c r="AS44" s="185" t="s">
        <v>3</v>
      </c>
      <c r="AT44" s="191" t="s">
        <v>3</v>
      </c>
      <c r="AU44" s="185" t="s">
        <v>2054</v>
      </c>
      <c r="AV44" s="185" t="s">
        <v>1902</v>
      </c>
    </row>
    <row r="45" spans="1:48" ht="13.5" thickBot="1" x14ac:dyDescent="0.25">
      <c r="A45" s="184">
        <v>42942.30759582176</v>
      </c>
      <c r="B45" s="185" t="s">
        <v>2060</v>
      </c>
      <c r="C45" s="185" t="s">
        <v>2061</v>
      </c>
      <c r="D45" s="185">
        <v>3096982</v>
      </c>
      <c r="E45" s="185" t="s">
        <v>1896</v>
      </c>
      <c r="F45" s="185">
        <v>2007</v>
      </c>
      <c r="G45" s="185">
        <v>3203468320</v>
      </c>
      <c r="H45" s="185" t="s">
        <v>2062</v>
      </c>
      <c r="I45" s="185" t="s">
        <v>2064</v>
      </c>
      <c r="J45" s="185" t="s">
        <v>2065</v>
      </c>
      <c r="K45" s="185" t="s">
        <v>2066</v>
      </c>
      <c r="L45" s="185" t="s">
        <v>2067</v>
      </c>
      <c r="M45" s="185" t="s">
        <v>2068</v>
      </c>
      <c r="N45" s="185">
        <v>3350908</v>
      </c>
      <c r="O45" s="185" t="s">
        <v>2069</v>
      </c>
      <c r="P45" s="185" t="s">
        <v>3</v>
      </c>
      <c r="Q45" s="185" t="s">
        <v>1092</v>
      </c>
      <c r="R45" s="185" t="s">
        <v>1092</v>
      </c>
      <c r="S45" s="185" t="s">
        <v>1092</v>
      </c>
      <c r="T45" s="185" t="s">
        <v>1092</v>
      </c>
      <c r="U45" s="185" t="s">
        <v>3</v>
      </c>
      <c r="V45" s="185" t="s">
        <v>1092</v>
      </c>
      <c r="W45" s="185" t="s">
        <v>1092</v>
      </c>
      <c r="X45" s="185" t="s">
        <v>1092</v>
      </c>
      <c r="Y45" s="185" t="s">
        <v>1092</v>
      </c>
      <c r="Z45" s="185" t="s">
        <v>1092</v>
      </c>
      <c r="AA45" s="185" t="s">
        <v>1092</v>
      </c>
      <c r="AB45" s="185" t="s">
        <v>1092</v>
      </c>
      <c r="AC45" s="185" t="s">
        <v>1092</v>
      </c>
      <c r="AD45" s="185" t="s">
        <v>1092</v>
      </c>
      <c r="AE45" s="185" t="s">
        <v>1092</v>
      </c>
      <c r="AF45" s="185" t="s">
        <v>1092</v>
      </c>
      <c r="AG45" s="185" t="s">
        <v>1092</v>
      </c>
      <c r="AH45" s="185" t="s">
        <v>1092</v>
      </c>
      <c r="AI45" s="185" t="s">
        <v>1092</v>
      </c>
      <c r="AJ45" s="185" t="s">
        <v>1092</v>
      </c>
      <c r="AK45" s="185" t="s">
        <v>1092</v>
      </c>
      <c r="AL45" s="185" t="s">
        <v>1092</v>
      </c>
      <c r="AM45" s="185" t="s">
        <v>1092</v>
      </c>
      <c r="AN45" s="185" t="s">
        <v>1092</v>
      </c>
      <c r="AO45" s="185" t="s">
        <v>1092</v>
      </c>
      <c r="AP45" s="185" t="s">
        <v>1092</v>
      </c>
      <c r="AQ45" s="185" t="s">
        <v>1092</v>
      </c>
      <c r="AR45" s="185" t="s">
        <v>1092</v>
      </c>
      <c r="AS45" s="185" t="s">
        <v>1092</v>
      </c>
      <c r="AT45" s="190" t="s">
        <v>1092</v>
      </c>
      <c r="AU45" s="185" t="s">
        <v>2063</v>
      </c>
      <c r="AV45" s="185" t="s">
        <v>1902</v>
      </c>
    </row>
    <row r="46" spans="1:48" ht="27" thickBot="1" x14ac:dyDescent="0.3">
      <c r="A46" s="184">
        <v>42942.320166504629</v>
      </c>
      <c r="B46" s="185" t="s">
        <v>2655</v>
      </c>
      <c r="C46" s="185" t="s">
        <v>2656</v>
      </c>
      <c r="D46" s="185">
        <v>52972244</v>
      </c>
      <c r="E46" s="185" t="s">
        <v>2520</v>
      </c>
      <c r="F46" s="185">
        <v>2013</v>
      </c>
      <c r="G46" s="185">
        <v>3134812715</v>
      </c>
      <c r="H46" s="185" t="s">
        <v>2657</v>
      </c>
      <c r="I46" s="185" t="s">
        <v>2658</v>
      </c>
      <c r="J46" s="185" t="s">
        <v>2659</v>
      </c>
      <c r="K46" s="185" t="s">
        <v>2660</v>
      </c>
      <c r="L46" s="185" t="s">
        <v>2661</v>
      </c>
      <c r="M46" s="185" t="s">
        <v>2662</v>
      </c>
      <c r="N46" s="185">
        <v>4269700</v>
      </c>
      <c r="O46" s="188"/>
      <c r="P46" s="185" t="s">
        <v>1092</v>
      </c>
      <c r="Q46" s="185" t="s">
        <v>3</v>
      </c>
      <c r="R46" s="185" t="s">
        <v>1092</v>
      </c>
      <c r="S46" s="185" t="s">
        <v>1092</v>
      </c>
      <c r="T46" s="185" t="s">
        <v>1092</v>
      </c>
      <c r="U46" s="185" t="s">
        <v>1092</v>
      </c>
      <c r="V46" s="185" t="s">
        <v>2</v>
      </c>
      <c r="W46" s="185" t="s">
        <v>3</v>
      </c>
      <c r="X46" s="185" t="s">
        <v>3</v>
      </c>
      <c r="Y46" s="185" t="s">
        <v>3</v>
      </c>
      <c r="Z46" s="185" t="s">
        <v>3</v>
      </c>
      <c r="AA46" s="185" t="s">
        <v>3</v>
      </c>
      <c r="AB46" s="185" t="s">
        <v>2</v>
      </c>
      <c r="AC46" s="185" t="s">
        <v>3</v>
      </c>
      <c r="AD46" s="185" t="s">
        <v>1092</v>
      </c>
      <c r="AE46" s="185" t="s">
        <v>1092</v>
      </c>
      <c r="AF46" s="185" t="s">
        <v>1092</v>
      </c>
      <c r="AG46" s="185" t="s">
        <v>1092</v>
      </c>
      <c r="AH46" s="185" t="s">
        <v>1093</v>
      </c>
      <c r="AI46" s="185" t="s">
        <v>3</v>
      </c>
      <c r="AJ46" s="185" t="s">
        <v>1092</v>
      </c>
      <c r="AK46" s="185" t="s">
        <v>1092</v>
      </c>
      <c r="AL46" s="185" t="s">
        <v>3</v>
      </c>
      <c r="AM46" s="185" t="s">
        <v>2</v>
      </c>
      <c r="AN46" s="185" t="s">
        <v>2</v>
      </c>
      <c r="AO46" s="185" t="s">
        <v>3</v>
      </c>
      <c r="AP46" s="185" t="s">
        <v>2</v>
      </c>
      <c r="AQ46" s="185" t="s">
        <v>3</v>
      </c>
      <c r="AR46" s="185" t="s">
        <v>3</v>
      </c>
      <c r="AS46" s="185" t="s">
        <v>1092</v>
      </c>
      <c r="AT46" s="191" t="s">
        <v>1092</v>
      </c>
      <c r="AU46" s="185" t="s">
        <v>2663</v>
      </c>
      <c r="AV46" s="185" t="s">
        <v>1902</v>
      </c>
    </row>
    <row r="47" spans="1:48" thickBot="1" x14ac:dyDescent="0.3">
      <c r="A47" s="184">
        <v>42942.335550347227</v>
      </c>
      <c r="B47" s="185" t="s">
        <v>2070</v>
      </c>
      <c r="C47" s="185" t="s">
        <v>2071</v>
      </c>
      <c r="D47" s="185">
        <v>52972886</v>
      </c>
      <c r="E47" s="185" t="s">
        <v>1896</v>
      </c>
      <c r="F47" s="185">
        <v>2006</v>
      </c>
      <c r="G47" s="185">
        <v>3045443352</v>
      </c>
      <c r="H47" s="185" t="s">
        <v>2072</v>
      </c>
      <c r="I47" s="185" t="s">
        <v>2074</v>
      </c>
      <c r="J47" s="185" t="s">
        <v>2074</v>
      </c>
      <c r="K47" s="188"/>
      <c r="L47" s="188"/>
      <c r="M47" s="185" t="s">
        <v>2075</v>
      </c>
      <c r="N47" s="185">
        <v>2345831</v>
      </c>
      <c r="O47" s="188"/>
      <c r="P47" s="185" t="s">
        <v>1093</v>
      </c>
      <c r="Q47" s="185" t="s">
        <v>1093</v>
      </c>
      <c r="R47" s="185" t="s">
        <v>1092</v>
      </c>
      <c r="S47" s="185" t="s">
        <v>3</v>
      </c>
      <c r="T47" s="185" t="s">
        <v>3</v>
      </c>
      <c r="U47" s="185" t="s">
        <v>2</v>
      </c>
      <c r="V47" s="185" t="s">
        <v>2</v>
      </c>
      <c r="W47" s="185" t="s">
        <v>1092</v>
      </c>
      <c r="X47" s="185" t="s">
        <v>3</v>
      </c>
      <c r="Y47" s="185" t="s">
        <v>3</v>
      </c>
      <c r="Z47" s="185" t="s">
        <v>3</v>
      </c>
      <c r="AA47" s="185" t="s">
        <v>3</v>
      </c>
      <c r="AB47" s="185" t="s">
        <v>1092</v>
      </c>
      <c r="AC47" s="185" t="s">
        <v>1092</v>
      </c>
      <c r="AD47" s="185" t="s">
        <v>3</v>
      </c>
      <c r="AE47" s="185" t="s">
        <v>3</v>
      </c>
      <c r="AF47" s="185" t="s">
        <v>3</v>
      </c>
      <c r="AG47" s="185" t="s">
        <v>2</v>
      </c>
      <c r="AH47" s="185" t="s">
        <v>1092</v>
      </c>
      <c r="AI47" s="185" t="s">
        <v>1092</v>
      </c>
      <c r="AJ47" s="185" t="s">
        <v>1092</v>
      </c>
      <c r="AK47" s="185" t="s">
        <v>1092</v>
      </c>
      <c r="AL47" s="185" t="s">
        <v>1092</v>
      </c>
      <c r="AM47" s="185" t="s">
        <v>2</v>
      </c>
      <c r="AN47" s="185" t="s">
        <v>2</v>
      </c>
      <c r="AO47" s="185" t="s">
        <v>3</v>
      </c>
      <c r="AP47" s="185" t="s">
        <v>3</v>
      </c>
      <c r="AQ47" s="185" t="s">
        <v>1092</v>
      </c>
      <c r="AR47" s="185" t="s">
        <v>3</v>
      </c>
      <c r="AS47" s="185" t="s">
        <v>1092</v>
      </c>
      <c r="AT47" s="190" t="s">
        <v>1092</v>
      </c>
      <c r="AU47" s="185" t="s">
        <v>2073</v>
      </c>
      <c r="AV47" s="185" t="s">
        <v>1902</v>
      </c>
    </row>
    <row r="48" spans="1:48" thickBot="1" x14ac:dyDescent="0.3">
      <c r="A48" s="184">
        <v>42942.365745555551</v>
      </c>
      <c r="B48" s="185" t="s">
        <v>2076</v>
      </c>
      <c r="C48" s="185" t="s">
        <v>2077</v>
      </c>
      <c r="D48" s="185">
        <v>80237244</v>
      </c>
      <c r="E48" s="185" t="s">
        <v>1896</v>
      </c>
      <c r="F48" s="185">
        <v>2008</v>
      </c>
      <c r="G48" s="185">
        <v>3132079413</v>
      </c>
      <c r="H48" s="185" t="s">
        <v>2078</v>
      </c>
      <c r="I48" s="185" t="s">
        <v>2080</v>
      </c>
      <c r="J48" s="185" t="s">
        <v>2081</v>
      </c>
      <c r="K48" s="185" t="s">
        <v>2082</v>
      </c>
      <c r="L48" s="188"/>
      <c r="M48" s="188"/>
      <c r="N48" s="185">
        <v>3132079413</v>
      </c>
      <c r="O48" s="188"/>
      <c r="P48" s="185" t="s">
        <v>3</v>
      </c>
      <c r="Q48" s="185" t="s">
        <v>3</v>
      </c>
      <c r="R48" s="185" t="s">
        <v>3</v>
      </c>
      <c r="S48" s="185" t="s">
        <v>3</v>
      </c>
      <c r="T48" s="185" t="s">
        <v>5</v>
      </c>
      <c r="U48" s="185" t="s">
        <v>5</v>
      </c>
      <c r="V48" s="185" t="s">
        <v>2</v>
      </c>
      <c r="W48" s="185" t="s">
        <v>2</v>
      </c>
      <c r="X48" s="185" t="s">
        <v>3</v>
      </c>
      <c r="Y48" s="185" t="s">
        <v>3</v>
      </c>
      <c r="Z48" s="185" t="s">
        <v>3</v>
      </c>
      <c r="AA48" s="185" t="s">
        <v>2</v>
      </c>
      <c r="AB48" s="185" t="s">
        <v>3</v>
      </c>
      <c r="AC48" s="185" t="s">
        <v>2</v>
      </c>
      <c r="AD48" s="185" t="s">
        <v>3</v>
      </c>
      <c r="AE48" s="185" t="s">
        <v>3</v>
      </c>
      <c r="AF48" s="185" t="s">
        <v>1092</v>
      </c>
      <c r="AG48" s="185" t="s">
        <v>2</v>
      </c>
      <c r="AH48" s="185" t="s">
        <v>3</v>
      </c>
      <c r="AI48" s="185" t="s">
        <v>2</v>
      </c>
      <c r="AJ48" s="185" t="s">
        <v>2</v>
      </c>
      <c r="AK48" s="185" t="s">
        <v>1092</v>
      </c>
      <c r="AL48" s="185" t="s">
        <v>3</v>
      </c>
      <c r="AM48" s="185" t="s">
        <v>2</v>
      </c>
      <c r="AN48" s="185" t="s">
        <v>2</v>
      </c>
      <c r="AO48" s="185" t="s">
        <v>2</v>
      </c>
      <c r="AP48" s="185" t="s">
        <v>3</v>
      </c>
      <c r="AQ48" s="185" t="s">
        <v>1092</v>
      </c>
      <c r="AR48" s="185" t="s">
        <v>3</v>
      </c>
      <c r="AS48" s="185" t="s">
        <v>1092</v>
      </c>
      <c r="AT48" s="190" t="s">
        <v>1092</v>
      </c>
      <c r="AU48" s="185" t="s">
        <v>2079</v>
      </c>
      <c r="AV48" s="185" t="s">
        <v>1902</v>
      </c>
    </row>
    <row r="49" spans="1:48" thickBot="1" x14ac:dyDescent="0.3">
      <c r="A49" s="184">
        <v>42942.413845636576</v>
      </c>
      <c r="B49" s="185" t="s">
        <v>2664</v>
      </c>
      <c r="C49" s="185" t="s">
        <v>2665</v>
      </c>
      <c r="D49" s="185">
        <v>80131471</v>
      </c>
      <c r="E49" s="185" t="s">
        <v>2520</v>
      </c>
      <c r="F49" s="185">
        <v>2014</v>
      </c>
      <c r="G49" s="185">
        <v>3115669828</v>
      </c>
      <c r="H49" s="185" t="s">
        <v>2666</v>
      </c>
      <c r="I49" s="185" t="s">
        <v>2037</v>
      </c>
      <c r="J49" s="185" t="s">
        <v>2667</v>
      </c>
      <c r="K49" s="185" t="s">
        <v>2668</v>
      </c>
      <c r="L49" s="185" t="s">
        <v>2669</v>
      </c>
      <c r="M49" s="188"/>
      <c r="N49" s="188"/>
      <c r="O49" s="188"/>
      <c r="P49" s="185" t="s">
        <v>3</v>
      </c>
      <c r="Q49" s="185" t="s">
        <v>3</v>
      </c>
      <c r="R49" s="185" t="s">
        <v>1092</v>
      </c>
      <c r="S49" s="185" t="s">
        <v>1092</v>
      </c>
      <c r="T49" s="185" t="s">
        <v>1092</v>
      </c>
      <c r="U49" s="185" t="s">
        <v>1092</v>
      </c>
      <c r="V49" s="185" t="s">
        <v>2</v>
      </c>
      <c r="W49" s="185" t="s">
        <v>2</v>
      </c>
      <c r="X49" s="185" t="s">
        <v>1092</v>
      </c>
      <c r="Y49" s="185" t="s">
        <v>1092</v>
      </c>
      <c r="Z49" s="185" t="s">
        <v>1092</v>
      </c>
      <c r="AA49" s="185" t="s">
        <v>2</v>
      </c>
      <c r="AB49" s="185" t="s">
        <v>2</v>
      </c>
      <c r="AC49" s="185" t="s">
        <v>1092</v>
      </c>
      <c r="AD49" s="185" t="s">
        <v>3</v>
      </c>
      <c r="AE49" s="185" t="s">
        <v>1092</v>
      </c>
      <c r="AF49" s="185" t="s">
        <v>1092</v>
      </c>
      <c r="AG49" s="185" t="s">
        <v>2</v>
      </c>
      <c r="AH49" s="185" t="s">
        <v>1</v>
      </c>
      <c r="AI49" s="185" t="s">
        <v>1</v>
      </c>
      <c r="AJ49" s="185" t="s">
        <v>1092</v>
      </c>
      <c r="AK49" s="185" t="s">
        <v>1092</v>
      </c>
      <c r="AL49" s="185" t="s">
        <v>3</v>
      </c>
      <c r="AM49" s="185" t="s">
        <v>1092</v>
      </c>
      <c r="AN49" s="185" t="s">
        <v>5</v>
      </c>
      <c r="AO49" s="185" t="s">
        <v>3</v>
      </c>
      <c r="AP49" s="185" t="s">
        <v>3</v>
      </c>
      <c r="AQ49" s="185" t="s">
        <v>1092</v>
      </c>
      <c r="AR49" s="185" t="s">
        <v>1092</v>
      </c>
      <c r="AS49" s="185" t="s">
        <v>1092</v>
      </c>
      <c r="AT49" s="190" t="s">
        <v>1092</v>
      </c>
      <c r="AU49" s="188"/>
      <c r="AV49" s="185" t="s">
        <v>1953</v>
      </c>
    </row>
    <row r="50" spans="1:48" thickBot="1" x14ac:dyDescent="0.3">
      <c r="A50" s="184">
        <v>42942.48413055556</v>
      </c>
      <c r="B50" s="185" t="s">
        <v>2083</v>
      </c>
      <c r="C50" s="185" t="s">
        <v>2084</v>
      </c>
      <c r="D50" s="185">
        <v>80024578</v>
      </c>
      <c r="E50" s="185" t="s">
        <v>1896</v>
      </c>
      <c r="F50" s="185">
        <v>2010</v>
      </c>
      <c r="G50" s="185">
        <v>3188779299</v>
      </c>
      <c r="H50" s="185" t="s">
        <v>2085</v>
      </c>
      <c r="I50" s="185" t="s">
        <v>1949</v>
      </c>
      <c r="J50" s="185" t="s">
        <v>2086</v>
      </c>
      <c r="K50" s="188"/>
      <c r="L50" s="188"/>
      <c r="M50" s="188"/>
      <c r="N50" s="188"/>
      <c r="O50" s="188"/>
      <c r="P50" s="185" t="s">
        <v>3</v>
      </c>
      <c r="Q50" s="185" t="s">
        <v>3</v>
      </c>
      <c r="R50" s="185" t="s">
        <v>3</v>
      </c>
      <c r="S50" s="185" t="s">
        <v>3</v>
      </c>
      <c r="T50" s="185" t="s">
        <v>3</v>
      </c>
      <c r="U50" s="185" t="s">
        <v>3</v>
      </c>
      <c r="V50" s="185" t="s">
        <v>1092</v>
      </c>
      <c r="W50" s="185" t="s">
        <v>1092</v>
      </c>
      <c r="X50" s="185" t="s">
        <v>1092</v>
      </c>
      <c r="Y50" s="185" t="s">
        <v>1092</v>
      </c>
      <c r="Z50" s="185" t="s">
        <v>1092</v>
      </c>
      <c r="AA50" s="185" t="s">
        <v>3</v>
      </c>
      <c r="AB50" s="185" t="s">
        <v>3</v>
      </c>
      <c r="AC50" s="185" t="s">
        <v>3</v>
      </c>
      <c r="AD50" s="185" t="s">
        <v>3</v>
      </c>
      <c r="AE50" s="185" t="s">
        <v>3</v>
      </c>
      <c r="AF50" s="185" t="s">
        <v>3</v>
      </c>
      <c r="AG50" s="185" t="s">
        <v>3</v>
      </c>
      <c r="AH50" s="185" t="s">
        <v>3</v>
      </c>
      <c r="AI50" s="185" t="s">
        <v>3</v>
      </c>
      <c r="AJ50" s="185" t="s">
        <v>1092</v>
      </c>
      <c r="AK50" s="185" t="s">
        <v>1092</v>
      </c>
      <c r="AL50" s="185" t="s">
        <v>1092</v>
      </c>
      <c r="AM50" s="185" t="s">
        <v>3</v>
      </c>
      <c r="AN50" s="185" t="s">
        <v>3</v>
      </c>
      <c r="AO50" s="185" t="s">
        <v>3</v>
      </c>
      <c r="AP50" s="185" t="s">
        <v>3</v>
      </c>
      <c r="AQ50" s="185" t="s">
        <v>5</v>
      </c>
      <c r="AR50" s="185" t="s">
        <v>3</v>
      </c>
      <c r="AS50" s="185" t="s">
        <v>3</v>
      </c>
      <c r="AT50" s="191" t="s">
        <v>3</v>
      </c>
      <c r="AU50" s="188"/>
      <c r="AV50" s="185" t="s">
        <v>1902</v>
      </c>
    </row>
    <row r="51" spans="1:48" thickBot="1" x14ac:dyDescent="0.3">
      <c r="A51" s="184">
        <v>42942.706739745372</v>
      </c>
      <c r="B51" s="185" t="s">
        <v>2087</v>
      </c>
      <c r="C51" s="185" t="s">
        <v>2088</v>
      </c>
      <c r="D51" s="185">
        <v>52850099</v>
      </c>
      <c r="E51" s="185" t="s">
        <v>1896</v>
      </c>
      <c r="F51" s="185">
        <v>2003</v>
      </c>
      <c r="G51" s="185">
        <v>3103122367</v>
      </c>
      <c r="H51" s="185" t="s">
        <v>2089</v>
      </c>
      <c r="I51" s="185" t="s">
        <v>2090</v>
      </c>
      <c r="J51" s="185" t="s">
        <v>2091</v>
      </c>
      <c r="K51" s="185" t="s">
        <v>2082</v>
      </c>
      <c r="L51" s="188"/>
      <c r="M51" s="188"/>
      <c r="N51" s="188"/>
      <c r="O51" s="188"/>
      <c r="P51" s="185" t="s">
        <v>5</v>
      </c>
      <c r="Q51" s="185" t="s">
        <v>5</v>
      </c>
      <c r="R51" s="185" t="s">
        <v>2</v>
      </c>
      <c r="S51" s="185" t="s">
        <v>1</v>
      </c>
      <c r="T51" s="185" t="s">
        <v>5</v>
      </c>
      <c r="U51" s="185" t="s">
        <v>5</v>
      </c>
      <c r="V51" s="185" t="s">
        <v>1</v>
      </c>
      <c r="W51" s="185" t="s">
        <v>1</v>
      </c>
      <c r="X51" s="185" t="s">
        <v>2</v>
      </c>
      <c r="Y51" s="185" t="s">
        <v>2</v>
      </c>
      <c r="Z51" s="185" t="s">
        <v>2</v>
      </c>
      <c r="AA51" s="185" t="s">
        <v>2</v>
      </c>
      <c r="AB51" s="185" t="s">
        <v>1</v>
      </c>
      <c r="AC51" s="185" t="s">
        <v>2</v>
      </c>
      <c r="AD51" s="185" t="s">
        <v>2</v>
      </c>
      <c r="AE51" s="185" t="s">
        <v>2</v>
      </c>
      <c r="AF51" s="185" t="s">
        <v>2</v>
      </c>
      <c r="AG51" s="185" t="s">
        <v>2</v>
      </c>
      <c r="AH51" s="185" t="s">
        <v>3</v>
      </c>
      <c r="AI51" s="185" t="s">
        <v>1</v>
      </c>
      <c r="AJ51" s="185" t="s">
        <v>3</v>
      </c>
      <c r="AK51" s="185" t="s">
        <v>3</v>
      </c>
      <c r="AL51" s="185" t="s">
        <v>2</v>
      </c>
      <c r="AM51" s="185" t="s">
        <v>2</v>
      </c>
      <c r="AN51" s="185" t="s">
        <v>5</v>
      </c>
      <c r="AO51" s="185" t="s">
        <v>2</v>
      </c>
      <c r="AP51" s="185" t="s">
        <v>1</v>
      </c>
      <c r="AQ51" s="185" t="s">
        <v>1093</v>
      </c>
      <c r="AR51" s="185" t="s">
        <v>2</v>
      </c>
      <c r="AS51" s="185" t="s">
        <v>3</v>
      </c>
      <c r="AT51" s="191" t="s">
        <v>3</v>
      </c>
      <c r="AU51" s="188"/>
      <c r="AV51" s="188"/>
    </row>
    <row r="52" spans="1:48" ht="27" thickBot="1" x14ac:dyDescent="0.3">
      <c r="A52" s="184">
        <v>42942.8591547338</v>
      </c>
      <c r="B52" s="185" t="s">
        <v>2670</v>
      </c>
      <c r="C52" s="185" t="s">
        <v>2671</v>
      </c>
      <c r="D52" s="185">
        <v>1032388280</v>
      </c>
      <c r="E52" s="185" t="s">
        <v>2520</v>
      </c>
      <c r="F52" s="185">
        <v>2012</v>
      </c>
      <c r="G52" s="185">
        <v>3012217164</v>
      </c>
      <c r="H52" s="185" t="s">
        <v>2672</v>
      </c>
      <c r="I52" s="185" t="s">
        <v>2673</v>
      </c>
      <c r="J52" s="185" t="s">
        <v>2674</v>
      </c>
      <c r="K52" s="185" t="s">
        <v>2675</v>
      </c>
      <c r="L52" s="185" t="s">
        <v>2676</v>
      </c>
      <c r="M52" s="185" t="s">
        <v>2677</v>
      </c>
      <c r="N52" s="185">
        <v>4269700</v>
      </c>
      <c r="O52" s="188"/>
      <c r="P52" s="185" t="s">
        <v>3</v>
      </c>
      <c r="Q52" s="185" t="s">
        <v>3</v>
      </c>
      <c r="R52" s="185" t="s">
        <v>1092</v>
      </c>
      <c r="S52" s="185" t="s">
        <v>2</v>
      </c>
      <c r="T52" s="185" t="s">
        <v>3</v>
      </c>
      <c r="U52" s="185" t="s">
        <v>3</v>
      </c>
      <c r="V52" s="185" t="s">
        <v>1093</v>
      </c>
      <c r="W52" s="185" t="s">
        <v>3</v>
      </c>
      <c r="X52" s="185" t="s">
        <v>1092</v>
      </c>
      <c r="Y52" s="185" t="s">
        <v>2</v>
      </c>
      <c r="Z52" s="185" t="s">
        <v>3</v>
      </c>
      <c r="AA52" s="185" t="s">
        <v>3</v>
      </c>
      <c r="AB52" s="185" t="s">
        <v>1</v>
      </c>
      <c r="AC52" s="185" t="s">
        <v>2</v>
      </c>
      <c r="AD52" s="185" t="s">
        <v>3</v>
      </c>
      <c r="AE52" s="185" t="s">
        <v>3</v>
      </c>
      <c r="AF52" s="185" t="s">
        <v>3</v>
      </c>
      <c r="AG52" s="185" t="s">
        <v>2</v>
      </c>
      <c r="AH52" s="185" t="s">
        <v>1092</v>
      </c>
      <c r="AI52" s="185" t="s">
        <v>3</v>
      </c>
      <c r="AJ52" s="185" t="s">
        <v>1092</v>
      </c>
      <c r="AK52" s="185" t="s">
        <v>1092</v>
      </c>
      <c r="AL52" s="185" t="s">
        <v>2</v>
      </c>
      <c r="AM52" s="185" t="s">
        <v>2</v>
      </c>
      <c r="AN52" s="185" t="s">
        <v>2</v>
      </c>
      <c r="AO52" s="185" t="s">
        <v>3</v>
      </c>
      <c r="AP52" s="185" t="s">
        <v>3</v>
      </c>
      <c r="AQ52" s="185" t="s">
        <v>3</v>
      </c>
      <c r="AR52" s="185" t="s">
        <v>3</v>
      </c>
      <c r="AS52" s="185" t="s">
        <v>1092</v>
      </c>
      <c r="AT52" s="191" t="s">
        <v>1092</v>
      </c>
      <c r="AU52" s="185" t="s">
        <v>2502</v>
      </c>
      <c r="AV52" s="185" t="s">
        <v>1902</v>
      </c>
    </row>
    <row r="53" spans="1:48" ht="13.5" thickBot="1" x14ac:dyDescent="0.25">
      <c r="A53" s="184">
        <v>42943.352205127318</v>
      </c>
      <c r="B53" s="185" t="s">
        <v>2092</v>
      </c>
      <c r="C53" s="185" t="s">
        <v>2093</v>
      </c>
      <c r="D53" s="185">
        <v>79919958</v>
      </c>
      <c r="E53" s="185" t="s">
        <v>1896</v>
      </c>
      <c r="F53" s="185">
        <v>2007</v>
      </c>
      <c r="G53" s="185">
        <v>3156022241</v>
      </c>
      <c r="H53" s="185" t="s">
        <v>2094</v>
      </c>
      <c r="I53" s="185" t="s">
        <v>2096</v>
      </c>
      <c r="J53" s="185" t="s">
        <v>2097</v>
      </c>
      <c r="K53" s="185" t="s">
        <v>2098</v>
      </c>
      <c r="L53" s="185" t="s">
        <v>2099</v>
      </c>
      <c r="M53" s="185" t="s">
        <v>2100</v>
      </c>
      <c r="N53" s="185">
        <v>7464002</v>
      </c>
      <c r="O53" s="185" t="s">
        <v>2101</v>
      </c>
      <c r="P53" s="185" t="s">
        <v>3</v>
      </c>
      <c r="Q53" s="185" t="s">
        <v>1092</v>
      </c>
      <c r="R53" s="185" t="s">
        <v>1092</v>
      </c>
      <c r="S53" s="185" t="s">
        <v>1092</v>
      </c>
      <c r="T53" s="185" t="s">
        <v>1092</v>
      </c>
      <c r="U53" s="185" t="s">
        <v>1092</v>
      </c>
      <c r="V53" s="185" t="s">
        <v>3</v>
      </c>
      <c r="W53" s="185" t="s">
        <v>1092</v>
      </c>
      <c r="X53" s="185" t="s">
        <v>1092</v>
      </c>
      <c r="Y53" s="185" t="s">
        <v>1092</v>
      </c>
      <c r="Z53" s="185" t="s">
        <v>1092</v>
      </c>
      <c r="AA53" s="185" t="s">
        <v>1092</v>
      </c>
      <c r="AB53" s="185" t="s">
        <v>1092</v>
      </c>
      <c r="AC53" s="185" t="s">
        <v>1092</v>
      </c>
      <c r="AD53" s="185" t="s">
        <v>1092</v>
      </c>
      <c r="AE53" s="185" t="s">
        <v>1092</v>
      </c>
      <c r="AF53" s="185" t="s">
        <v>1092</v>
      </c>
      <c r="AG53" s="185" t="s">
        <v>1092</v>
      </c>
      <c r="AH53" s="185" t="s">
        <v>1092</v>
      </c>
      <c r="AI53" s="185" t="s">
        <v>1092</v>
      </c>
      <c r="AJ53" s="185" t="s">
        <v>1092</v>
      </c>
      <c r="AK53" s="185" t="s">
        <v>3</v>
      </c>
      <c r="AL53" s="185" t="s">
        <v>3</v>
      </c>
      <c r="AM53" s="185" t="s">
        <v>2</v>
      </c>
      <c r="AN53" s="185" t="s">
        <v>3</v>
      </c>
      <c r="AO53" s="185" t="s">
        <v>1092</v>
      </c>
      <c r="AP53" s="185" t="s">
        <v>1092</v>
      </c>
      <c r="AQ53" s="185" t="s">
        <v>1092</v>
      </c>
      <c r="AR53" s="185" t="s">
        <v>1092</v>
      </c>
      <c r="AS53" s="185" t="s">
        <v>1092</v>
      </c>
      <c r="AT53" s="190" t="s">
        <v>1092</v>
      </c>
      <c r="AU53" s="185" t="s">
        <v>2095</v>
      </c>
      <c r="AV53" s="185" t="s">
        <v>1902</v>
      </c>
    </row>
    <row r="54" spans="1:48" thickBot="1" x14ac:dyDescent="0.3">
      <c r="A54" s="184">
        <v>42943.48047263889</v>
      </c>
      <c r="B54" s="185" t="s">
        <v>2102</v>
      </c>
      <c r="C54" s="185" t="s">
        <v>2103</v>
      </c>
      <c r="D54" s="185">
        <v>79969585</v>
      </c>
      <c r="E54" s="185" t="s">
        <v>1896</v>
      </c>
      <c r="F54" s="185">
        <v>2014</v>
      </c>
      <c r="G54" s="185">
        <v>3202314448</v>
      </c>
      <c r="H54" s="185" t="s">
        <v>2104</v>
      </c>
      <c r="I54" s="185" t="s">
        <v>2105</v>
      </c>
      <c r="J54" s="185" t="s">
        <v>2106</v>
      </c>
      <c r="K54" s="185" t="s">
        <v>2039</v>
      </c>
      <c r="L54" s="188"/>
      <c r="M54" s="188"/>
      <c r="N54" s="188"/>
      <c r="O54" s="188"/>
      <c r="P54" s="185" t="s">
        <v>3</v>
      </c>
      <c r="Q54" s="185" t="s">
        <v>3</v>
      </c>
      <c r="R54" s="185" t="s">
        <v>1092</v>
      </c>
      <c r="S54" s="185" t="s">
        <v>3</v>
      </c>
      <c r="T54" s="185" t="s">
        <v>3</v>
      </c>
      <c r="U54" s="185" t="s">
        <v>5</v>
      </c>
      <c r="V54" s="185" t="s">
        <v>1</v>
      </c>
      <c r="W54" s="185" t="s">
        <v>3</v>
      </c>
      <c r="X54" s="185" t="s">
        <v>3</v>
      </c>
      <c r="Y54" s="185" t="s">
        <v>3</v>
      </c>
      <c r="Z54" s="185" t="s">
        <v>3</v>
      </c>
      <c r="AA54" s="185" t="s">
        <v>1092</v>
      </c>
      <c r="AB54" s="185" t="s">
        <v>3</v>
      </c>
      <c r="AC54" s="185" t="s">
        <v>3</v>
      </c>
      <c r="AD54" s="185" t="s">
        <v>3</v>
      </c>
      <c r="AE54" s="185" t="s">
        <v>3</v>
      </c>
      <c r="AF54" s="185" t="s">
        <v>3</v>
      </c>
      <c r="AG54" s="185" t="s">
        <v>3</v>
      </c>
      <c r="AH54" s="185" t="s">
        <v>3</v>
      </c>
      <c r="AI54" s="185" t="s">
        <v>5</v>
      </c>
      <c r="AJ54" s="185" t="s">
        <v>3</v>
      </c>
      <c r="AK54" s="185" t="s">
        <v>1092</v>
      </c>
      <c r="AL54" s="185" t="s">
        <v>1092</v>
      </c>
      <c r="AM54" s="185" t="s">
        <v>5</v>
      </c>
      <c r="AN54" s="185" t="s">
        <v>5</v>
      </c>
      <c r="AO54" s="185" t="s">
        <v>3</v>
      </c>
      <c r="AP54" s="185" t="s">
        <v>3</v>
      </c>
      <c r="AQ54" s="185" t="s">
        <v>2</v>
      </c>
      <c r="AR54" s="185" t="s">
        <v>3</v>
      </c>
      <c r="AS54" s="185" t="s">
        <v>3</v>
      </c>
      <c r="AT54" s="191" t="s">
        <v>3</v>
      </c>
      <c r="AU54" s="188"/>
      <c r="AV54" s="185" t="s">
        <v>1902</v>
      </c>
    </row>
    <row r="55" spans="1:48" ht="13.5" thickBot="1" x14ac:dyDescent="0.25">
      <c r="A55" s="184">
        <v>42943.818847002316</v>
      </c>
      <c r="B55" s="185" t="s">
        <v>2107</v>
      </c>
      <c r="C55" s="185" t="s">
        <v>2108</v>
      </c>
      <c r="D55" s="185">
        <v>79470944</v>
      </c>
      <c r="E55" s="185" t="s">
        <v>1896</v>
      </c>
      <c r="F55" s="185">
        <v>2011</v>
      </c>
      <c r="G55" s="185">
        <v>3156106213</v>
      </c>
      <c r="H55" s="185" t="s">
        <v>2109</v>
      </c>
      <c r="I55" s="185" t="s">
        <v>2111</v>
      </c>
      <c r="J55" s="185" t="s">
        <v>2112</v>
      </c>
      <c r="K55" s="185" t="s">
        <v>2113</v>
      </c>
      <c r="L55" s="185" t="s">
        <v>2114</v>
      </c>
      <c r="M55" s="185" t="s">
        <v>2109</v>
      </c>
      <c r="N55" s="185">
        <v>3156106213</v>
      </c>
      <c r="O55" s="185" t="s">
        <v>1094</v>
      </c>
      <c r="P55" s="185" t="s">
        <v>2</v>
      </c>
      <c r="Q55" s="185" t="s">
        <v>3</v>
      </c>
      <c r="R55" s="185" t="s">
        <v>1092</v>
      </c>
      <c r="S55" s="185" t="s">
        <v>1092</v>
      </c>
      <c r="T55" s="185" t="s">
        <v>3</v>
      </c>
      <c r="U55" s="185" t="s">
        <v>3</v>
      </c>
      <c r="V55" s="185" t="s">
        <v>2</v>
      </c>
      <c r="W55" s="185" t="s">
        <v>3</v>
      </c>
      <c r="X55" s="185" t="s">
        <v>3</v>
      </c>
      <c r="Y55" s="185" t="s">
        <v>1092</v>
      </c>
      <c r="Z55" s="185" t="s">
        <v>3</v>
      </c>
      <c r="AA55" s="185" t="s">
        <v>2</v>
      </c>
      <c r="AB55" s="185" t="s">
        <v>1</v>
      </c>
      <c r="AC55" s="185" t="s">
        <v>3</v>
      </c>
      <c r="AD55" s="185" t="s">
        <v>3</v>
      </c>
      <c r="AE55" s="185" t="s">
        <v>1092</v>
      </c>
      <c r="AF55" s="185" t="s">
        <v>1092</v>
      </c>
      <c r="AG55" s="185" t="s">
        <v>3</v>
      </c>
      <c r="AH55" s="185" t="s">
        <v>3</v>
      </c>
      <c r="AI55" s="185" t="s">
        <v>3</v>
      </c>
      <c r="AJ55" s="185" t="s">
        <v>2</v>
      </c>
      <c r="AK55" s="185" t="s">
        <v>3</v>
      </c>
      <c r="AL55" s="185" t="s">
        <v>3</v>
      </c>
      <c r="AM55" s="185" t="s">
        <v>3</v>
      </c>
      <c r="AN55" s="185" t="s">
        <v>3</v>
      </c>
      <c r="AO55" s="185" t="s">
        <v>3</v>
      </c>
      <c r="AP55" s="185" t="s">
        <v>3</v>
      </c>
      <c r="AQ55" s="185" t="s">
        <v>2</v>
      </c>
      <c r="AR55" s="185" t="s">
        <v>3</v>
      </c>
      <c r="AS55" s="185" t="s">
        <v>3</v>
      </c>
      <c r="AT55" s="191" t="s">
        <v>3</v>
      </c>
      <c r="AU55" s="185" t="s">
        <v>2110</v>
      </c>
      <c r="AV55" s="185" t="s">
        <v>1902</v>
      </c>
    </row>
    <row r="56" spans="1:48" thickBot="1" x14ac:dyDescent="0.3">
      <c r="A56" s="184">
        <v>42943.900826562502</v>
      </c>
      <c r="B56" s="185" t="s">
        <v>2678</v>
      </c>
      <c r="C56" s="185" t="s">
        <v>2679</v>
      </c>
      <c r="D56" s="185">
        <v>80792910</v>
      </c>
      <c r="E56" s="185" t="s">
        <v>2625</v>
      </c>
      <c r="F56" s="185">
        <v>2013</v>
      </c>
      <c r="G56" s="185">
        <v>3134401888</v>
      </c>
      <c r="H56" s="185" t="s">
        <v>2680</v>
      </c>
      <c r="I56" s="185" t="s">
        <v>2681</v>
      </c>
      <c r="J56" s="185" t="s">
        <v>2682</v>
      </c>
      <c r="K56" s="185" t="s">
        <v>2683</v>
      </c>
      <c r="L56" s="185" t="s">
        <v>2684</v>
      </c>
      <c r="M56" s="185" t="s">
        <v>2685</v>
      </c>
      <c r="N56" s="188"/>
      <c r="O56" s="188"/>
      <c r="P56" s="185" t="s">
        <v>5</v>
      </c>
      <c r="Q56" s="185" t="s">
        <v>5</v>
      </c>
      <c r="R56" s="185" t="s">
        <v>1092</v>
      </c>
      <c r="S56" s="185" t="s">
        <v>3</v>
      </c>
      <c r="T56" s="185" t="s">
        <v>1092</v>
      </c>
      <c r="U56" s="185" t="s">
        <v>3</v>
      </c>
      <c r="V56" s="185" t="s">
        <v>2</v>
      </c>
      <c r="W56" s="185" t="s">
        <v>3</v>
      </c>
      <c r="X56" s="185" t="s">
        <v>3</v>
      </c>
      <c r="Y56" s="185" t="s">
        <v>3</v>
      </c>
      <c r="Z56" s="185" t="s">
        <v>1092</v>
      </c>
      <c r="AA56" s="185" t="s">
        <v>1092</v>
      </c>
      <c r="AB56" s="185" t="s">
        <v>1093</v>
      </c>
      <c r="AC56" s="185" t="s">
        <v>3</v>
      </c>
      <c r="AD56" s="185" t="s">
        <v>3</v>
      </c>
      <c r="AE56" s="185" t="s">
        <v>3</v>
      </c>
      <c r="AF56" s="185" t="s">
        <v>3</v>
      </c>
      <c r="AG56" s="185" t="s">
        <v>3</v>
      </c>
      <c r="AH56" s="185" t="s">
        <v>1092</v>
      </c>
      <c r="AI56" s="185" t="s">
        <v>1092</v>
      </c>
      <c r="AJ56" s="185" t="s">
        <v>1092</v>
      </c>
      <c r="AK56" s="185" t="s">
        <v>1092</v>
      </c>
      <c r="AL56" s="185" t="s">
        <v>1092</v>
      </c>
      <c r="AM56" s="185" t="s">
        <v>3</v>
      </c>
      <c r="AN56" s="185" t="s">
        <v>5</v>
      </c>
      <c r="AO56" s="185" t="s">
        <v>3</v>
      </c>
      <c r="AP56" s="185" t="s">
        <v>3</v>
      </c>
      <c r="AQ56" s="185" t="s">
        <v>3</v>
      </c>
      <c r="AR56" s="185" t="s">
        <v>3</v>
      </c>
      <c r="AS56" s="185" t="s">
        <v>1092</v>
      </c>
      <c r="AT56" s="190" t="s">
        <v>1092</v>
      </c>
      <c r="AU56" s="188"/>
      <c r="AV56" s="185" t="s">
        <v>1902</v>
      </c>
    </row>
    <row r="57" spans="1:48" thickBot="1" x14ac:dyDescent="0.3">
      <c r="A57" s="184">
        <v>42944.397517488425</v>
      </c>
      <c r="B57" s="185" t="s">
        <v>1679</v>
      </c>
      <c r="C57" s="185" t="s">
        <v>2115</v>
      </c>
      <c r="D57" s="185">
        <v>79968569</v>
      </c>
      <c r="E57" s="185" t="s">
        <v>1896</v>
      </c>
      <c r="F57" s="185">
        <v>2011</v>
      </c>
      <c r="G57" s="185">
        <v>3125074166</v>
      </c>
      <c r="H57" s="185" t="s">
        <v>2116</v>
      </c>
      <c r="I57" s="185" t="s">
        <v>2048</v>
      </c>
      <c r="J57" s="185" t="s">
        <v>2117</v>
      </c>
      <c r="K57" s="185" t="s">
        <v>2118</v>
      </c>
      <c r="L57" s="188"/>
      <c r="M57" s="188"/>
      <c r="N57" s="185">
        <v>8043786</v>
      </c>
      <c r="O57" s="185" t="s">
        <v>2119</v>
      </c>
      <c r="P57" s="185" t="s">
        <v>1092</v>
      </c>
      <c r="Q57" s="185" t="s">
        <v>1092</v>
      </c>
      <c r="R57" s="185" t="s">
        <v>3</v>
      </c>
      <c r="S57" s="185" t="s">
        <v>1092</v>
      </c>
      <c r="T57" s="185" t="s">
        <v>3</v>
      </c>
      <c r="U57" s="185" t="s">
        <v>3</v>
      </c>
      <c r="V57" s="185" t="s">
        <v>5</v>
      </c>
      <c r="W57" s="185" t="s">
        <v>5</v>
      </c>
      <c r="X57" s="185" t="s">
        <v>1092</v>
      </c>
      <c r="Y57" s="185" t="s">
        <v>1092</v>
      </c>
      <c r="Z57" s="185" t="s">
        <v>3</v>
      </c>
      <c r="AA57" s="185" t="s">
        <v>3</v>
      </c>
      <c r="AB57" s="185" t="s">
        <v>1092</v>
      </c>
      <c r="AC57" s="185" t="s">
        <v>1092</v>
      </c>
      <c r="AD57" s="185" t="s">
        <v>1092</v>
      </c>
      <c r="AE57" s="185" t="s">
        <v>3</v>
      </c>
      <c r="AF57" s="185" t="s">
        <v>5</v>
      </c>
      <c r="AG57" s="185" t="s">
        <v>3</v>
      </c>
      <c r="AH57" s="185" t="s">
        <v>1092</v>
      </c>
      <c r="AI57" s="185" t="s">
        <v>1092</v>
      </c>
      <c r="AJ57" s="185" t="s">
        <v>3</v>
      </c>
      <c r="AK57" s="185" t="s">
        <v>5</v>
      </c>
      <c r="AL57" s="185" t="s">
        <v>3</v>
      </c>
      <c r="AM57" s="185" t="s">
        <v>1092</v>
      </c>
      <c r="AN57" s="185" t="s">
        <v>5</v>
      </c>
      <c r="AO57" s="185" t="s">
        <v>3</v>
      </c>
      <c r="AP57" s="185" t="s">
        <v>3</v>
      </c>
      <c r="AQ57" s="185" t="s">
        <v>1092</v>
      </c>
      <c r="AR57" s="185" t="s">
        <v>1092</v>
      </c>
      <c r="AS57" s="185" t="s">
        <v>3</v>
      </c>
      <c r="AT57" s="191" t="s">
        <v>3</v>
      </c>
      <c r="AU57" s="188"/>
      <c r="AV57" s="185" t="s">
        <v>1902</v>
      </c>
    </row>
    <row r="58" spans="1:48" thickBot="1" x14ac:dyDescent="0.3">
      <c r="A58" s="184">
        <v>42944.470682777777</v>
      </c>
      <c r="B58" s="185" t="s">
        <v>2686</v>
      </c>
      <c r="C58" s="185" t="s">
        <v>2687</v>
      </c>
      <c r="D58" s="185">
        <v>79923324</v>
      </c>
      <c r="E58" s="185" t="s">
        <v>2625</v>
      </c>
      <c r="F58" s="185">
        <v>2014</v>
      </c>
      <c r="G58" s="185">
        <v>3143432674</v>
      </c>
      <c r="H58" s="185" t="s">
        <v>2688</v>
      </c>
      <c r="I58" s="185" t="s">
        <v>2689</v>
      </c>
      <c r="J58" s="185" t="s">
        <v>2641</v>
      </c>
      <c r="K58" s="185" t="s">
        <v>2690</v>
      </c>
      <c r="L58" s="185" t="s">
        <v>2691</v>
      </c>
      <c r="M58" s="188"/>
      <c r="N58" s="188"/>
      <c r="O58" s="185" t="s">
        <v>2692</v>
      </c>
      <c r="P58" s="185" t="s">
        <v>2</v>
      </c>
      <c r="Q58" s="185" t="s">
        <v>2</v>
      </c>
      <c r="R58" s="185" t="s">
        <v>1092</v>
      </c>
      <c r="S58" s="185" t="s">
        <v>3</v>
      </c>
      <c r="T58" s="185" t="s">
        <v>1092</v>
      </c>
      <c r="U58" s="185" t="s">
        <v>3</v>
      </c>
      <c r="V58" s="185" t="s">
        <v>1</v>
      </c>
      <c r="W58" s="185" t="s">
        <v>2</v>
      </c>
      <c r="X58" s="185" t="s">
        <v>1093</v>
      </c>
      <c r="Y58" s="185" t="s">
        <v>1</v>
      </c>
      <c r="Z58" s="185" t="s">
        <v>1</v>
      </c>
      <c r="AA58" s="185" t="s">
        <v>1093</v>
      </c>
      <c r="AB58" s="185" t="s">
        <v>3</v>
      </c>
      <c r="AC58" s="185" t="s">
        <v>1092</v>
      </c>
      <c r="AD58" s="185" t="s">
        <v>3</v>
      </c>
      <c r="AE58" s="185" t="s">
        <v>3</v>
      </c>
      <c r="AF58" s="185" t="s">
        <v>3</v>
      </c>
      <c r="AG58" s="185" t="s">
        <v>2</v>
      </c>
      <c r="AH58" s="185" t="s">
        <v>1092</v>
      </c>
      <c r="AI58" s="185" t="s">
        <v>1092</v>
      </c>
      <c r="AJ58" s="185" t="s">
        <v>1092</v>
      </c>
      <c r="AK58" s="185" t="s">
        <v>1092</v>
      </c>
      <c r="AL58" s="185" t="s">
        <v>1092</v>
      </c>
      <c r="AM58" s="185" t="s">
        <v>1093</v>
      </c>
      <c r="AN58" s="185" t="s">
        <v>1</v>
      </c>
      <c r="AO58" s="185" t="s">
        <v>2</v>
      </c>
      <c r="AP58" s="185" t="s">
        <v>2</v>
      </c>
      <c r="AQ58" s="185" t="s">
        <v>3</v>
      </c>
      <c r="AR58" s="185" t="s">
        <v>2</v>
      </c>
      <c r="AS58" s="185" t="s">
        <v>1092</v>
      </c>
      <c r="AT58" s="190" t="s">
        <v>1092</v>
      </c>
      <c r="AU58" s="188"/>
      <c r="AV58" s="185" t="s">
        <v>1902</v>
      </c>
    </row>
    <row r="59" spans="1:48" thickBot="1" x14ac:dyDescent="0.3">
      <c r="A59" s="184">
        <v>42944.533629953701</v>
      </c>
      <c r="B59" s="185" t="s">
        <v>2693</v>
      </c>
      <c r="C59" s="185" t="s">
        <v>2694</v>
      </c>
      <c r="D59" s="185">
        <v>79423674</v>
      </c>
      <c r="E59" s="185" t="s">
        <v>2520</v>
      </c>
      <c r="F59" s="185">
        <v>2015</v>
      </c>
      <c r="G59" s="185">
        <v>3173665670</v>
      </c>
      <c r="H59" s="185" t="s">
        <v>2695</v>
      </c>
      <c r="I59" s="185" t="s">
        <v>1949</v>
      </c>
      <c r="J59" s="185" t="s">
        <v>2696</v>
      </c>
      <c r="K59" s="185" t="s">
        <v>1951</v>
      </c>
      <c r="L59" s="185" t="s">
        <v>2697</v>
      </c>
      <c r="M59" s="188"/>
      <c r="N59" s="188"/>
      <c r="O59" s="185" t="s">
        <v>2698</v>
      </c>
      <c r="P59" s="185" t="s">
        <v>1092</v>
      </c>
      <c r="Q59" s="185" t="s">
        <v>1092</v>
      </c>
      <c r="R59" s="185" t="s">
        <v>1092</v>
      </c>
      <c r="S59" s="185" t="s">
        <v>1092</v>
      </c>
      <c r="T59" s="185" t="s">
        <v>1092</v>
      </c>
      <c r="U59" s="185" t="s">
        <v>1092</v>
      </c>
      <c r="V59" s="185" t="s">
        <v>1092</v>
      </c>
      <c r="W59" s="185" t="s">
        <v>1092</v>
      </c>
      <c r="X59" s="185" t="s">
        <v>1092</v>
      </c>
      <c r="Y59" s="185" t="s">
        <v>1092</v>
      </c>
      <c r="Z59" s="185" t="s">
        <v>1092</v>
      </c>
      <c r="AA59" s="185" t="s">
        <v>1092</v>
      </c>
      <c r="AB59" s="185" t="s">
        <v>1092</v>
      </c>
      <c r="AC59" s="185" t="s">
        <v>1092</v>
      </c>
      <c r="AD59" s="185" t="s">
        <v>1092</v>
      </c>
      <c r="AE59" s="185" t="s">
        <v>1092</v>
      </c>
      <c r="AF59" s="185" t="s">
        <v>1092</v>
      </c>
      <c r="AG59" s="185" t="s">
        <v>1092</v>
      </c>
      <c r="AH59" s="185" t="s">
        <v>1092</v>
      </c>
      <c r="AI59" s="185" t="s">
        <v>1092</v>
      </c>
      <c r="AJ59" s="185" t="s">
        <v>1092</v>
      </c>
      <c r="AK59" s="185" t="s">
        <v>1092</v>
      </c>
      <c r="AL59" s="185" t="s">
        <v>1092</v>
      </c>
      <c r="AM59" s="185" t="s">
        <v>1092</v>
      </c>
      <c r="AN59" s="185" t="s">
        <v>1092</v>
      </c>
      <c r="AO59" s="185" t="s">
        <v>1092</v>
      </c>
      <c r="AP59" s="185" t="s">
        <v>1092</v>
      </c>
      <c r="AQ59" s="185" t="s">
        <v>1092</v>
      </c>
      <c r="AR59" s="185" t="s">
        <v>1092</v>
      </c>
      <c r="AS59" s="185" t="s">
        <v>1092</v>
      </c>
      <c r="AT59" s="190" t="s">
        <v>1092</v>
      </c>
      <c r="AU59" s="185" t="s">
        <v>1953</v>
      </c>
      <c r="AV59" s="185" t="s">
        <v>1953</v>
      </c>
    </row>
    <row r="60" spans="1:48" thickBot="1" x14ac:dyDescent="0.3">
      <c r="A60" s="184">
        <v>42944.537637349538</v>
      </c>
      <c r="B60" s="185" t="s">
        <v>2120</v>
      </c>
      <c r="C60" s="185" t="s">
        <v>2121</v>
      </c>
      <c r="D60" s="185">
        <v>79966414</v>
      </c>
      <c r="E60" s="185" t="s">
        <v>1896</v>
      </c>
      <c r="F60" s="185">
        <v>2007</v>
      </c>
      <c r="G60" s="185">
        <v>3125394806</v>
      </c>
      <c r="H60" s="185" t="s">
        <v>2122</v>
      </c>
      <c r="I60" s="185" t="s">
        <v>2124</v>
      </c>
      <c r="J60" s="185" t="s">
        <v>2125</v>
      </c>
      <c r="K60" s="185" t="s">
        <v>1329</v>
      </c>
      <c r="L60" s="188"/>
      <c r="M60" s="188"/>
      <c r="N60" s="188"/>
      <c r="O60" s="185" t="s">
        <v>2126</v>
      </c>
      <c r="P60" s="185" t="s">
        <v>2</v>
      </c>
      <c r="Q60" s="185" t="s">
        <v>3</v>
      </c>
      <c r="R60" s="185" t="s">
        <v>3</v>
      </c>
      <c r="S60" s="185" t="s">
        <v>2</v>
      </c>
      <c r="T60" s="185" t="s">
        <v>5</v>
      </c>
      <c r="U60" s="185" t="s">
        <v>3</v>
      </c>
      <c r="V60" s="185" t="s">
        <v>2</v>
      </c>
      <c r="W60" s="185" t="s">
        <v>2</v>
      </c>
      <c r="X60" s="185" t="s">
        <v>2</v>
      </c>
      <c r="Y60" s="185" t="s">
        <v>3</v>
      </c>
      <c r="Z60" s="185" t="s">
        <v>2</v>
      </c>
      <c r="AA60" s="185" t="s">
        <v>2</v>
      </c>
      <c r="AB60" s="185" t="s">
        <v>1</v>
      </c>
      <c r="AC60" s="185" t="s">
        <v>2</v>
      </c>
      <c r="AD60" s="185" t="s">
        <v>3</v>
      </c>
      <c r="AE60" s="185" t="s">
        <v>2</v>
      </c>
      <c r="AF60" s="185" t="s">
        <v>2</v>
      </c>
      <c r="AG60" s="185" t="s">
        <v>3</v>
      </c>
      <c r="AH60" s="185" t="s">
        <v>1092</v>
      </c>
      <c r="AI60" s="185" t="s">
        <v>2</v>
      </c>
      <c r="AJ60" s="185" t="s">
        <v>1093</v>
      </c>
      <c r="AK60" s="185" t="s">
        <v>3</v>
      </c>
      <c r="AL60" s="185" t="s">
        <v>1092</v>
      </c>
      <c r="AM60" s="185" t="s">
        <v>2</v>
      </c>
      <c r="AN60" s="185" t="s">
        <v>5</v>
      </c>
      <c r="AO60" s="185" t="s">
        <v>1</v>
      </c>
      <c r="AP60" s="185" t="s">
        <v>2</v>
      </c>
      <c r="AQ60" s="185" t="s">
        <v>1</v>
      </c>
      <c r="AR60" s="185" t="s">
        <v>2</v>
      </c>
      <c r="AS60" s="185" t="s">
        <v>3</v>
      </c>
      <c r="AT60" s="191" t="s">
        <v>3</v>
      </c>
      <c r="AU60" s="185" t="s">
        <v>2123</v>
      </c>
      <c r="AV60" s="185" t="s">
        <v>1902</v>
      </c>
    </row>
    <row r="61" spans="1:48" thickBot="1" x14ac:dyDescent="0.3">
      <c r="A61" s="184">
        <v>42944.560789606483</v>
      </c>
      <c r="B61" s="185" t="s">
        <v>2127</v>
      </c>
      <c r="C61" s="185" t="s">
        <v>2128</v>
      </c>
      <c r="D61" s="185">
        <v>80005490</v>
      </c>
      <c r="E61" s="185" t="s">
        <v>1896</v>
      </c>
      <c r="F61" s="185">
        <v>2008</v>
      </c>
      <c r="G61" s="185">
        <v>3108163171</v>
      </c>
      <c r="H61" s="185" t="s">
        <v>2129</v>
      </c>
      <c r="I61" s="185" t="s">
        <v>2131</v>
      </c>
      <c r="J61" s="185" t="s">
        <v>2132</v>
      </c>
      <c r="K61" s="185" t="s">
        <v>2133</v>
      </c>
      <c r="L61" s="185" t="s">
        <v>2134</v>
      </c>
      <c r="M61" s="185" t="s">
        <v>2135</v>
      </c>
      <c r="N61" s="185">
        <v>3108163171</v>
      </c>
      <c r="O61" s="188"/>
      <c r="P61" s="185" t="s">
        <v>3</v>
      </c>
      <c r="Q61" s="185" t="s">
        <v>1092</v>
      </c>
      <c r="R61" s="185" t="s">
        <v>1092</v>
      </c>
      <c r="S61" s="185" t="s">
        <v>3</v>
      </c>
      <c r="T61" s="185" t="s">
        <v>1092</v>
      </c>
      <c r="U61" s="185" t="s">
        <v>1092</v>
      </c>
      <c r="V61" s="185" t="s">
        <v>2</v>
      </c>
      <c r="W61" s="185" t="s">
        <v>1092</v>
      </c>
      <c r="X61" s="185" t="s">
        <v>3</v>
      </c>
      <c r="Y61" s="185" t="s">
        <v>3</v>
      </c>
      <c r="Z61" s="185" t="s">
        <v>3</v>
      </c>
      <c r="AA61" s="185" t="s">
        <v>3</v>
      </c>
      <c r="AB61" s="185" t="s">
        <v>3</v>
      </c>
      <c r="AC61" s="185" t="s">
        <v>3</v>
      </c>
      <c r="AD61" s="185" t="s">
        <v>3</v>
      </c>
      <c r="AE61" s="185" t="s">
        <v>3</v>
      </c>
      <c r="AF61" s="185" t="s">
        <v>3</v>
      </c>
      <c r="AG61" s="185" t="s">
        <v>3</v>
      </c>
      <c r="AH61" s="185" t="s">
        <v>3</v>
      </c>
      <c r="AI61" s="185" t="s">
        <v>2</v>
      </c>
      <c r="AJ61" s="185" t="s">
        <v>2</v>
      </c>
      <c r="AK61" s="185" t="s">
        <v>1092</v>
      </c>
      <c r="AL61" s="185" t="s">
        <v>1092</v>
      </c>
      <c r="AM61" s="185" t="s">
        <v>3</v>
      </c>
      <c r="AN61" s="185" t="s">
        <v>3</v>
      </c>
      <c r="AO61" s="185" t="s">
        <v>3</v>
      </c>
      <c r="AP61" s="185" t="s">
        <v>3</v>
      </c>
      <c r="AQ61" s="185" t="s">
        <v>3</v>
      </c>
      <c r="AR61" s="185" t="s">
        <v>3</v>
      </c>
      <c r="AS61" s="185" t="s">
        <v>3</v>
      </c>
      <c r="AT61" s="191" t="s">
        <v>3</v>
      </c>
      <c r="AU61" s="185" t="s">
        <v>2130</v>
      </c>
      <c r="AV61" s="185" t="s">
        <v>1902</v>
      </c>
    </row>
    <row r="62" spans="1:48" thickBot="1" x14ac:dyDescent="0.3">
      <c r="A62" s="184">
        <v>42944.562813101853</v>
      </c>
      <c r="B62" s="185" t="s">
        <v>2136</v>
      </c>
      <c r="C62" s="185" t="s">
        <v>2137</v>
      </c>
      <c r="D62" s="185">
        <v>79760075</v>
      </c>
      <c r="E62" s="185" t="s">
        <v>1896</v>
      </c>
      <c r="F62" s="185">
        <v>2007</v>
      </c>
      <c r="G62" s="185">
        <v>3125604434</v>
      </c>
      <c r="H62" s="185" t="s">
        <v>2138</v>
      </c>
      <c r="I62" s="185" t="s">
        <v>2139</v>
      </c>
      <c r="J62" s="185" t="s">
        <v>2140</v>
      </c>
      <c r="K62" s="185" t="s">
        <v>2141</v>
      </c>
      <c r="L62" s="185" t="s">
        <v>2142</v>
      </c>
      <c r="M62" s="185" t="s">
        <v>2143</v>
      </c>
      <c r="N62" s="188"/>
      <c r="O62" s="185" t="s">
        <v>2144</v>
      </c>
      <c r="P62" s="185" t="s">
        <v>2</v>
      </c>
      <c r="Q62" s="185" t="s">
        <v>2</v>
      </c>
      <c r="R62" s="185" t="s">
        <v>1092</v>
      </c>
      <c r="S62" s="185" t="s">
        <v>1092</v>
      </c>
      <c r="T62" s="185" t="s">
        <v>5</v>
      </c>
      <c r="U62" s="185" t="s">
        <v>3</v>
      </c>
      <c r="V62" s="185" t="s">
        <v>3</v>
      </c>
      <c r="W62" s="185" t="s">
        <v>2</v>
      </c>
      <c r="X62" s="185" t="s">
        <v>1092</v>
      </c>
      <c r="Y62" s="185" t="s">
        <v>1092</v>
      </c>
      <c r="Z62" s="185" t="s">
        <v>1092</v>
      </c>
      <c r="AA62" s="185" t="s">
        <v>2</v>
      </c>
      <c r="AB62" s="185" t="s">
        <v>2</v>
      </c>
      <c r="AC62" s="185" t="s">
        <v>1092</v>
      </c>
      <c r="AD62" s="185" t="s">
        <v>1092</v>
      </c>
      <c r="AE62" s="185" t="s">
        <v>3</v>
      </c>
      <c r="AF62" s="185" t="s">
        <v>1092</v>
      </c>
      <c r="AG62" s="185" t="s">
        <v>3</v>
      </c>
      <c r="AH62" s="185" t="s">
        <v>1092</v>
      </c>
      <c r="AI62" s="185" t="s">
        <v>1092</v>
      </c>
      <c r="AJ62" s="185" t="s">
        <v>3</v>
      </c>
      <c r="AK62" s="185" t="s">
        <v>1092</v>
      </c>
      <c r="AL62" s="185" t="s">
        <v>1092</v>
      </c>
      <c r="AM62" s="185" t="s">
        <v>2</v>
      </c>
      <c r="AN62" s="185" t="s">
        <v>2</v>
      </c>
      <c r="AO62" s="185" t="s">
        <v>3</v>
      </c>
      <c r="AP62" s="185" t="s">
        <v>3</v>
      </c>
      <c r="AQ62" s="185" t="s">
        <v>2</v>
      </c>
      <c r="AR62" s="185" t="s">
        <v>1092</v>
      </c>
      <c r="AS62" s="185" t="s">
        <v>1092</v>
      </c>
      <c r="AT62" s="190" t="s">
        <v>1092</v>
      </c>
      <c r="AU62" s="185" t="s">
        <v>2079</v>
      </c>
      <c r="AV62" s="185" t="s">
        <v>1902</v>
      </c>
    </row>
    <row r="63" spans="1:48" thickBot="1" x14ac:dyDescent="0.3">
      <c r="A63" s="184">
        <v>42944.564982430558</v>
      </c>
      <c r="B63" s="185" t="s">
        <v>2145</v>
      </c>
      <c r="C63" s="185" t="s">
        <v>2146</v>
      </c>
      <c r="D63" s="185">
        <v>79898372</v>
      </c>
      <c r="E63" s="185" t="s">
        <v>1896</v>
      </c>
      <c r="F63" s="185">
        <v>2012</v>
      </c>
      <c r="G63" s="185">
        <v>3176461700</v>
      </c>
      <c r="H63" s="185" t="s">
        <v>2147</v>
      </c>
      <c r="I63" s="185" t="s">
        <v>2148</v>
      </c>
      <c r="J63" s="185" t="s">
        <v>2149</v>
      </c>
      <c r="K63" s="185" t="s">
        <v>2039</v>
      </c>
      <c r="L63" s="185" t="s">
        <v>2150</v>
      </c>
      <c r="M63" s="185" t="s">
        <v>2151</v>
      </c>
      <c r="N63" s="185">
        <v>6011630</v>
      </c>
      <c r="O63" s="188"/>
      <c r="P63" s="185" t="s">
        <v>1092</v>
      </c>
      <c r="Q63" s="185" t="s">
        <v>1092</v>
      </c>
      <c r="R63" s="185" t="s">
        <v>1092</v>
      </c>
      <c r="S63" s="185" t="s">
        <v>1092</v>
      </c>
      <c r="T63" s="185" t="s">
        <v>1092</v>
      </c>
      <c r="U63" s="185" t="s">
        <v>1092</v>
      </c>
      <c r="V63" s="185" t="s">
        <v>3</v>
      </c>
      <c r="W63" s="185" t="s">
        <v>3</v>
      </c>
      <c r="X63" s="185" t="s">
        <v>3</v>
      </c>
      <c r="Y63" s="185" t="s">
        <v>3</v>
      </c>
      <c r="Z63" s="185" t="s">
        <v>3</v>
      </c>
      <c r="AA63" s="185" t="s">
        <v>2</v>
      </c>
      <c r="AB63" s="185" t="s">
        <v>2</v>
      </c>
      <c r="AC63" s="185" t="s">
        <v>2</v>
      </c>
      <c r="AD63" s="185" t="s">
        <v>3</v>
      </c>
      <c r="AE63" s="185" t="s">
        <v>2</v>
      </c>
      <c r="AF63" s="185" t="s">
        <v>3</v>
      </c>
      <c r="AG63" s="185" t="s">
        <v>3</v>
      </c>
      <c r="AH63" s="185" t="s">
        <v>2</v>
      </c>
      <c r="AI63" s="185" t="s">
        <v>1093</v>
      </c>
      <c r="AJ63" s="185" t="s">
        <v>1093</v>
      </c>
      <c r="AK63" s="185" t="s">
        <v>3</v>
      </c>
      <c r="AL63" s="185" t="s">
        <v>3</v>
      </c>
      <c r="AM63" s="185" t="s">
        <v>3</v>
      </c>
      <c r="AN63" s="185" t="s">
        <v>3</v>
      </c>
      <c r="AO63" s="185" t="s">
        <v>3</v>
      </c>
      <c r="AP63" s="185" t="s">
        <v>2</v>
      </c>
      <c r="AQ63" s="185" t="s">
        <v>3</v>
      </c>
      <c r="AR63" s="185" t="s">
        <v>3</v>
      </c>
      <c r="AS63" s="185" t="s">
        <v>3</v>
      </c>
      <c r="AT63" s="191" t="s">
        <v>3</v>
      </c>
      <c r="AU63" s="188"/>
      <c r="AV63" s="185" t="s">
        <v>1902</v>
      </c>
    </row>
    <row r="64" spans="1:48" thickBot="1" x14ac:dyDescent="0.3">
      <c r="A64" s="184">
        <v>42944.568112083332</v>
      </c>
      <c r="B64" s="185" t="s">
        <v>2152</v>
      </c>
      <c r="C64" s="185" t="s">
        <v>2153</v>
      </c>
      <c r="D64" s="185">
        <v>80048311</v>
      </c>
      <c r="E64" s="185" t="s">
        <v>1896</v>
      </c>
      <c r="F64" s="185">
        <v>2007</v>
      </c>
      <c r="G64" s="185">
        <v>3003606757</v>
      </c>
      <c r="H64" s="185" t="s">
        <v>2154</v>
      </c>
      <c r="I64" s="185" t="s">
        <v>2156</v>
      </c>
      <c r="J64" s="185" t="s">
        <v>2157</v>
      </c>
      <c r="K64" s="185" t="s">
        <v>2158</v>
      </c>
      <c r="L64" s="185" t="s">
        <v>2159</v>
      </c>
      <c r="M64" s="185" t="s">
        <v>2160</v>
      </c>
      <c r="N64" s="185">
        <v>3003606757</v>
      </c>
      <c r="O64" s="188"/>
      <c r="P64" s="185" t="s">
        <v>1092</v>
      </c>
      <c r="Q64" s="185" t="s">
        <v>3</v>
      </c>
      <c r="R64" s="185" t="s">
        <v>1092</v>
      </c>
      <c r="S64" s="185" t="s">
        <v>1092</v>
      </c>
      <c r="T64" s="185" t="s">
        <v>1092</v>
      </c>
      <c r="U64" s="185" t="s">
        <v>3</v>
      </c>
      <c r="V64" s="185" t="s">
        <v>3</v>
      </c>
      <c r="W64" s="185" t="s">
        <v>2</v>
      </c>
      <c r="X64" s="185" t="s">
        <v>3</v>
      </c>
      <c r="Y64" s="185" t="s">
        <v>2</v>
      </c>
      <c r="Z64" s="185" t="s">
        <v>2</v>
      </c>
      <c r="AA64" s="185" t="s">
        <v>2</v>
      </c>
      <c r="AB64" s="185" t="s">
        <v>2</v>
      </c>
      <c r="AC64" s="185" t="s">
        <v>2</v>
      </c>
      <c r="AD64" s="185" t="s">
        <v>3</v>
      </c>
      <c r="AE64" s="185" t="s">
        <v>1092</v>
      </c>
      <c r="AF64" s="185" t="s">
        <v>1092</v>
      </c>
      <c r="AG64" s="185" t="s">
        <v>1092</v>
      </c>
      <c r="AH64" s="185" t="s">
        <v>2</v>
      </c>
      <c r="AI64" s="185" t="s">
        <v>2</v>
      </c>
      <c r="AJ64" s="185" t="s">
        <v>1</v>
      </c>
      <c r="AK64" s="185" t="s">
        <v>3</v>
      </c>
      <c r="AL64" s="185" t="s">
        <v>3</v>
      </c>
      <c r="AM64" s="185" t="s">
        <v>2</v>
      </c>
      <c r="AN64" s="185" t="s">
        <v>2</v>
      </c>
      <c r="AO64" s="185" t="s">
        <v>3</v>
      </c>
      <c r="AP64" s="185" t="s">
        <v>3</v>
      </c>
      <c r="AQ64" s="185" t="s">
        <v>2</v>
      </c>
      <c r="AR64" s="185" t="s">
        <v>3</v>
      </c>
      <c r="AS64" s="185" t="s">
        <v>3</v>
      </c>
      <c r="AT64" s="191" t="s">
        <v>3</v>
      </c>
      <c r="AU64" s="185" t="s">
        <v>2155</v>
      </c>
      <c r="AV64" s="185" t="s">
        <v>1902</v>
      </c>
    </row>
    <row r="65" spans="1:48" thickBot="1" x14ac:dyDescent="0.3">
      <c r="A65" s="184">
        <v>42944.592218252314</v>
      </c>
      <c r="B65" s="185" t="s">
        <v>2161</v>
      </c>
      <c r="C65" s="185" t="s">
        <v>2162</v>
      </c>
      <c r="D65" s="185">
        <v>31423737</v>
      </c>
      <c r="E65" s="185" t="s">
        <v>1896</v>
      </c>
      <c r="F65" s="185">
        <v>2011</v>
      </c>
      <c r="G65" s="185">
        <v>3125711043</v>
      </c>
      <c r="H65" s="185" t="s">
        <v>2163</v>
      </c>
      <c r="I65" s="185" t="s">
        <v>2164</v>
      </c>
      <c r="J65" s="185" t="s">
        <v>2165</v>
      </c>
      <c r="K65" s="188"/>
      <c r="L65" s="188"/>
      <c r="M65" s="188"/>
      <c r="N65" s="188"/>
      <c r="O65" s="188"/>
      <c r="P65" s="185" t="s">
        <v>5</v>
      </c>
      <c r="Q65" s="185" t="s">
        <v>5</v>
      </c>
      <c r="R65" s="185" t="s">
        <v>3</v>
      </c>
      <c r="S65" s="185" t="s">
        <v>2</v>
      </c>
      <c r="T65" s="185" t="s">
        <v>3</v>
      </c>
      <c r="U65" s="185" t="s">
        <v>3</v>
      </c>
      <c r="V65" s="185" t="s">
        <v>1</v>
      </c>
      <c r="W65" s="185" t="s">
        <v>2</v>
      </c>
      <c r="X65" s="185" t="s">
        <v>2</v>
      </c>
      <c r="Y65" s="185" t="s">
        <v>2</v>
      </c>
      <c r="Z65" s="185" t="s">
        <v>2</v>
      </c>
      <c r="AA65" s="185" t="s">
        <v>2</v>
      </c>
      <c r="AB65" s="185" t="s">
        <v>1</v>
      </c>
      <c r="AC65" s="185" t="s">
        <v>2</v>
      </c>
      <c r="AD65" s="185" t="s">
        <v>2</v>
      </c>
      <c r="AE65" s="185" t="s">
        <v>3</v>
      </c>
      <c r="AF65" s="185" t="s">
        <v>3</v>
      </c>
      <c r="AG65" s="185" t="s">
        <v>3</v>
      </c>
      <c r="AH65" s="185" t="s">
        <v>2</v>
      </c>
      <c r="AI65" s="185" t="s">
        <v>3</v>
      </c>
      <c r="AJ65" s="185" t="s">
        <v>3</v>
      </c>
      <c r="AK65" s="185" t="s">
        <v>3</v>
      </c>
      <c r="AL65" s="185" t="s">
        <v>3</v>
      </c>
      <c r="AM65" s="185" t="s">
        <v>5</v>
      </c>
      <c r="AN65" s="185" t="s">
        <v>5</v>
      </c>
      <c r="AO65" s="185" t="s">
        <v>2</v>
      </c>
      <c r="AP65" s="185" t="s">
        <v>2</v>
      </c>
      <c r="AQ65" s="185" t="s">
        <v>2</v>
      </c>
      <c r="AR65" s="185" t="s">
        <v>3</v>
      </c>
      <c r="AS65" s="185" t="s">
        <v>3</v>
      </c>
      <c r="AT65" s="191" t="s">
        <v>3</v>
      </c>
      <c r="AU65" s="185" t="s">
        <v>1964</v>
      </c>
      <c r="AV65" s="185" t="s">
        <v>1902</v>
      </c>
    </row>
    <row r="66" spans="1:48" thickBot="1" x14ac:dyDescent="0.3">
      <c r="A66" s="184">
        <v>42944.616914953702</v>
      </c>
      <c r="B66" s="185" t="s">
        <v>2166</v>
      </c>
      <c r="C66" s="185" t="s">
        <v>2167</v>
      </c>
      <c r="D66" s="185">
        <v>79727908</v>
      </c>
      <c r="E66" s="185" t="s">
        <v>1896</v>
      </c>
      <c r="F66" s="185">
        <v>2006</v>
      </c>
      <c r="G66" s="185">
        <v>3118861525</v>
      </c>
      <c r="H66" s="185" t="s">
        <v>2168</v>
      </c>
      <c r="I66" s="185" t="s">
        <v>2169</v>
      </c>
      <c r="J66" s="185" t="s">
        <v>2170</v>
      </c>
      <c r="K66" s="185" t="s">
        <v>2171</v>
      </c>
      <c r="L66" s="188"/>
      <c r="M66" s="185" t="s">
        <v>2172</v>
      </c>
      <c r="N66" s="185">
        <v>3118861525</v>
      </c>
      <c r="O66" s="188"/>
      <c r="P66" s="185" t="s">
        <v>3</v>
      </c>
      <c r="Q66" s="185" t="s">
        <v>3</v>
      </c>
      <c r="R66" s="185" t="s">
        <v>1092</v>
      </c>
      <c r="S66" s="185" t="s">
        <v>1092</v>
      </c>
      <c r="T66" s="185" t="s">
        <v>1092</v>
      </c>
      <c r="U66" s="185" t="s">
        <v>3</v>
      </c>
      <c r="V66" s="185" t="s">
        <v>3</v>
      </c>
      <c r="W66" s="185" t="s">
        <v>3</v>
      </c>
      <c r="X66" s="185" t="s">
        <v>3</v>
      </c>
      <c r="Y66" s="185" t="s">
        <v>2</v>
      </c>
      <c r="Z66" s="185" t="s">
        <v>3</v>
      </c>
      <c r="AA66" s="185" t="s">
        <v>3</v>
      </c>
      <c r="AB66" s="185" t="s">
        <v>1092</v>
      </c>
      <c r="AC66" s="185" t="s">
        <v>3</v>
      </c>
      <c r="AD66" s="185" t="s">
        <v>3</v>
      </c>
      <c r="AE66" s="185" t="s">
        <v>3</v>
      </c>
      <c r="AF66" s="185" t="s">
        <v>3</v>
      </c>
      <c r="AG66" s="185" t="s">
        <v>1092</v>
      </c>
      <c r="AH66" s="185" t="s">
        <v>1093</v>
      </c>
      <c r="AI66" s="185" t="s">
        <v>1093</v>
      </c>
      <c r="AJ66" s="185" t="s">
        <v>3</v>
      </c>
      <c r="AK66" s="185" t="s">
        <v>2</v>
      </c>
      <c r="AL66" s="185" t="s">
        <v>1092</v>
      </c>
      <c r="AM66" s="185" t="s">
        <v>5</v>
      </c>
      <c r="AN66" s="185" t="s">
        <v>5</v>
      </c>
      <c r="AO66" s="185" t="s">
        <v>3</v>
      </c>
      <c r="AP66" s="185" t="s">
        <v>2</v>
      </c>
      <c r="AQ66" s="185" t="s">
        <v>3</v>
      </c>
      <c r="AR66" s="185" t="s">
        <v>1092</v>
      </c>
      <c r="AS66" s="185" t="s">
        <v>1092</v>
      </c>
      <c r="AT66" s="190" t="s">
        <v>1092</v>
      </c>
      <c r="AU66" s="188"/>
      <c r="AV66" s="185" t="s">
        <v>1902</v>
      </c>
    </row>
    <row r="67" spans="1:48" thickBot="1" x14ac:dyDescent="0.3">
      <c r="A67" s="184">
        <v>42944.739273506944</v>
      </c>
      <c r="B67" s="185" t="s">
        <v>1534</v>
      </c>
      <c r="C67" s="185" t="s">
        <v>1535</v>
      </c>
      <c r="D67" s="185">
        <v>52975701</v>
      </c>
      <c r="E67" s="185" t="s">
        <v>2520</v>
      </c>
      <c r="F67" s="185">
        <v>2015</v>
      </c>
      <c r="G67" s="185">
        <v>3125039537</v>
      </c>
      <c r="H67" s="185" t="s">
        <v>1536</v>
      </c>
      <c r="I67" s="185" t="s">
        <v>2699</v>
      </c>
      <c r="J67" s="185" t="s">
        <v>2700</v>
      </c>
      <c r="K67" s="185" t="s">
        <v>2701</v>
      </c>
      <c r="L67" s="185" t="s">
        <v>2702</v>
      </c>
      <c r="M67" s="185" t="s">
        <v>2703</v>
      </c>
      <c r="N67" s="185">
        <v>3239300</v>
      </c>
      <c r="O67" s="188"/>
      <c r="P67" s="185" t="s">
        <v>1092</v>
      </c>
      <c r="Q67" s="185" t="s">
        <v>1092</v>
      </c>
      <c r="R67" s="185" t="s">
        <v>1092</v>
      </c>
      <c r="S67" s="185" t="s">
        <v>1092</v>
      </c>
      <c r="T67" s="185" t="s">
        <v>1092</v>
      </c>
      <c r="U67" s="185" t="s">
        <v>1092</v>
      </c>
      <c r="V67" s="185" t="s">
        <v>3</v>
      </c>
      <c r="W67" s="185" t="s">
        <v>3</v>
      </c>
      <c r="X67" s="185" t="s">
        <v>1092</v>
      </c>
      <c r="Y67" s="185" t="s">
        <v>1092</v>
      </c>
      <c r="Z67" s="185" t="s">
        <v>3</v>
      </c>
      <c r="AA67" s="185" t="s">
        <v>1092</v>
      </c>
      <c r="AB67" s="185" t="s">
        <v>3</v>
      </c>
      <c r="AC67" s="185" t="s">
        <v>3</v>
      </c>
      <c r="AD67" s="185" t="s">
        <v>3</v>
      </c>
      <c r="AE67" s="185" t="s">
        <v>1092</v>
      </c>
      <c r="AF67" s="185" t="s">
        <v>3</v>
      </c>
      <c r="AG67" s="185" t="s">
        <v>2</v>
      </c>
      <c r="AH67" s="185" t="s">
        <v>1092</v>
      </c>
      <c r="AI67" s="185" t="s">
        <v>1092</v>
      </c>
      <c r="AJ67" s="185" t="s">
        <v>3</v>
      </c>
      <c r="AK67" s="185" t="s">
        <v>3</v>
      </c>
      <c r="AL67" s="185" t="s">
        <v>1092</v>
      </c>
      <c r="AM67" s="185" t="s">
        <v>3</v>
      </c>
      <c r="AN67" s="185" t="s">
        <v>3</v>
      </c>
      <c r="AO67" s="185" t="s">
        <v>3</v>
      </c>
      <c r="AP67" s="185" t="s">
        <v>2</v>
      </c>
      <c r="AQ67" s="185" t="s">
        <v>1092</v>
      </c>
      <c r="AR67" s="185" t="s">
        <v>1092</v>
      </c>
      <c r="AS67" s="185" t="s">
        <v>1092</v>
      </c>
      <c r="AT67" s="190" t="s">
        <v>1092</v>
      </c>
      <c r="AU67" s="188"/>
      <c r="AV67" s="185" t="s">
        <v>1953</v>
      </c>
    </row>
    <row r="68" spans="1:48" ht="27" thickBot="1" x14ac:dyDescent="0.3">
      <c r="A68" s="184">
        <v>42944.800547395833</v>
      </c>
      <c r="B68" s="185" t="s">
        <v>2704</v>
      </c>
      <c r="C68" s="185" t="s">
        <v>2705</v>
      </c>
      <c r="D68" s="185">
        <v>79726439</v>
      </c>
      <c r="E68" s="185" t="s">
        <v>2520</v>
      </c>
      <c r="F68" s="185">
        <v>2013</v>
      </c>
      <c r="G68" s="185">
        <v>3212311500</v>
      </c>
      <c r="H68" s="185" t="s">
        <v>2706</v>
      </c>
      <c r="I68" s="185" t="s">
        <v>2581</v>
      </c>
      <c r="J68" s="185" t="s">
        <v>2707</v>
      </c>
      <c r="K68" s="185" t="s">
        <v>2708</v>
      </c>
      <c r="L68" s="185" t="s">
        <v>2709</v>
      </c>
      <c r="M68" s="188"/>
      <c r="N68" s="188"/>
      <c r="O68" s="185" t="s">
        <v>2710</v>
      </c>
      <c r="P68" s="185" t="s">
        <v>1092</v>
      </c>
      <c r="Q68" s="185" t="s">
        <v>3</v>
      </c>
      <c r="R68" s="185" t="s">
        <v>1092</v>
      </c>
      <c r="S68" s="185" t="s">
        <v>2</v>
      </c>
      <c r="T68" s="185" t="s">
        <v>2</v>
      </c>
      <c r="U68" s="185" t="s">
        <v>2</v>
      </c>
      <c r="V68" s="185" t="s">
        <v>1</v>
      </c>
      <c r="W68" s="185" t="s">
        <v>2</v>
      </c>
      <c r="X68" s="185" t="s">
        <v>1</v>
      </c>
      <c r="Y68" s="185" t="s">
        <v>2</v>
      </c>
      <c r="Z68" s="185" t="s">
        <v>2</v>
      </c>
      <c r="AA68" s="185" t="s">
        <v>2</v>
      </c>
      <c r="AB68" s="185" t="s">
        <v>2</v>
      </c>
      <c r="AC68" s="185" t="s">
        <v>2</v>
      </c>
      <c r="AD68" s="185" t="s">
        <v>1</v>
      </c>
      <c r="AE68" s="185" t="s">
        <v>2</v>
      </c>
      <c r="AF68" s="185" t="s">
        <v>2</v>
      </c>
      <c r="AG68" s="185" t="s">
        <v>2</v>
      </c>
      <c r="AH68" s="185" t="s">
        <v>1092</v>
      </c>
      <c r="AI68" s="185" t="s">
        <v>3</v>
      </c>
      <c r="AJ68" s="185" t="s">
        <v>1092</v>
      </c>
      <c r="AK68" s="185" t="s">
        <v>2</v>
      </c>
      <c r="AL68" s="185" t="s">
        <v>2</v>
      </c>
      <c r="AM68" s="185" t="s">
        <v>1</v>
      </c>
      <c r="AN68" s="185" t="s">
        <v>1</v>
      </c>
      <c r="AO68" s="185" t="s">
        <v>2</v>
      </c>
      <c r="AP68" s="185" t="s">
        <v>2</v>
      </c>
      <c r="AQ68" s="185" t="s">
        <v>2</v>
      </c>
      <c r="AR68" s="185" t="s">
        <v>2</v>
      </c>
      <c r="AS68" s="185" t="s">
        <v>2</v>
      </c>
      <c r="AT68" s="191" t="s">
        <v>2</v>
      </c>
      <c r="AU68" s="188"/>
      <c r="AV68" s="185" t="s">
        <v>1902</v>
      </c>
    </row>
    <row r="69" spans="1:48" ht="13.5" thickBot="1" x14ac:dyDescent="0.25">
      <c r="A69" s="184">
        <v>42944.821430497686</v>
      </c>
      <c r="B69" s="185" t="s">
        <v>2174</v>
      </c>
      <c r="C69" s="185" t="s">
        <v>2175</v>
      </c>
      <c r="D69" s="185">
        <v>80004798</v>
      </c>
      <c r="E69" s="185" t="s">
        <v>1896</v>
      </c>
      <c r="F69" s="185">
        <v>2007</v>
      </c>
      <c r="G69" s="185">
        <v>3138382424</v>
      </c>
      <c r="H69" s="185" t="s">
        <v>2176</v>
      </c>
      <c r="I69" s="185" t="s">
        <v>2178</v>
      </c>
      <c r="J69" s="185" t="s">
        <v>2179</v>
      </c>
      <c r="K69" s="185" t="s">
        <v>2180</v>
      </c>
      <c r="L69" s="185" t="s">
        <v>2181</v>
      </c>
      <c r="M69" s="185" t="s">
        <v>2182</v>
      </c>
      <c r="N69" s="185">
        <v>0</v>
      </c>
      <c r="O69" s="185" t="s">
        <v>2183</v>
      </c>
      <c r="P69" s="185" t="s">
        <v>2</v>
      </c>
      <c r="Q69" s="185" t="s">
        <v>2</v>
      </c>
      <c r="R69" s="185" t="s">
        <v>2</v>
      </c>
      <c r="S69" s="185" t="s">
        <v>2</v>
      </c>
      <c r="T69" s="185" t="s">
        <v>3</v>
      </c>
      <c r="U69" s="185" t="s">
        <v>3</v>
      </c>
      <c r="V69" s="185" t="s">
        <v>2</v>
      </c>
      <c r="W69" s="185" t="s">
        <v>2</v>
      </c>
      <c r="X69" s="185" t="s">
        <v>2</v>
      </c>
      <c r="Y69" s="185" t="s">
        <v>2</v>
      </c>
      <c r="Z69" s="185" t="s">
        <v>2</v>
      </c>
      <c r="AA69" s="185" t="s">
        <v>3</v>
      </c>
      <c r="AB69" s="185" t="s">
        <v>2</v>
      </c>
      <c r="AC69" s="185" t="s">
        <v>3</v>
      </c>
      <c r="AD69" s="185" t="s">
        <v>3</v>
      </c>
      <c r="AE69" s="185" t="s">
        <v>1093</v>
      </c>
      <c r="AF69" s="185" t="s">
        <v>1093</v>
      </c>
      <c r="AG69" s="185" t="s">
        <v>1093</v>
      </c>
      <c r="AH69" s="185" t="s">
        <v>1093</v>
      </c>
      <c r="AI69" s="185" t="s">
        <v>1093</v>
      </c>
      <c r="AJ69" s="185" t="s">
        <v>1093</v>
      </c>
      <c r="AK69" s="185" t="s">
        <v>1093</v>
      </c>
      <c r="AL69" s="185" t="s">
        <v>3</v>
      </c>
      <c r="AM69" s="185" t="s">
        <v>3</v>
      </c>
      <c r="AN69" s="185" t="s">
        <v>3</v>
      </c>
      <c r="AO69" s="185" t="s">
        <v>3</v>
      </c>
      <c r="AP69" s="185" t="s">
        <v>3</v>
      </c>
      <c r="AQ69" s="185" t="s">
        <v>3</v>
      </c>
      <c r="AR69" s="185" t="s">
        <v>3</v>
      </c>
      <c r="AS69" s="185" t="s">
        <v>3</v>
      </c>
      <c r="AT69" s="191" t="s">
        <v>3</v>
      </c>
      <c r="AU69" s="185" t="s">
        <v>2177</v>
      </c>
      <c r="AV69" s="185" t="s">
        <v>1902</v>
      </c>
    </row>
    <row r="70" spans="1:48" thickBot="1" x14ac:dyDescent="0.3">
      <c r="A70" s="184">
        <v>42944.823863287034</v>
      </c>
      <c r="B70" s="185" t="s">
        <v>2184</v>
      </c>
      <c r="C70" s="185" t="s">
        <v>2185</v>
      </c>
      <c r="D70" s="185">
        <v>52741831</v>
      </c>
      <c r="E70" s="185" t="s">
        <v>1896</v>
      </c>
      <c r="F70" s="185">
        <v>2008</v>
      </c>
      <c r="G70" s="185">
        <v>3114595690</v>
      </c>
      <c r="H70" s="185" t="s">
        <v>2186</v>
      </c>
      <c r="I70" s="185" t="s">
        <v>2187</v>
      </c>
      <c r="J70" s="185" t="s">
        <v>2188</v>
      </c>
      <c r="K70" s="185" t="s">
        <v>2189</v>
      </c>
      <c r="L70" s="185" t="s">
        <v>2190</v>
      </c>
      <c r="M70" s="185" t="s">
        <v>2186</v>
      </c>
      <c r="N70" s="188"/>
      <c r="O70" s="185" t="s">
        <v>64</v>
      </c>
      <c r="P70" s="185" t="s">
        <v>3</v>
      </c>
      <c r="Q70" s="185" t="s">
        <v>3</v>
      </c>
      <c r="R70" s="185" t="s">
        <v>3</v>
      </c>
      <c r="S70" s="185" t="s">
        <v>3</v>
      </c>
      <c r="T70" s="185" t="s">
        <v>3</v>
      </c>
      <c r="U70" s="185" t="s">
        <v>3</v>
      </c>
      <c r="V70" s="185" t="s">
        <v>3</v>
      </c>
      <c r="W70" s="185" t="s">
        <v>3</v>
      </c>
      <c r="X70" s="185" t="s">
        <v>3</v>
      </c>
      <c r="Y70" s="185" t="s">
        <v>3</v>
      </c>
      <c r="Z70" s="185" t="s">
        <v>3</v>
      </c>
      <c r="AA70" s="185" t="s">
        <v>3</v>
      </c>
      <c r="AB70" s="185" t="s">
        <v>3</v>
      </c>
      <c r="AC70" s="185" t="s">
        <v>3</v>
      </c>
      <c r="AD70" s="185" t="s">
        <v>3</v>
      </c>
      <c r="AE70" s="185" t="s">
        <v>3</v>
      </c>
      <c r="AF70" s="185" t="s">
        <v>3</v>
      </c>
      <c r="AG70" s="185" t="s">
        <v>3</v>
      </c>
      <c r="AH70" s="185" t="s">
        <v>3</v>
      </c>
      <c r="AI70" s="185" t="s">
        <v>3</v>
      </c>
      <c r="AJ70" s="185" t="s">
        <v>3</v>
      </c>
      <c r="AK70" s="185" t="s">
        <v>3</v>
      </c>
      <c r="AL70" s="185" t="s">
        <v>3</v>
      </c>
      <c r="AM70" s="185" t="s">
        <v>3</v>
      </c>
      <c r="AN70" s="185" t="s">
        <v>3</v>
      </c>
      <c r="AO70" s="185" t="s">
        <v>3</v>
      </c>
      <c r="AP70" s="185" t="s">
        <v>3</v>
      </c>
      <c r="AQ70" s="185" t="s">
        <v>3</v>
      </c>
      <c r="AR70" s="185" t="s">
        <v>3</v>
      </c>
      <c r="AS70" s="185" t="s">
        <v>3</v>
      </c>
      <c r="AT70" s="191" t="s">
        <v>3</v>
      </c>
      <c r="AU70" s="188"/>
      <c r="AV70" s="185" t="s">
        <v>1902</v>
      </c>
    </row>
    <row r="71" spans="1:48" thickBot="1" x14ac:dyDescent="0.3">
      <c r="A71" s="184">
        <v>42944.962780324073</v>
      </c>
      <c r="B71" s="185" t="s">
        <v>2711</v>
      </c>
      <c r="C71" s="185" t="s">
        <v>2712</v>
      </c>
      <c r="D71" s="185">
        <v>79823010</v>
      </c>
      <c r="E71" s="185" t="s">
        <v>2625</v>
      </c>
      <c r="F71" s="185">
        <v>2006</v>
      </c>
      <c r="G71" s="185">
        <v>3204981532</v>
      </c>
      <c r="H71" s="185" t="s">
        <v>2713</v>
      </c>
      <c r="I71" s="185" t="s">
        <v>2714</v>
      </c>
      <c r="J71" s="185" t="s">
        <v>2715</v>
      </c>
      <c r="K71" s="185" t="s">
        <v>2180</v>
      </c>
      <c r="L71" s="185" t="s">
        <v>2716</v>
      </c>
      <c r="M71" s="185" t="s">
        <v>2717</v>
      </c>
      <c r="N71" s="185">
        <v>2942465</v>
      </c>
      <c r="O71" s="188"/>
      <c r="P71" s="185" t="s">
        <v>3</v>
      </c>
      <c r="Q71" s="185" t="s">
        <v>3</v>
      </c>
      <c r="R71" s="185" t="s">
        <v>1092</v>
      </c>
      <c r="S71" s="185" t="s">
        <v>1092</v>
      </c>
      <c r="T71" s="185" t="s">
        <v>1092</v>
      </c>
      <c r="U71" s="185" t="s">
        <v>3</v>
      </c>
      <c r="V71" s="185" t="s">
        <v>2</v>
      </c>
      <c r="W71" s="185" t="s">
        <v>2</v>
      </c>
      <c r="X71" s="185" t="s">
        <v>1092</v>
      </c>
      <c r="Y71" s="185" t="s">
        <v>3</v>
      </c>
      <c r="Z71" s="185" t="s">
        <v>3</v>
      </c>
      <c r="AA71" s="185" t="s">
        <v>3</v>
      </c>
      <c r="AB71" s="185" t="s">
        <v>2</v>
      </c>
      <c r="AC71" s="185" t="s">
        <v>3</v>
      </c>
      <c r="AD71" s="185" t="s">
        <v>3</v>
      </c>
      <c r="AE71" s="185" t="s">
        <v>3</v>
      </c>
      <c r="AF71" s="185" t="s">
        <v>3</v>
      </c>
      <c r="AG71" s="185" t="s">
        <v>3</v>
      </c>
      <c r="AH71" s="185" t="s">
        <v>1092</v>
      </c>
      <c r="AI71" s="185" t="s">
        <v>1092</v>
      </c>
      <c r="AJ71" s="185" t="s">
        <v>1092</v>
      </c>
      <c r="AK71" s="185" t="s">
        <v>3</v>
      </c>
      <c r="AL71" s="185" t="s">
        <v>1092</v>
      </c>
      <c r="AM71" s="185" t="s">
        <v>2</v>
      </c>
      <c r="AN71" s="185" t="s">
        <v>2</v>
      </c>
      <c r="AO71" s="185" t="s">
        <v>1092</v>
      </c>
      <c r="AP71" s="185" t="s">
        <v>2</v>
      </c>
      <c r="AQ71" s="185" t="s">
        <v>1092</v>
      </c>
      <c r="AR71" s="185" t="s">
        <v>1092</v>
      </c>
      <c r="AS71" s="185" t="s">
        <v>1092</v>
      </c>
      <c r="AT71" s="190" t="s">
        <v>1092</v>
      </c>
      <c r="AU71" s="188"/>
      <c r="AV71" s="185" t="s">
        <v>1902</v>
      </c>
    </row>
    <row r="72" spans="1:48" thickBot="1" x14ac:dyDescent="0.3">
      <c r="A72" s="184">
        <v>42944.969659664348</v>
      </c>
      <c r="B72" s="185" t="s">
        <v>2711</v>
      </c>
      <c r="C72" s="185" t="s">
        <v>2712</v>
      </c>
      <c r="D72" s="185">
        <v>79823010</v>
      </c>
      <c r="E72" s="185" t="s">
        <v>2625</v>
      </c>
      <c r="F72" s="185">
        <v>2006</v>
      </c>
      <c r="G72" s="185">
        <v>3204981532</v>
      </c>
      <c r="H72" s="185" t="s">
        <v>2713</v>
      </c>
      <c r="I72" s="185" t="s">
        <v>2718</v>
      </c>
      <c r="J72" s="185" t="s">
        <v>2715</v>
      </c>
      <c r="K72" s="185" t="s">
        <v>2719</v>
      </c>
      <c r="L72" s="185" t="s">
        <v>2716</v>
      </c>
      <c r="M72" s="185" t="s">
        <v>2717</v>
      </c>
      <c r="N72" s="185">
        <v>2942465</v>
      </c>
      <c r="O72" s="188"/>
      <c r="P72" s="185" t="s">
        <v>2</v>
      </c>
      <c r="Q72" s="185" t="s">
        <v>2</v>
      </c>
      <c r="R72" s="185" t="s">
        <v>1092</v>
      </c>
      <c r="S72" s="185" t="s">
        <v>1092</v>
      </c>
      <c r="T72" s="185" t="s">
        <v>1092</v>
      </c>
      <c r="U72" s="185" t="s">
        <v>3</v>
      </c>
      <c r="V72" s="185" t="s">
        <v>3</v>
      </c>
      <c r="W72" s="185" t="s">
        <v>2</v>
      </c>
      <c r="X72" s="185" t="s">
        <v>1092</v>
      </c>
      <c r="Y72" s="185" t="s">
        <v>1092</v>
      </c>
      <c r="Z72" s="185" t="s">
        <v>3</v>
      </c>
      <c r="AA72" s="185" t="s">
        <v>3</v>
      </c>
      <c r="AB72" s="185" t="s">
        <v>2</v>
      </c>
      <c r="AC72" s="185" t="s">
        <v>1092</v>
      </c>
      <c r="AD72" s="185" t="s">
        <v>3</v>
      </c>
      <c r="AE72" s="185" t="s">
        <v>3</v>
      </c>
      <c r="AF72" s="185" t="s">
        <v>3</v>
      </c>
      <c r="AG72" s="185" t="s">
        <v>3</v>
      </c>
      <c r="AH72" s="185" t="s">
        <v>1092</v>
      </c>
      <c r="AI72" s="185" t="s">
        <v>1092</v>
      </c>
      <c r="AJ72" s="185" t="s">
        <v>1092</v>
      </c>
      <c r="AK72" s="185" t="s">
        <v>1092</v>
      </c>
      <c r="AL72" s="185" t="s">
        <v>1092</v>
      </c>
      <c r="AM72" s="185" t="s">
        <v>2</v>
      </c>
      <c r="AN72" s="185" t="s">
        <v>2</v>
      </c>
      <c r="AO72" s="185" t="s">
        <v>1092</v>
      </c>
      <c r="AP72" s="185" t="s">
        <v>3</v>
      </c>
      <c r="AQ72" s="185" t="s">
        <v>1092</v>
      </c>
      <c r="AR72" s="185" t="s">
        <v>1092</v>
      </c>
      <c r="AS72" s="185" t="s">
        <v>1092</v>
      </c>
      <c r="AT72" s="190" t="s">
        <v>1092</v>
      </c>
      <c r="AU72" s="188"/>
      <c r="AV72" s="185" t="s">
        <v>1902</v>
      </c>
    </row>
    <row r="73" spans="1:48" thickBot="1" x14ac:dyDescent="0.3">
      <c r="A73" s="184">
        <v>42944.976631215279</v>
      </c>
      <c r="B73" s="185" t="s">
        <v>2602</v>
      </c>
      <c r="C73" s="185" t="s">
        <v>2603</v>
      </c>
      <c r="D73" s="185">
        <v>80808938</v>
      </c>
      <c r="E73" s="185" t="s">
        <v>2520</v>
      </c>
      <c r="F73" s="185">
        <v>2014</v>
      </c>
      <c r="G73" s="185">
        <v>3143472033</v>
      </c>
      <c r="H73" s="185" t="s">
        <v>2604</v>
      </c>
      <c r="I73" s="185" t="s">
        <v>2720</v>
      </c>
      <c r="J73" s="185" t="s">
        <v>2721</v>
      </c>
      <c r="K73" s="185" t="s">
        <v>2722</v>
      </c>
      <c r="L73" s="185" t="s">
        <v>2723</v>
      </c>
      <c r="M73" s="185" t="s">
        <v>2724</v>
      </c>
      <c r="N73" s="188"/>
      <c r="O73" s="188"/>
      <c r="P73" s="185" t="s">
        <v>1092</v>
      </c>
      <c r="Q73" s="185" t="s">
        <v>1092</v>
      </c>
      <c r="R73" s="185" t="s">
        <v>1092</v>
      </c>
      <c r="S73" s="185" t="s">
        <v>1092</v>
      </c>
      <c r="T73" s="185" t="s">
        <v>1092</v>
      </c>
      <c r="U73" s="185" t="s">
        <v>1092</v>
      </c>
      <c r="V73" s="185" t="s">
        <v>1092</v>
      </c>
      <c r="W73" s="185" t="s">
        <v>1092</v>
      </c>
      <c r="X73" s="185" t="s">
        <v>1092</v>
      </c>
      <c r="Y73" s="185" t="s">
        <v>3</v>
      </c>
      <c r="Z73" s="185" t="s">
        <v>1092</v>
      </c>
      <c r="AA73" s="185" t="s">
        <v>1092</v>
      </c>
      <c r="AB73" s="185" t="s">
        <v>1092</v>
      </c>
      <c r="AC73" s="185" t="s">
        <v>1092</v>
      </c>
      <c r="AD73" s="185" t="s">
        <v>3</v>
      </c>
      <c r="AE73" s="185" t="s">
        <v>1092</v>
      </c>
      <c r="AF73" s="185" t="s">
        <v>3</v>
      </c>
      <c r="AG73" s="185" t="s">
        <v>3</v>
      </c>
      <c r="AH73" s="185" t="s">
        <v>1092</v>
      </c>
      <c r="AI73" s="185" t="s">
        <v>1092</v>
      </c>
      <c r="AJ73" s="185" t="s">
        <v>3</v>
      </c>
      <c r="AK73" s="185" t="s">
        <v>1092</v>
      </c>
      <c r="AL73" s="185" t="s">
        <v>1092</v>
      </c>
      <c r="AM73" s="185" t="s">
        <v>2</v>
      </c>
      <c r="AN73" s="185" t="s">
        <v>3</v>
      </c>
      <c r="AO73" s="185" t="s">
        <v>1092</v>
      </c>
      <c r="AP73" s="185" t="s">
        <v>1092</v>
      </c>
      <c r="AQ73" s="185" t="s">
        <v>1092</v>
      </c>
      <c r="AR73" s="185" t="s">
        <v>3</v>
      </c>
      <c r="AS73" s="185" t="s">
        <v>3</v>
      </c>
      <c r="AT73" s="191" t="s">
        <v>3</v>
      </c>
      <c r="AU73" s="188"/>
      <c r="AV73" s="185" t="s">
        <v>1902</v>
      </c>
    </row>
    <row r="74" spans="1:48" ht="27" thickBot="1" x14ac:dyDescent="0.3">
      <c r="A74" s="184">
        <v>42945.250932974537</v>
      </c>
      <c r="B74" s="185" t="s">
        <v>2725</v>
      </c>
      <c r="C74" s="185" t="s">
        <v>2726</v>
      </c>
      <c r="D74" s="185">
        <v>79489549</v>
      </c>
      <c r="E74" s="185" t="s">
        <v>2520</v>
      </c>
      <c r="F74" s="185">
        <v>2013</v>
      </c>
      <c r="G74" s="185">
        <v>3013834407</v>
      </c>
      <c r="H74" s="185" t="s">
        <v>2727</v>
      </c>
      <c r="I74" s="185" t="s">
        <v>2728</v>
      </c>
      <c r="J74" s="185" t="s">
        <v>2729</v>
      </c>
      <c r="K74" s="185" t="s">
        <v>2730</v>
      </c>
      <c r="L74" s="185" t="s">
        <v>2731</v>
      </c>
      <c r="M74" s="185" t="s">
        <v>2732</v>
      </c>
      <c r="N74" s="185">
        <v>7196611</v>
      </c>
      <c r="O74" s="188"/>
      <c r="P74" s="185" t="s">
        <v>3</v>
      </c>
      <c r="Q74" s="185" t="s">
        <v>3</v>
      </c>
      <c r="R74" s="185" t="s">
        <v>1092</v>
      </c>
      <c r="S74" s="185" t="s">
        <v>1092</v>
      </c>
      <c r="T74" s="185" t="s">
        <v>2</v>
      </c>
      <c r="U74" s="185" t="s">
        <v>1092</v>
      </c>
      <c r="V74" s="185" t="s">
        <v>2</v>
      </c>
      <c r="W74" s="185" t="s">
        <v>1092</v>
      </c>
      <c r="X74" s="185" t="s">
        <v>1092</v>
      </c>
      <c r="Y74" s="185" t="s">
        <v>3</v>
      </c>
      <c r="Z74" s="185" t="s">
        <v>3</v>
      </c>
      <c r="AA74" s="185" t="s">
        <v>3</v>
      </c>
      <c r="AB74" s="185" t="s">
        <v>2</v>
      </c>
      <c r="AC74" s="185" t="s">
        <v>1</v>
      </c>
      <c r="AD74" s="185" t="s">
        <v>1092</v>
      </c>
      <c r="AE74" s="185" t="s">
        <v>1092</v>
      </c>
      <c r="AF74" s="185" t="s">
        <v>1092</v>
      </c>
      <c r="AG74" s="185" t="s">
        <v>3</v>
      </c>
      <c r="AH74" s="185" t="s">
        <v>1092</v>
      </c>
      <c r="AI74" s="185" t="s">
        <v>3</v>
      </c>
      <c r="AJ74" s="185" t="s">
        <v>3</v>
      </c>
      <c r="AK74" s="185" t="s">
        <v>3</v>
      </c>
      <c r="AL74" s="185" t="s">
        <v>3</v>
      </c>
      <c r="AM74" s="185" t="s">
        <v>2</v>
      </c>
      <c r="AN74" s="185" t="s">
        <v>2</v>
      </c>
      <c r="AO74" s="185" t="s">
        <v>2</v>
      </c>
      <c r="AP74" s="185" t="s">
        <v>2</v>
      </c>
      <c r="AQ74" s="185" t="s">
        <v>3</v>
      </c>
      <c r="AR74" s="185" t="s">
        <v>2</v>
      </c>
      <c r="AS74" s="185" t="s">
        <v>1092</v>
      </c>
      <c r="AT74" s="191" t="s">
        <v>1092</v>
      </c>
      <c r="AU74" s="185" t="s">
        <v>2733</v>
      </c>
      <c r="AV74" s="185" t="s">
        <v>1902</v>
      </c>
    </row>
    <row r="75" spans="1:48" ht="15.75" customHeight="1" thickBot="1" x14ac:dyDescent="0.3">
      <c r="A75" s="184">
        <v>42945.264045231481</v>
      </c>
      <c r="B75" s="185" t="s">
        <v>2725</v>
      </c>
      <c r="C75" s="185" t="s">
        <v>2726</v>
      </c>
      <c r="D75" s="185">
        <v>79489549</v>
      </c>
      <c r="E75" s="185" t="s">
        <v>2520</v>
      </c>
      <c r="F75" s="185">
        <v>2013</v>
      </c>
      <c r="G75" s="185">
        <v>3013834407</v>
      </c>
      <c r="H75" s="185" t="s">
        <v>2727</v>
      </c>
      <c r="I75" s="185" t="s">
        <v>2728</v>
      </c>
      <c r="J75" s="185" t="s">
        <v>2734</v>
      </c>
      <c r="K75" s="185" t="s">
        <v>2730</v>
      </c>
      <c r="L75" s="185" t="s">
        <v>2731</v>
      </c>
      <c r="M75" s="185" t="s">
        <v>2732</v>
      </c>
      <c r="N75" s="185">
        <v>7196611</v>
      </c>
      <c r="O75" s="188"/>
      <c r="P75" s="185" t="s">
        <v>3</v>
      </c>
      <c r="Q75" s="185" t="s">
        <v>1092</v>
      </c>
      <c r="R75" s="185" t="s">
        <v>1092</v>
      </c>
      <c r="S75" s="185" t="s">
        <v>1092</v>
      </c>
      <c r="T75" s="185" t="s">
        <v>3</v>
      </c>
      <c r="U75" s="185" t="s">
        <v>1092</v>
      </c>
      <c r="V75" s="185" t="s">
        <v>2</v>
      </c>
      <c r="W75" s="185" t="s">
        <v>3</v>
      </c>
      <c r="X75" s="185" t="s">
        <v>1092</v>
      </c>
      <c r="Y75" s="185" t="s">
        <v>2</v>
      </c>
      <c r="Z75" s="185" t="s">
        <v>3</v>
      </c>
      <c r="AA75" s="185" t="s">
        <v>1092</v>
      </c>
      <c r="AB75" s="185" t="s">
        <v>2</v>
      </c>
      <c r="AC75" s="185" t="s">
        <v>2</v>
      </c>
      <c r="AD75" s="185" t="s">
        <v>1092</v>
      </c>
      <c r="AE75" s="185" t="s">
        <v>3</v>
      </c>
      <c r="AF75" s="185" t="s">
        <v>1092</v>
      </c>
      <c r="AG75" s="185" t="s">
        <v>3</v>
      </c>
      <c r="AH75" s="185" t="s">
        <v>1092</v>
      </c>
      <c r="AI75" s="185" t="s">
        <v>3</v>
      </c>
      <c r="AJ75" s="185" t="s">
        <v>3</v>
      </c>
      <c r="AK75" s="185" t="s">
        <v>3</v>
      </c>
      <c r="AL75" s="185" t="s">
        <v>3</v>
      </c>
      <c r="AM75" s="185" t="s">
        <v>2</v>
      </c>
      <c r="AN75" s="185" t="s">
        <v>3</v>
      </c>
      <c r="AO75" s="185" t="s">
        <v>3</v>
      </c>
      <c r="AP75" s="185" t="s">
        <v>3</v>
      </c>
      <c r="AQ75" s="185" t="s">
        <v>3</v>
      </c>
      <c r="AR75" s="185" t="s">
        <v>3</v>
      </c>
      <c r="AS75" s="185" t="s">
        <v>1092</v>
      </c>
      <c r="AT75" s="191" t="s">
        <v>1092</v>
      </c>
      <c r="AU75" s="185" t="s">
        <v>2735</v>
      </c>
      <c r="AV75" s="185" t="s">
        <v>1902</v>
      </c>
    </row>
    <row r="76" spans="1:48" ht="15.75" customHeight="1" thickBot="1" x14ac:dyDescent="0.3">
      <c r="A76" s="184">
        <v>42945.367553055556</v>
      </c>
      <c r="B76" s="185" t="s">
        <v>2191</v>
      </c>
      <c r="C76" s="185" t="s">
        <v>2192</v>
      </c>
      <c r="D76" s="185">
        <v>79727429</v>
      </c>
      <c r="E76" s="185" t="s">
        <v>1896</v>
      </c>
      <c r="F76" s="185">
        <v>2005</v>
      </c>
      <c r="G76" s="185">
        <v>3112601714</v>
      </c>
      <c r="H76" s="185" t="s">
        <v>2193</v>
      </c>
      <c r="I76" s="185" t="s">
        <v>2195</v>
      </c>
      <c r="J76" s="185" t="s">
        <v>2196</v>
      </c>
      <c r="K76" s="185" t="s">
        <v>2197</v>
      </c>
      <c r="L76" s="185" t="s">
        <v>2198</v>
      </c>
      <c r="M76" s="185" t="s">
        <v>2199</v>
      </c>
      <c r="N76" s="185">
        <v>3599300</v>
      </c>
      <c r="O76" s="188"/>
      <c r="P76" s="185" t="s">
        <v>3</v>
      </c>
      <c r="Q76" s="185" t="s">
        <v>3</v>
      </c>
      <c r="R76" s="185" t="s">
        <v>1092</v>
      </c>
      <c r="S76" s="185" t="s">
        <v>1092</v>
      </c>
      <c r="T76" s="185" t="s">
        <v>3</v>
      </c>
      <c r="U76" s="185" t="s">
        <v>1092</v>
      </c>
      <c r="V76" s="185" t="s">
        <v>1092</v>
      </c>
      <c r="W76" s="185" t="s">
        <v>1092</v>
      </c>
      <c r="X76" s="185" t="s">
        <v>1092</v>
      </c>
      <c r="Y76" s="185" t="s">
        <v>3</v>
      </c>
      <c r="Z76" s="185" t="s">
        <v>3</v>
      </c>
      <c r="AA76" s="185" t="s">
        <v>1</v>
      </c>
      <c r="AB76" s="185" t="s">
        <v>2</v>
      </c>
      <c r="AC76" s="185" t="s">
        <v>3</v>
      </c>
      <c r="AD76" s="185" t="s">
        <v>2</v>
      </c>
      <c r="AE76" s="185" t="s">
        <v>3</v>
      </c>
      <c r="AF76" s="185" t="s">
        <v>2</v>
      </c>
      <c r="AG76" s="185" t="s">
        <v>2</v>
      </c>
      <c r="AH76" s="185" t="s">
        <v>1092</v>
      </c>
      <c r="AI76" s="185" t="s">
        <v>1</v>
      </c>
      <c r="AJ76" s="185" t="s">
        <v>1</v>
      </c>
      <c r="AK76" s="185" t="s">
        <v>1092</v>
      </c>
      <c r="AL76" s="185" t="s">
        <v>1092</v>
      </c>
      <c r="AM76" s="185" t="s">
        <v>2</v>
      </c>
      <c r="AN76" s="185" t="s">
        <v>2</v>
      </c>
      <c r="AO76" s="185" t="s">
        <v>3</v>
      </c>
      <c r="AP76" s="185" t="s">
        <v>2</v>
      </c>
      <c r="AQ76" s="185" t="s">
        <v>1092</v>
      </c>
      <c r="AR76" s="185" t="s">
        <v>1092</v>
      </c>
      <c r="AS76" s="185" t="s">
        <v>1092</v>
      </c>
      <c r="AT76" s="190" t="s">
        <v>1092</v>
      </c>
      <c r="AU76" s="185" t="s">
        <v>2194</v>
      </c>
      <c r="AV76" s="185" t="s">
        <v>1902</v>
      </c>
    </row>
    <row r="77" spans="1:48" ht="15.75" customHeight="1" thickBot="1" x14ac:dyDescent="0.3">
      <c r="A77" s="184">
        <v>42945.378329166662</v>
      </c>
      <c r="B77" s="185" t="s">
        <v>2736</v>
      </c>
      <c r="C77" s="185" t="s">
        <v>2737</v>
      </c>
      <c r="D77" s="185">
        <v>79898003</v>
      </c>
      <c r="E77" s="185" t="s">
        <v>2520</v>
      </c>
      <c r="F77" s="185">
        <v>2017</v>
      </c>
      <c r="G77" s="185">
        <v>3112876571</v>
      </c>
      <c r="H77" s="185" t="s">
        <v>2738</v>
      </c>
      <c r="I77" s="185" t="s">
        <v>2739</v>
      </c>
      <c r="J77" s="185" t="s">
        <v>2740</v>
      </c>
      <c r="K77" s="185" t="s">
        <v>2741</v>
      </c>
      <c r="L77" s="188"/>
      <c r="M77" s="188"/>
      <c r="N77" s="188"/>
      <c r="O77" s="188"/>
      <c r="P77" s="185" t="s">
        <v>3</v>
      </c>
      <c r="Q77" s="185" t="s">
        <v>3</v>
      </c>
      <c r="R77" s="185" t="s">
        <v>3</v>
      </c>
      <c r="S77" s="185" t="s">
        <v>3</v>
      </c>
      <c r="T77" s="185" t="s">
        <v>2</v>
      </c>
      <c r="U77" s="185" t="s">
        <v>3</v>
      </c>
      <c r="V77" s="185" t="s">
        <v>1</v>
      </c>
      <c r="W77" s="185" t="s">
        <v>2</v>
      </c>
      <c r="X77" s="185" t="s">
        <v>1092</v>
      </c>
      <c r="Y77" s="185" t="s">
        <v>3</v>
      </c>
      <c r="Z77" s="185" t="s">
        <v>2</v>
      </c>
      <c r="AA77" s="185" t="s">
        <v>3</v>
      </c>
      <c r="AB77" s="185" t="s">
        <v>3</v>
      </c>
      <c r="AC77" s="185" t="s">
        <v>3</v>
      </c>
      <c r="AD77" s="185" t="s">
        <v>3</v>
      </c>
      <c r="AE77" s="185" t="s">
        <v>1092</v>
      </c>
      <c r="AF77" s="185" t="s">
        <v>2</v>
      </c>
      <c r="AG77" s="185" t="s">
        <v>3</v>
      </c>
      <c r="AH77" s="185" t="s">
        <v>1092</v>
      </c>
      <c r="AI77" s="185" t="s">
        <v>1092</v>
      </c>
      <c r="AJ77" s="185" t="s">
        <v>1092</v>
      </c>
      <c r="AK77" s="185" t="s">
        <v>1092</v>
      </c>
      <c r="AL77" s="185" t="s">
        <v>1092</v>
      </c>
      <c r="AM77" s="185" t="s">
        <v>1</v>
      </c>
      <c r="AN77" s="185" t="s">
        <v>1</v>
      </c>
      <c r="AO77" s="185" t="s">
        <v>1092</v>
      </c>
      <c r="AP77" s="185" t="s">
        <v>3</v>
      </c>
      <c r="AQ77" s="185" t="s">
        <v>1092</v>
      </c>
      <c r="AR77" s="185" t="s">
        <v>2</v>
      </c>
      <c r="AS77" s="185" t="s">
        <v>1092</v>
      </c>
      <c r="AT77" s="190" t="s">
        <v>1092</v>
      </c>
      <c r="AU77" s="188"/>
      <c r="AV77" s="185" t="s">
        <v>1902</v>
      </c>
    </row>
    <row r="78" spans="1:48" ht="15.75" customHeight="1" thickBot="1" x14ac:dyDescent="0.25">
      <c r="A78" s="184">
        <v>42945.425365613424</v>
      </c>
      <c r="B78" s="185" t="s">
        <v>2200</v>
      </c>
      <c r="C78" s="185" t="s">
        <v>2201</v>
      </c>
      <c r="D78" s="185">
        <v>52529975</v>
      </c>
      <c r="E78" s="185" t="s">
        <v>1896</v>
      </c>
      <c r="F78" s="185">
        <v>2005</v>
      </c>
      <c r="G78" s="185">
        <v>3163655527</v>
      </c>
      <c r="H78" s="185" t="s">
        <v>2202</v>
      </c>
      <c r="I78" s="185" t="s">
        <v>2204</v>
      </c>
      <c r="J78" s="185" t="s">
        <v>2205</v>
      </c>
      <c r="K78" s="185" t="s">
        <v>2038</v>
      </c>
      <c r="L78" s="185" t="s">
        <v>2206</v>
      </c>
      <c r="M78" s="185" t="s">
        <v>2207</v>
      </c>
      <c r="N78" s="185">
        <v>3239300</v>
      </c>
      <c r="O78" s="185" t="s">
        <v>2208</v>
      </c>
      <c r="P78" s="185" t="s">
        <v>3</v>
      </c>
      <c r="Q78" s="185" t="s">
        <v>3</v>
      </c>
      <c r="R78" s="185" t="s">
        <v>3</v>
      </c>
      <c r="S78" s="185" t="s">
        <v>3</v>
      </c>
      <c r="T78" s="185" t="s">
        <v>3</v>
      </c>
      <c r="U78" s="185" t="s">
        <v>3</v>
      </c>
      <c r="V78" s="185" t="s">
        <v>2</v>
      </c>
      <c r="W78" s="185" t="s">
        <v>3</v>
      </c>
      <c r="X78" s="185" t="s">
        <v>3</v>
      </c>
      <c r="Y78" s="185" t="s">
        <v>1092</v>
      </c>
      <c r="Z78" s="185" t="s">
        <v>3</v>
      </c>
      <c r="AA78" s="185" t="s">
        <v>3</v>
      </c>
      <c r="AB78" s="185" t="s">
        <v>2</v>
      </c>
      <c r="AC78" s="185" t="s">
        <v>3</v>
      </c>
      <c r="AD78" s="185" t="s">
        <v>1092</v>
      </c>
      <c r="AE78" s="185" t="s">
        <v>3</v>
      </c>
      <c r="AF78" s="185" t="s">
        <v>3</v>
      </c>
      <c r="AG78" s="185" t="s">
        <v>3</v>
      </c>
      <c r="AH78" s="185" t="s">
        <v>1092</v>
      </c>
      <c r="AI78" s="185" t="s">
        <v>3</v>
      </c>
      <c r="AJ78" s="185" t="s">
        <v>2</v>
      </c>
      <c r="AK78" s="185" t="s">
        <v>1092</v>
      </c>
      <c r="AL78" s="185" t="s">
        <v>3</v>
      </c>
      <c r="AM78" s="185" t="s">
        <v>2</v>
      </c>
      <c r="AN78" s="185" t="s">
        <v>2</v>
      </c>
      <c r="AO78" s="185" t="s">
        <v>3</v>
      </c>
      <c r="AP78" s="185" t="s">
        <v>3</v>
      </c>
      <c r="AQ78" s="185" t="s">
        <v>3</v>
      </c>
      <c r="AR78" s="185" t="s">
        <v>5</v>
      </c>
      <c r="AS78" s="185" t="s">
        <v>1092</v>
      </c>
      <c r="AT78" s="190" t="s">
        <v>1092</v>
      </c>
      <c r="AU78" s="185" t="s">
        <v>2203</v>
      </c>
      <c r="AV78" s="185" t="s">
        <v>1902</v>
      </c>
    </row>
    <row r="79" spans="1:48" ht="15.75" customHeight="1" thickBot="1" x14ac:dyDescent="0.25">
      <c r="A79" s="184">
        <v>42945.425390243057</v>
      </c>
      <c r="B79" s="185" t="s">
        <v>2200</v>
      </c>
      <c r="C79" s="185" t="s">
        <v>2201</v>
      </c>
      <c r="D79" s="185">
        <v>52529975</v>
      </c>
      <c r="E79" s="185" t="s">
        <v>1896</v>
      </c>
      <c r="F79" s="185">
        <v>2005</v>
      </c>
      <c r="G79" s="185">
        <v>3163655527</v>
      </c>
      <c r="H79" s="185" t="s">
        <v>2202</v>
      </c>
      <c r="I79" s="185" t="s">
        <v>2204</v>
      </c>
      <c r="J79" s="185" t="s">
        <v>2205</v>
      </c>
      <c r="K79" s="185" t="s">
        <v>2038</v>
      </c>
      <c r="L79" s="185" t="s">
        <v>2206</v>
      </c>
      <c r="M79" s="185" t="s">
        <v>2207</v>
      </c>
      <c r="N79" s="185">
        <v>3239300</v>
      </c>
      <c r="O79" s="185" t="s">
        <v>2208</v>
      </c>
      <c r="P79" s="185" t="s">
        <v>3</v>
      </c>
      <c r="Q79" s="185" t="s">
        <v>3</v>
      </c>
      <c r="R79" s="185" t="s">
        <v>3</v>
      </c>
      <c r="S79" s="185" t="s">
        <v>3</v>
      </c>
      <c r="T79" s="185" t="s">
        <v>3</v>
      </c>
      <c r="U79" s="185" t="s">
        <v>3</v>
      </c>
      <c r="V79" s="185" t="s">
        <v>2</v>
      </c>
      <c r="W79" s="185" t="s">
        <v>3</v>
      </c>
      <c r="X79" s="185" t="s">
        <v>3</v>
      </c>
      <c r="Y79" s="185" t="s">
        <v>1092</v>
      </c>
      <c r="Z79" s="185" t="s">
        <v>3</v>
      </c>
      <c r="AA79" s="185" t="s">
        <v>3</v>
      </c>
      <c r="AB79" s="185" t="s">
        <v>2</v>
      </c>
      <c r="AC79" s="185" t="s">
        <v>3</v>
      </c>
      <c r="AD79" s="185" t="s">
        <v>1092</v>
      </c>
      <c r="AE79" s="185" t="s">
        <v>3</v>
      </c>
      <c r="AF79" s="185" t="s">
        <v>3</v>
      </c>
      <c r="AG79" s="185" t="s">
        <v>3</v>
      </c>
      <c r="AH79" s="185" t="s">
        <v>1092</v>
      </c>
      <c r="AI79" s="185" t="s">
        <v>3</v>
      </c>
      <c r="AJ79" s="185" t="s">
        <v>2</v>
      </c>
      <c r="AK79" s="185" t="s">
        <v>1092</v>
      </c>
      <c r="AL79" s="185" t="s">
        <v>3</v>
      </c>
      <c r="AM79" s="185" t="s">
        <v>2</v>
      </c>
      <c r="AN79" s="185" t="s">
        <v>2</v>
      </c>
      <c r="AO79" s="185" t="s">
        <v>3</v>
      </c>
      <c r="AP79" s="185" t="s">
        <v>3</v>
      </c>
      <c r="AQ79" s="185" t="s">
        <v>3</v>
      </c>
      <c r="AR79" s="185" t="s">
        <v>5</v>
      </c>
      <c r="AS79" s="185" t="s">
        <v>1092</v>
      </c>
      <c r="AT79" s="190" t="s">
        <v>1092</v>
      </c>
      <c r="AU79" s="185" t="s">
        <v>2203</v>
      </c>
      <c r="AV79" s="185" t="s">
        <v>1902</v>
      </c>
    </row>
  </sheetData>
  <autoFilter ref="A1:AV79"/>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9"/>
  <sheetViews>
    <sheetView topLeftCell="B73" zoomScale="85" zoomScaleNormal="85" zoomScalePageLayoutView="85" workbookViewId="0">
      <selection activeCell="H92" sqref="H92"/>
    </sheetView>
  </sheetViews>
  <sheetFormatPr baseColWidth="10" defaultColWidth="11.42578125" defaultRowHeight="12.75" x14ac:dyDescent="0.2"/>
  <cols>
    <col min="1" max="1" width="41.28515625" style="161" customWidth="1"/>
    <col min="2" max="2" width="29.7109375" style="161" customWidth="1"/>
    <col min="3" max="3" width="13.85546875" style="161" customWidth="1"/>
    <col min="4" max="4" width="25.28515625" style="161" customWidth="1"/>
    <col min="5" max="5" width="11" style="161" customWidth="1"/>
    <col min="6" max="6" width="25.140625" style="161" customWidth="1"/>
    <col min="7" max="7" width="35.42578125" style="161" customWidth="1"/>
    <col min="8" max="8" width="12.42578125" style="161" bestFit="1" customWidth="1"/>
    <col min="9" max="9" width="5.42578125" style="161" customWidth="1"/>
    <col min="10" max="16384" width="11.42578125" style="161"/>
  </cols>
  <sheetData>
    <row r="2" spans="1:8" ht="15" x14ac:dyDescent="0.25">
      <c r="A2"/>
      <c r="B2" s="164" t="s">
        <v>2816</v>
      </c>
      <c r="C2"/>
      <c r="D2"/>
      <c r="E2"/>
      <c r="F2"/>
      <c r="G2"/>
    </row>
    <row r="3" spans="1:8" ht="15" x14ac:dyDescent="0.25">
      <c r="A3"/>
      <c r="B3" t="s">
        <v>1093</v>
      </c>
      <c r="C3" t="s">
        <v>2</v>
      </c>
      <c r="D3" t="s">
        <v>3</v>
      </c>
      <c r="E3" t="s">
        <v>1092</v>
      </c>
      <c r="F3" t="s">
        <v>5</v>
      </c>
      <c r="G3" t="s">
        <v>1096</v>
      </c>
    </row>
    <row r="4" spans="1:8" ht="15" x14ac:dyDescent="0.25">
      <c r="A4" t="s">
        <v>1336</v>
      </c>
      <c r="B4" s="165">
        <v>5</v>
      </c>
      <c r="C4" s="165">
        <v>13</v>
      </c>
      <c r="D4" s="165">
        <v>30</v>
      </c>
      <c r="E4" s="165">
        <v>24</v>
      </c>
      <c r="F4" s="165">
        <v>6</v>
      </c>
      <c r="G4" s="165">
        <v>78</v>
      </c>
    </row>
    <row r="5" spans="1:8" ht="15" x14ac:dyDescent="0.25">
      <c r="A5"/>
      <c r="B5" s="215">
        <f>+GETPIVOTDATA("1. Conozco la misión de la Universidad Distrital Francisco José de Caldas.",$A$2,"1. Conozco la misión de la Universidad Distrital Francisco José de Caldas.","Totalmente en desacuerdo / NO")/GETPIVOTDATA("1. Conozco la misión de la Universidad Distrital Francisco José de Caldas.",$A$2)</f>
        <v>6.4102564102564097E-2</v>
      </c>
      <c r="C5" s="217">
        <f>+GETPIVOTDATA("1. Conozco la misión de la Universidad Distrital Francisco José de Caldas.",$A$2,"1. Conozco la misión de la Universidad Distrital Francisco José de Caldas.","Medianamente de acuerdo")/GETPIVOTDATA("1. Conozco la misión de la Universidad Distrital Francisco José de Caldas.",$A$2)</f>
        <v>0.16666666666666666</v>
      </c>
      <c r="D5" s="217">
        <f>+GETPIVOTDATA("1. Conozco la misión de la Universidad Distrital Francisco José de Caldas.",$A$2,"1. Conozco la misión de la Universidad Distrital Francisco José de Caldas.","De acuerdo")/GETPIVOTDATA("1. Conozco la misión de la Universidad Distrital Francisco José de Caldas.",$A$2)</f>
        <v>0.38461538461538464</v>
      </c>
      <c r="E5" s="217">
        <f>+GETPIVOTDATA("1. Conozco la misión de la Universidad Distrital Francisco José de Caldas.",$A$2,"1. Conozco la misión de la Universidad Distrital Francisco José de Caldas.","Totalmente de acuerdo / SI")/GETPIVOTDATA("1. Conozco la misión de la Universidad Distrital Francisco José de Caldas.",$A$2)</f>
        <v>0.30769230769230771</v>
      </c>
      <c r="F5" s="217">
        <f>+GETPIVOTDATA("1. Conozco la misión de la Universidad Distrital Francisco José de Caldas.",$A$2,"1. Conozco la misión de la Universidad Distrital Francisco José de Caldas.","No sabe / No puede opinar al respecto")/GETPIVOTDATA("1. Conozco la misión de la Universidad Distrital Francisco José de Caldas.",$A$2)</f>
        <v>7.6923076923076927E-2</v>
      </c>
      <c r="H5" s="217">
        <f>SUM(B5:G5)</f>
        <v>1</v>
      </c>
    </row>
    <row r="6" spans="1:8" ht="15" x14ac:dyDescent="0.25">
      <c r="A6"/>
      <c r="B6" s="164" t="s">
        <v>2816</v>
      </c>
      <c r="C6"/>
      <c r="D6"/>
      <c r="E6"/>
      <c r="F6"/>
      <c r="G6"/>
      <c r="H6"/>
    </row>
    <row r="7" spans="1:8" ht="15" x14ac:dyDescent="0.25">
      <c r="A7"/>
      <c r="B7" t="s">
        <v>1093</v>
      </c>
      <c r="C7" t="s">
        <v>2</v>
      </c>
      <c r="D7" t="s">
        <v>3</v>
      </c>
      <c r="E7" t="s">
        <v>1092</v>
      </c>
      <c r="F7" t="s">
        <v>5</v>
      </c>
      <c r="G7" t="s">
        <v>1096</v>
      </c>
      <c r="H7"/>
    </row>
    <row r="8" spans="1:8" ht="15" x14ac:dyDescent="0.25">
      <c r="A8" t="s">
        <v>1337</v>
      </c>
      <c r="B8" s="165">
        <v>2</v>
      </c>
      <c r="C8" s="165">
        <v>8</v>
      </c>
      <c r="D8" s="165">
        <v>35</v>
      </c>
      <c r="E8" s="165">
        <v>23</v>
      </c>
      <c r="F8" s="165">
        <v>10</v>
      </c>
      <c r="G8" s="165">
        <v>78</v>
      </c>
      <c r="H8"/>
    </row>
    <row r="9" spans="1:8" ht="15" x14ac:dyDescent="0.25">
      <c r="A9"/>
      <c r="B9" s="215">
        <f>+GETPIVOTDATA("2. Me siento identificado con la misión de la Universidad Distrital Francisco José de Caldas.",$A$6,"2. Me siento identificado con la misión de la Universidad Distrital Francisco José de Caldas.","Totalmente en desacuerdo / NO")/GETPIVOTDATA("2. Me siento identificado con la misión de la Universidad Distrital Francisco José de Caldas.",$A$6)</f>
        <v>2.564102564102564E-2</v>
      </c>
      <c r="C9" s="217">
        <f>+GETPIVOTDATA("2. Me siento identificado con la misión de la Universidad Distrital Francisco José de Caldas.",$A$6,"2. Me siento identificado con la misión de la Universidad Distrital Francisco José de Caldas.","Medianamente de acuerdo")/GETPIVOTDATA("2. Me siento identificado con la misión de la Universidad Distrital Francisco José de Caldas.",$A$6)</f>
        <v>0.10256410256410256</v>
      </c>
      <c r="D9" s="217">
        <f>+GETPIVOTDATA("2. Me siento identificado con la misión de la Universidad Distrital Francisco José de Caldas.",$A$6,"2. Me siento identificado con la misión de la Universidad Distrital Francisco José de Caldas.","De acuerdo")/GETPIVOTDATA("2. Me siento identificado con la misión de la Universidad Distrital Francisco José de Caldas.",$A$6)</f>
        <v>0.44871794871794873</v>
      </c>
      <c r="E9" s="217">
        <f>+GETPIVOTDATA("2. Me siento identificado con la misión de la Universidad Distrital Francisco José de Caldas.",$A$6,"2. Me siento identificado con la misión de la Universidad Distrital Francisco José de Caldas.","Totalmente de acuerdo / SI")/GETPIVOTDATA("2. Me siento identificado con la misión de la Universidad Distrital Francisco José de Caldas.",$A$6)</f>
        <v>0.29487179487179488</v>
      </c>
      <c r="F9" s="217">
        <f>+GETPIVOTDATA("2. Me siento identificado con la misión de la Universidad Distrital Francisco José de Caldas.",$A$6,"2. Me siento identificado con la misión de la Universidad Distrital Francisco José de Caldas.","No sabe / No puede opinar al respecto")/GETPIVOTDATA("2. Me siento identificado con la misión de la Universidad Distrital Francisco José de Caldas.",$A$6)</f>
        <v>0.12820512820512819</v>
      </c>
      <c r="G9" s="217"/>
      <c r="H9" s="217">
        <f>SUM(B9:G9)</f>
        <v>1</v>
      </c>
    </row>
    <row r="10" spans="1:8" ht="15" x14ac:dyDescent="0.25">
      <c r="A10"/>
      <c r="B10" s="164" t="s">
        <v>2816</v>
      </c>
      <c r="C10"/>
      <c r="D10"/>
      <c r="E10"/>
      <c r="F10"/>
      <c r="G10"/>
      <c r="H10"/>
    </row>
    <row r="11" spans="1:8" ht="15" x14ac:dyDescent="0.25">
      <c r="A11"/>
      <c r="B11" t="s">
        <v>1093</v>
      </c>
      <c r="C11" t="s">
        <v>1</v>
      </c>
      <c r="D11" t="s">
        <v>2</v>
      </c>
      <c r="E11" t="s">
        <v>3</v>
      </c>
      <c r="F11" t="s">
        <v>1092</v>
      </c>
      <c r="G11" t="s">
        <v>5</v>
      </c>
      <c r="H11" t="s">
        <v>1096</v>
      </c>
    </row>
    <row r="12" spans="1:8" ht="15" x14ac:dyDescent="0.25">
      <c r="A12" t="s">
        <v>1338</v>
      </c>
      <c r="B12" s="165">
        <v>2</v>
      </c>
      <c r="C12" s="165">
        <v>2</v>
      </c>
      <c r="D12" s="165">
        <v>5</v>
      </c>
      <c r="E12" s="165">
        <v>20</v>
      </c>
      <c r="F12" s="165">
        <v>47</v>
      </c>
      <c r="G12" s="165">
        <v>2</v>
      </c>
      <c r="H12" s="165">
        <v>78</v>
      </c>
    </row>
    <row r="13" spans="1:8" ht="15" x14ac:dyDescent="0.25">
      <c r="A13"/>
      <c r="B13" s="215">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ingresos.","Totalmente en desacuerdo / NO")/GETPIVOTDATA("3. Considero que la Universidad Distrital Francisco José de Caldas es una alternativa real para acceder al conocimiento por parte de la población bogotana de menores ingresos.",$A$10)</f>
        <v>2.564102564102564E-2</v>
      </c>
      <c r="C13" s="217">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ingresos.","En desacuerdo")/GETPIVOTDATA("3. Considero que la Universidad Distrital Francisco José de Caldas es una alternativa real para acceder al conocimiento por parte de la población bogotana de menores ingresos.",$A$10)</f>
        <v>2.564102564102564E-2</v>
      </c>
      <c r="D13" s="217">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ingresos.","Medianamente de acuerdo")/GETPIVOTDATA("3. Considero que la Universidad Distrital Francisco José de Caldas es una alternativa real para acceder al conocimiento por parte de la población bogotana de menores ingresos.",$A$10)</f>
        <v>6.4102564102564097E-2</v>
      </c>
      <c r="E13" s="217">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ingresos.","De acuerdo")/GETPIVOTDATA("3. Considero que la Universidad Distrital Francisco José de Caldas es una alternativa real para acceder al conocimiento por parte de la población bogotana de menores ingresos.",$A$10)</f>
        <v>0.25641025641025639</v>
      </c>
      <c r="F13" s="217">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ingresos.","Totalmente de acuerdo / SI")/GETPIVOTDATA("3. Considero que la Universidad Distrital Francisco José de Caldas es una alternativa real para acceder al conocimiento por parte de la población bogotana de menores ingresos.",$A$10)</f>
        <v>0.60256410256410253</v>
      </c>
      <c r="G13" s="217">
        <f>+GETPIVOTDATA("3. Considero que la Universidad Distrital Francisco José de Caldas es una alternativa real para acceder al conocimiento por parte de la población bogotana de menores ingresos.",$A$10,"3. Considero que la Universidad Distrital Francisco José de Caldas es una alternativa real para acceder al conocimiento por parte de la población bogotana de menores ingresos.","No sabe / No puede opinar al respecto")/GETPIVOTDATA("3. Considero que la Universidad Distrital Francisco José de Caldas es una alternativa real para acceder al conocimiento por parte de la población bogotana de menores ingresos.",$A$10)</f>
        <v>2.564102564102564E-2</v>
      </c>
      <c r="H13" s="217">
        <f>SUM(B13:G13)</f>
        <v>0.99999999999999989</v>
      </c>
    </row>
    <row r="14" spans="1:8" ht="15" x14ac:dyDescent="0.25">
      <c r="A14"/>
      <c r="B14" s="164" t="s">
        <v>2816</v>
      </c>
      <c r="C14"/>
      <c r="D14"/>
      <c r="E14"/>
      <c r="F14"/>
      <c r="G14"/>
      <c r="H14"/>
    </row>
    <row r="15" spans="1:8" ht="15" x14ac:dyDescent="0.25">
      <c r="A15"/>
      <c r="B15" t="s">
        <v>1093</v>
      </c>
      <c r="C15" t="s">
        <v>1</v>
      </c>
      <c r="D15" t="s">
        <v>2</v>
      </c>
      <c r="E15" t="s">
        <v>3</v>
      </c>
      <c r="F15" t="s">
        <v>1092</v>
      </c>
      <c r="G15" t="s">
        <v>5</v>
      </c>
      <c r="H15" t="s">
        <v>1096</v>
      </c>
    </row>
    <row r="16" spans="1:8" ht="15" x14ac:dyDescent="0.25">
      <c r="A16" t="s">
        <v>1339</v>
      </c>
      <c r="B16" s="165">
        <v>1</v>
      </c>
      <c r="C16" s="165">
        <v>1</v>
      </c>
      <c r="D16" s="165">
        <v>11</v>
      </c>
      <c r="E16" s="165">
        <v>28</v>
      </c>
      <c r="F16" s="165">
        <v>36</v>
      </c>
      <c r="G16" s="165">
        <v>1</v>
      </c>
      <c r="H16" s="165">
        <v>78</v>
      </c>
    </row>
    <row r="17" spans="1:8" ht="15" x14ac:dyDescent="0.25">
      <c r="A17"/>
      <c r="B17" s="215">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país.","Totalmente en desacuerdo / NO")/GETPIVOTDATA("4. Considero que la Universidad Distrital Francisco José de Caldas desarrolla una educación de alta calidad con capacidad de responder a los retos del Distrito Capital y del país.",$A$14)</f>
        <v>1.282051282051282E-2</v>
      </c>
      <c r="C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país.","En desacuerdo")/GETPIVOTDATA("4. Considero que la Universidad Distrital Francisco José de Caldas desarrolla una educación de alta calidad con capacidad de responder a los retos del Distrito Capital y del país.",$A$14)</f>
        <v>1.282051282051282E-2</v>
      </c>
      <c r="D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país.","Medianamente de acuerdo")/GETPIVOTDATA("4. Considero que la Universidad Distrital Francisco José de Caldas desarrolla una educación de alta calidad con capacidad de responder a los retos del Distrito Capital y del país.",$A$14)</f>
        <v>0.14102564102564102</v>
      </c>
      <c r="E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país.","De acuerdo")/GETPIVOTDATA("4. Considero que la Universidad Distrital Francisco José de Caldas desarrolla una educación de alta calidad con capacidad de responder a los retos del Distrito Capital y del país.",$A$14)</f>
        <v>0.35897435897435898</v>
      </c>
      <c r="F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país.","Totalmente de acuerdo / SI")/GETPIVOTDATA("4. Considero que la Universidad Distrital Francisco José de Caldas desarrolla una educación de alta calidad con capacidad de responder a los retos del Distrito Capital y del país.",$A$14)</f>
        <v>0.46153846153846156</v>
      </c>
      <c r="G17" s="217">
        <f>+GETPIVOTDATA("4. Considero que la Universidad Distrital Francisco José de Caldas desarrolla una educación de alta calidad con capacidad de responder a los retos del Distrito Capital y del país.",$A$14,"4. Considero que la Universidad Distrital Francisco José de Caldas desarrolla una educación de alta calidad con capacidad de responder a los retos del Distrito Capital y del país.","No sabe / No puede opinar al respecto")/GETPIVOTDATA("4. Considero que la Universidad Distrital Francisco José de Caldas desarrolla una educación de alta calidad con capacidad de responder a los retos del Distrito Capital y del país.",$A$14)</f>
        <v>1.282051282051282E-2</v>
      </c>
      <c r="H17" s="217">
        <f>SUM(B17:G17)</f>
        <v>1</v>
      </c>
    </row>
    <row r="18" spans="1:8" ht="15" x14ac:dyDescent="0.25">
      <c r="A18"/>
      <c r="B18" s="164" t="s">
        <v>2816</v>
      </c>
      <c r="C18"/>
      <c r="D18"/>
      <c r="E18"/>
      <c r="F18"/>
      <c r="G18"/>
      <c r="H18"/>
    </row>
    <row r="19" spans="1:8" ht="15" x14ac:dyDescent="0.25">
      <c r="A19"/>
      <c r="B19" t="s">
        <v>1093</v>
      </c>
      <c r="C19" t="s">
        <v>1</v>
      </c>
      <c r="D19" t="s">
        <v>2</v>
      </c>
      <c r="E19" t="s">
        <v>3</v>
      </c>
      <c r="F19" t="s">
        <v>1092</v>
      </c>
      <c r="G19" t="s">
        <v>5</v>
      </c>
      <c r="H19" t="s">
        <v>1096</v>
      </c>
    </row>
    <row r="20" spans="1:8" ht="15" x14ac:dyDescent="0.25">
      <c r="A20" t="s">
        <v>2233</v>
      </c>
      <c r="B20" s="165">
        <v>2</v>
      </c>
      <c r="C20" s="165">
        <v>2</v>
      </c>
      <c r="D20" s="165">
        <v>4</v>
      </c>
      <c r="E20" s="165">
        <v>35</v>
      </c>
      <c r="F20" s="165">
        <v>28</v>
      </c>
      <c r="G20" s="165">
        <v>7</v>
      </c>
      <c r="H20" s="165">
        <v>78</v>
      </c>
    </row>
    <row r="21" spans="1:8" ht="15" x14ac:dyDescent="0.25">
      <c r="A21"/>
      <c r="B21" s="217">
        <f>+GETPIVOTDATA("5. Considero que el proceso de admisión a la Universidad Distrital Francisco José de Caldas es transparente y equitativo.",$A$18,"5. Considero que el proceso de admisión a la Universidad Distrital Francisco José de Caldas es transparente y equitativo.","Totalmente en desacuerdo / NO")/GETPIVOTDATA("5. Considero que el proceso de admisión a la Universidad Distrital Francisco José de Caldas es transparente y equitativo.",$A$18)</f>
        <v>2.564102564102564E-2</v>
      </c>
      <c r="C21" s="215">
        <f>+GETPIVOTDATA("5. Considero que el proceso de admisión a la Universidad Distrital Francisco José de Caldas es transparente y equitativo.",$A$18,"5. Considero que el proceso de admisión a la Universidad Distrital Francisco José de Caldas es transparente y equitativo.","En desacuerdo")/GETPIVOTDATA("5. Considero que el proceso de admisión a la Universidad Distrital Francisco José de Caldas es transparente y equitativo.",$A$18)</f>
        <v>2.564102564102564E-2</v>
      </c>
      <c r="D21" s="217">
        <f>+GETPIVOTDATA("5. Considero que el proceso de admisión a la Universidad Distrital Francisco José de Caldas es transparente y equitativo.",$A$18,"5. Considero que el proceso de admisión a la Universidad Distrital Francisco José de Caldas es transparente y equitativo.","Medianamente de acuerdo")/GETPIVOTDATA("5. Considero que el proceso de admisión a la Universidad Distrital Francisco José de Caldas es transparente y equitativo.",$A$18)</f>
        <v>5.128205128205128E-2</v>
      </c>
      <c r="E21" s="217">
        <f>+GETPIVOTDATA("5. Considero que el proceso de admisión a la Universidad Distrital Francisco José de Caldas es transparente y equitativo.",$A$18,"5. Considero que el proceso de admisión a la Universidad Distrital Francisco José de Caldas es transparente y equitativo.","De acuerdo")/GETPIVOTDATA("5. Considero que el proceso de admisión a la Universidad Distrital Francisco José de Caldas es transparente y equitativo.",$A$18)</f>
        <v>0.44871794871794873</v>
      </c>
      <c r="F21" s="217">
        <f>+GETPIVOTDATA("5. Considero que el proceso de admisión a la Universidad Distrital Francisco José de Caldas es transparente y equitativo.",$A$18,"5. Considero que el proceso de admisión a la Universidad Distrital Francisco José de Caldas es transparente y equitativo.","Totalmente de acuerdo / SI")/GETPIVOTDATA("5. Considero que el proceso de admisión a la Universidad Distrital Francisco José de Caldas es transparente y equitativo.",$A$18)</f>
        <v>0.35897435897435898</v>
      </c>
      <c r="G21" s="217">
        <f>+GETPIVOTDATA("5. Considero que el proceso de admisión a la Universidad Distrital Francisco José de Caldas es transparente y equitativo.",$A$18,"5. Considero que el proceso de admisión a la Universidad Distrital Francisco José de Caldas es transparente y equitativo.","No sabe / No puede opinar al respecto")/GETPIVOTDATA("5. Considero que el proceso de admisión a la Universidad Distrital Francisco José de Caldas es transparente y equitativo.",$A$18)</f>
        <v>8.9743589743589744E-2</v>
      </c>
      <c r="H21" s="217">
        <f>SUM(B21:G21)</f>
        <v>1</v>
      </c>
    </row>
    <row r="22" spans="1:8" ht="15" x14ac:dyDescent="0.25">
      <c r="A22"/>
      <c r="B22" s="164" t="s">
        <v>2816</v>
      </c>
      <c r="C22"/>
      <c r="D22"/>
      <c r="E22"/>
      <c r="F22"/>
      <c r="G22"/>
      <c r="H22"/>
    </row>
    <row r="23" spans="1:8" ht="15" x14ac:dyDescent="0.25">
      <c r="A23"/>
      <c r="B23" t="s">
        <v>1</v>
      </c>
      <c r="C23" t="s">
        <v>2</v>
      </c>
      <c r="D23" t="s">
        <v>3</v>
      </c>
      <c r="E23" t="s">
        <v>1092</v>
      </c>
      <c r="F23" t="s">
        <v>5</v>
      </c>
      <c r="G23" t="s">
        <v>1096</v>
      </c>
      <c r="H23"/>
    </row>
    <row r="24" spans="1:8" ht="15" x14ac:dyDescent="0.25">
      <c r="A24" t="s">
        <v>2232</v>
      </c>
      <c r="B24" s="165">
        <v>3</v>
      </c>
      <c r="C24" s="165">
        <v>4</v>
      </c>
      <c r="D24" s="165">
        <v>46</v>
      </c>
      <c r="E24" s="165">
        <v>21</v>
      </c>
      <c r="F24" s="165">
        <v>4</v>
      </c>
      <c r="G24" s="165">
        <v>78</v>
      </c>
      <c r="H24"/>
    </row>
    <row r="25" spans="1:8" ht="15" x14ac:dyDescent="0.25">
      <c r="A25"/>
      <c r="B25" s="215">
        <v>0</v>
      </c>
      <c r="C25" s="217">
        <f>+GETPIVOTDATA("6. Considero que el proceso de admisión a cada uno de los niveles de formación de los programas por ciclos ofrecidos en la Facultad Tecnológica es apropiado.",$A$22,"6. Considero que el proceso de admisión a cada uno de los niveles de formación de los programas por ciclos ofrecidos en la Facultad Tecnológica es apropiado.","En desacuerdo")/GETPIVOTDATA("6. Considero que el proceso de admisión a cada uno de los niveles de formación de los programas por ciclos ofrecidos en la Facultad Tecnológica es apropiado.",$A$22)</f>
        <v>3.8461538461538464E-2</v>
      </c>
      <c r="D25" s="217">
        <f>+GETPIVOTDATA("6. Considero que el proceso de admisión a cada uno de los niveles de formación de los programas por ciclos ofrecidos en la Facultad Tecnológica es apropiado.",$A$22,"6. Considero que el proceso de admisión a cada uno de los niveles de formación de los programas por ciclos ofrecidos en la Facultad Tecnológica es apropiado.","Medianamente de acuerdo")/GETPIVOTDATA("6. Considero que el proceso de admisión a cada uno de los niveles de formación de los programas por ciclos ofrecidos en la Facultad Tecnológica es apropiado.",$A$22)</f>
        <v>5.128205128205128E-2</v>
      </c>
      <c r="E25" s="217">
        <f>+GETPIVOTDATA("6. Considero que el proceso de admisión a cada uno de los niveles de formación de los programas por ciclos ofrecidos en la Facultad Tecnológica es apropiado.",$A$22,"6. Considero que el proceso de admisión a cada uno de los niveles de formación de los programas por ciclos ofrecidos en la Facultad Tecnológica es apropiado.","De acuerdo")/GETPIVOTDATA("6. Considero que el proceso de admisión a cada uno de los niveles de formación de los programas por ciclos ofrecidos en la Facultad Tecnológica es apropiado.",$A$22)</f>
        <v>0.58974358974358976</v>
      </c>
      <c r="F25" s="217">
        <f>+GETPIVOTDATA("6. Considero que el proceso de admisión a cada uno de los niveles de formación de los programas por ciclos ofrecidos en la Facultad Tecnológica es apropiado.",$A$22,"6. Considero que el proceso de admisión a cada uno de los niveles de formación de los programas por ciclos ofrecidos en la Facultad Tecnológica es apropiado.","Totalmente de acuerdo / SI")/GETPIVOTDATA("6. Considero que el proceso de admisión a cada uno de los niveles de formación de los programas por ciclos ofrecidos en la Facultad Tecnológica es apropiado.",$A$22)</f>
        <v>0.26923076923076922</v>
      </c>
      <c r="G25" s="217">
        <f>+GETPIVOTDATA("6. Considero que el proceso de admisión a cada uno de los niveles de formación de los programas por ciclos ofrecidos en la Facultad Tecnológica es apropiado.",$A$22,"6. Considero que el proceso de admisión a cada uno de los niveles de formación de los programas por ciclos ofrecidos en la Facultad Tecnológica es apropiado.","No sabe / No puede opinar al respecto")/GETPIVOTDATA("6. Considero que el proceso de admisión a cada uno de los niveles de formación de los programas por ciclos ofrecidos en la Facultad Tecnológica es apropiado.",$A$22)</f>
        <v>5.128205128205128E-2</v>
      </c>
      <c r="H25" s="217">
        <f>SUM(B25:G25)</f>
        <v>1</v>
      </c>
    </row>
    <row r="26" spans="1:8" ht="15" x14ac:dyDescent="0.25">
      <c r="A26"/>
      <c r="B26" s="164" t="s">
        <v>2816</v>
      </c>
      <c r="C26"/>
      <c r="D26"/>
      <c r="E26"/>
      <c r="F26"/>
      <c r="G26"/>
      <c r="H26"/>
    </row>
    <row r="27" spans="1:8" ht="15" x14ac:dyDescent="0.25">
      <c r="A27"/>
      <c r="B27" t="s">
        <v>1093</v>
      </c>
      <c r="C27" t="s">
        <v>1</v>
      </c>
      <c r="D27" t="s">
        <v>2</v>
      </c>
      <c r="E27" t="s">
        <v>3</v>
      </c>
      <c r="F27" t="s">
        <v>1092</v>
      </c>
      <c r="G27" t="s">
        <v>5</v>
      </c>
      <c r="H27" t="s">
        <v>1096</v>
      </c>
    </row>
    <row r="28" spans="1:8" ht="15" x14ac:dyDescent="0.25">
      <c r="A28" t="s">
        <v>2231</v>
      </c>
      <c r="B28" s="165">
        <v>5</v>
      </c>
      <c r="C28" s="165">
        <v>11</v>
      </c>
      <c r="D28" s="165">
        <v>28</v>
      </c>
      <c r="E28" s="165">
        <v>19</v>
      </c>
      <c r="F28" s="165">
        <v>12</v>
      </c>
      <c r="G28" s="165">
        <v>3</v>
      </c>
      <c r="H28" s="165">
        <v>78</v>
      </c>
    </row>
    <row r="29" spans="1:8" ht="15" x14ac:dyDescent="0.25">
      <c r="A29"/>
      <c r="B29" s="215">
        <f>+GETPIVOTDATA("7. Cuando fui estudiante, mi programa académico participaba activamente en proyectos dirigidos a la comunidad.",$A$26,"7. Cuando fui estudiante, mi programa académico participaba activamente en proyectos dirigidos a la comunidad.","Totalmente en desacuerdo / NO")/GETPIVOTDATA("7. Cuando fui estudiante, mi programa académico participaba activamente en proyectos dirigidos a la comunidad.",$A$26)</f>
        <v>6.4102564102564097E-2</v>
      </c>
      <c r="C29" s="217">
        <f>+GETPIVOTDATA("7. Cuando fui estudiante, mi programa académico participaba activamente en proyectos dirigidos a la comunidad.",$A$26,"7. Cuando fui estudiante, mi programa académico participaba activamente en proyectos dirigidos a la comunidad.","En desacuerdo")/GETPIVOTDATA("7. Cuando fui estudiante, mi programa académico participaba activamente en proyectos dirigidos a la comunidad.",$A$26)</f>
        <v>0.14102564102564102</v>
      </c>
      <c r="D29" s="217">
        <f>+GETPIVOTDATA("7. Cuando fui estudiante, mi programa académico participaba activamente en proyectos dirigidos a la comunidad.",$A$26,"7. Cuando fui estudiante, mi programa académico participaba activamente en proyectos dirigidos a la comunidad.","Medianamente de acuerdo")/GETPIVOTDATA("7. Cuando fui estudiante, mi programa académico participaba activamente en proyectos dirigidos a la comunidad.",$A$26)</f>
        <v>0.35897435897435898</v>
      </c>
      <c r="E29" s="217">
        <f>+GETPIVOTDATA("7. Cuando fui estudiante, mi programa académico participaba activamente en proyectos dirigidos a la comunidad.",$A$26,"7. Cuando fui estudiante, mi programa académico participaba activamente en proyectos dirigidos a la comunidad.","De acuerdo")/GETPIVOTDATA("7. Cuando fui estudiante, mi programa académico participaba activamente en proyectos dirigidos a la comunidad.",$A$26)</f>
        <v>0.24358974358974358</v>
      </c>
      <c r="F29" s="217">
        <f>+GETPIVOTDATA("7. Cuando fui estudiante, mi programa académico participaba activamente en proyectos dirigidos a la comunidad.",$A$26,"7. Cuando fui estudiante, mi programa académico participaba activamente en proyectos dirigidos a la comunidad.","Totalmente de acuerdo / SI")/GETPIVOTDATA("7. Cuando fui estudiante, mi programa académico participaba activamente en proyectos dirigidos a la comunidad.",$A$26)</f>
        <v>0.15384615384615385</v>
      </c>
      <c r="G29" s="217">
        <f>+GETPIVOTDATA("7. Cuando fui estudiante, mi programa académico participaba activamente en proyectos dirigidos a la comunidad.",$A$26,"7. Cuando fui estudiante, mi programa académico participaba activamente en proyectos dirigidos a la comunidad.","No sabe / No puede opinar al respecto")/GETPIVOTDATA("7. Cuando fui estudiante, mi programa académico participaba activamente en proyectos dirigidos a la comunidad.",$A$26)</f>
        <v>3.8461538461538464E-2</v>
      </c>
      <c r="H29" s="217">
        <f>SUM(B29:G29)</f>
        <v>1</v>
      </c>
    </row>
    <row r="30" spans="1:8" ht="15" x14ac:dyDescent="0.25">
      <c r="A30"/>
      <c r="B30" s="164" t="s">
        <v>2816</v>
      </c>
      <c r="C30"/>
      <c r="D30"/>
      <c r="E30"/>
      <c r="F30"/>
      <c r="G30"/>
      <c r="H30"/>
    </row>
    <row r="31" spans="1:8" ht="15" x14ac:dyDescent="0.25">
      <c r="A31"/>
      <c r="B31" t="s">
        <v>1093</v>
      </c>
      <c r="C31" t="s">
        <v>1</v>
      </c>
      <c r="D31" t="s">
        <v>2</v>
      </c>
      <c r="E31" t="s">
        <v>3</v>
      </c>
      <c r="F31" t="s">
        <v>1092</v>
      </c>
      <c r="G31" t="s">
        <v>5</v>
      </c>
      <c r="H31" t="s">
        <v>1096</v>
      </c>
    </row>
    <row r="32" spans="1:8" ht="15" x14ac:dyDescent="0.25">
      <c r="A32" t="s">
        <v>2230</v>
      </c>
      <c r="B32" s="165">
        <v>3</v>
      </c>
      <c r="C32" s="165">
        <v>4</v>
      </c>
      <c r="D32" s="165">
        <v>27</v>
      </c>
      <c r="E32" s="165">
        <v>26</v>
      </c>
      <c r="F32" s="165">
        <v>17</v>
      </c>
      <c r="G32" s="165">
        <v>1</v>
      </c>
      <c r="H32" s="165">
        <v>78</v>
      </c>
    </row>
    <row r="33" spans="1:8" ht="15" x14ac:dyDescent="0.25">
      <c r="A33"/>
      <c r="B33" s="215">
        <f>+GETPIVOTDATA("8.1. El programa académico al cual pertenecí me brindó las herramientas necesarias para DESARROLLAR PROCESOS DE INVESTIGACIÓN",$A$30,"8.1. El programa académico al cual pertenecí me brindó las herramientas necesarias para DESARROLLAR PROCESOS DE INVESTIGACIÓN","Totalmente en desacuerdo / NO")/GETPIVOTDATA("8.1. El programa académico al cual pertenecí me brindó las herramientas necesarias para DESARROLLAR PROCESOS DE INVESTIGACIÓN",$A$30)</f>
        <v>3.8461538461538464E-2</v>
      </c>
      <c r="C33" s="217">
        <f>+GETPIVOTDATA("8.1. El programa académico al cual pertenecí me brindó las herramientas necesarias para DESARROLLAR PROCESOS DE INVESTIGACIÓN",$A$30,"8.1. El programa académico al cual pertenecí me brindó las herramientas necesarias para DESARROLLAR PROCESOS DE INVESTIGACIÓN","En desacuerdo")/GETPIVOTDATA("8.1. El programa académico al cual pertenecí me brindó las herramientas necesarias para DESARROLLAR PROCESOS DE INVESTIGACIÓN",$A$30)</f>
        <v>5.128205128205128E-2</v>
      </c>
      <c r="D33" s="217">
        <f>+GETPIVOTDATA("8.1. El programa académico al cual pertenecí me brindó las herramientas necesarias para DESARROLLAR PROCESOS DE INVESTIGACIÓN",$A$30,"8.1. El programa académico al cual pertenecí me brindó las herramientas necesarias para DESARROLLAR PROCESOS DE INVESTIGACIÓN","Medianamente de acuerdo")/GETPIVOTDATA("8.1. El programa académico al cual pertenecí me brindó las herramientas necesarias para DESARROLLAR PROCESOS DE INVESTIGACIÓN",$A$30)</f>
        <v>0.34615384615384615</v>
      </c>
      <c r="E33" s="217">
        <f>+GETPIVOTDATA("8.1. El programa académico al cual pertenecí me brindó las herramientas necesarias para DESARROLLAR PROCESOS DE INVESTIGACIÓN",$A$30,"8.1. El programa académico al cual pertenecí me brindó las herramientas necesarias para DESARROLLAR PROCESOS DE INVESTIGACIÓN","De acuerdo")/GETPIVOTDATA("8.1. El programa académico al cual pertenecí me brindó las herramientas necesarias para DESARROLLAR PROCESOS DE INVESTIGACIÓN",$A$30)</f>
        <v>0.33333333333333331</v>
      </c>
      <c r="F33" s="217">
        <f>+GETPIVOTDATA("8.1. El programa académico al cual pertenecí me brindó las herramientas necesarias para DESARROLLAR PROCESOS DE INVESTIGACIÓN",$A$30,"8.1. El programa académico al cual pertenecí me brindó las herramientas necesarias para DESARROLLAR PROCESOS DE INVESTIGACIÓN","Totalmente de acuerdo / SI")/GETPIVOTDATA("8.1. El programa académico al cual pertenecí me brindó las herramientas necesarias para DESARROLLAR PROCESOS DE INVESTIGACIÓN",$A$30)</f>
        <v>0.21794871794871795</v>
      </c>
      <c r="G33" s="217">
        <f>+GETPIVOTDATA("8.1. El programa académico al cual pertenecí me brindó las herramientas necesarias para DESARROLLAR PROCESOS DE INVESTIGACIÓN",$A$30,"8.1. El programa académico al cual pertenecí me brindó las herramientas necesarias para DESARROLLAR PROCESOS DE INVESTIGACIÓN","No sabe / No puede opinar al respecto")/GETPIVOTDATA("8.1. El programa académico al cual pertenecí me brindó las herramientas necesarias para DESARROLLAR PROCESOS DE INVESTIGACIÓN",$A$30)</f>
        <v>1.282051282051282E-2</v>
      </c>
      <c r="H33" s="217">
        <f>SUM(B33:G33)</f>
        <v>0.99999999999999989</v>
      </c>
    </row>
    <row r="34" spans="1:8" ht="15" x14ac:dyDescent="0.25">
      <c r="A34"/>
      <c r="B34" s="164" t="s">
        <v>2816</v>
      </c>
      <c r="C34"/>
      <c r="D34"/>
      <c r="E34"/>
      <c r="F34"/>
      <c r="G34"/>
    </row>
    <row r="35" spans="1:8" ht="15" x14ac:dyDescent="0.25">
      <c r="A35"/>
      <c r="B35" t="s">
        <v>1093</v>
      </c>
      <c r="C35" t="s">
        <v>1</v>
      </c>
      <c r="D35" t="s">
        <v>2</v>
      </c>
      <c r="E35" t="s">
        <v>3</v>
      </c>
      <c r="F35" t="s">
        <v>1092</v>
      </c>
      <c r="G35" t="s">
        <v>1096</v>
      </c>
    </row>
    <row r="36" spans="1:8" ht="15" x14ac:dyDescent="0.25">
      <c r="A36" t="s">
        <v>2229</v>
      </c>
      <c r="B36" s="165">
        <v>2</v>
      </c>
      <c r="C36" s="165">
        <v>1</v>
      </c>
      <c r="D36" s="165">
        <v>7</v>
      </c>
      <c r="E36" s="165">
        <v>31</v>
      </c>
      <c r="F36" s="165">
        <v>37</v>
      </c>
      <c r="G36" s="165">
        <v>78</v>
      </c>
    </row>
    <row r="37" spans="1:8" ht="15" x14ac:dyDescent="0.25">
      <c r="A37"/>
      <c r="B37" s="215">
        <f>+GETPIVOTDATA("8.2. El programa académico al cual pertenecí me brindó las herramientas necesarias para FORTALECER MI ESPÍRITU CRÍTICO Y ÉTICO.",$A$34,"8.2. El programa académico al cual pertenecí me brindó las herramientas necesarias para FORTALECER MI ESPÍRITU CRÍTICO Y ÉTICO.","Totalmente en desacuerdo / NO")/GETPIVOTDATA("8.2. El programa académico al cual pertenecí me brindó las herramientas necesarias para FORTALECER MI ESPÍRITU CRÍTICO Y ÉTICO.",$A$34)</f>
        <v>2.564102564102564E-2</v>
      </c>
      <c r="C37" s="217">
        <f>+GETPIVOTDATA("8.2. El programa académico al cual pertenecí me brindó las herramientas necesarias para FORTALECER MI ESPÍRITU CRÍTICO Y ÉTICO.",$A$34,"8.2. El programa académico al cual pertenecí me brindó las herramientas necesarias para FORTALECER MI ESPÍRITU CRÍTICO Y ÉTICO.","En desacuerdo")/GETPIVOTDATA("8.2. El programa académico al cual pertenecí me brindó las herramientas necesarias para FORTALECER MI ESPÍRITU CRÍTICO Y ÉTICO.",$A$34)</f>
        <v>1.282051282051282E-2</v>
      </c>
      <c r="D37" s="217">
        <f>+GETPIVOTDATA("8.2. El programa académico al cual pertenecí me brindó las herramientas necesarias para FORTALECER MI ESPÍRITU CRÍTICO Y ÉTICO.",$A$34,"8.2. El programa académico al cual pertenecí me brindó las herramientas necesarias para FORTALECER MI ESPÍRITU CRÍTICO Y ÉTICO.","Medianamente de acuerdo")/GETPIVOTDATA("8.2. El programa académico al cual pertenecí me brindó las herramientas necesarias para FORTALECER MI ESPÍRITU CRÍTICO Y ÉTICO.",$A$34)</f>
        <v>8.9743589743589744E-2</v>
      </c>
      <c r="E37" s="217">
        <f>+GETPIVOTDATA("8.2. El programa académico al cual pertenecí me brindó las herramientas necesarias para FORTALECER MI ESPÍRITU CRÍTICO Y ÉTICO.",$A$34,"8.2. El programa académico al cual pertenecí me brindó las herramientas necesarias para FORTALECER MI ESPÍRITU CRÍTICO Y ÉTICO.","De acuerdo")/GETPIVOTDATA("8.2. El programa académico al cual pertenecí me brindó las herramientas necesarias para FORTALECER MI ESPÍRITU CRÍTICO Y ÉTICO.",$A$34)</f>
        <v>0.39743589743589741</v>
      </c>
      <c r="F37" s="217">
        <f>+GETPIVOTDATA("8.2. El programa académico al cual pertenecí me brindó las herramientas necesarias para FORTALECER MI ESPÍRITU CRÍTICO Y ÉTICO.",$A$34,"8.2. El programa académico al cual pertenecí me brindó las herramientas necesarias para FORTALECER MI ESPÍRITU CRÍTICO Y ÉTICO.","Totalmente de acuerdo / SI")/GETPIVOTDATA("8.2. El programa académico al cual pertenecí me brindó las herramientas necesarias para FORTALECER MI ESPÍRITU CRÍTICO Y ÉTICO.",$A$34)</f>
        <v>0.47435897435897434</v>
      </c>
      <c r="H37" s="217">
        <f>SUM(B37:G37)</f>
        <v>0.99999999999999989</v>
      </c>
    </row>
    <row r="38" spans="1:8" ht="15" x14ac:dyDescent="0.25">
      <c r="A38"/>
      <c r="B38" s="164" t="s">
        <v>2816</v>
      </c>
      <c r="C38"/>
      <c r="D38"/>
      <c r="E38"/>
      <c r="F38"/>
      <c r="G38"/>
    </row>
    <row r="39" spans="1:8" ht="15" x14ac:dyDescent="0.25">
      <c r="A39"/>
      <c r="B39" t="s">
        <v>1093</v>
      </c>
      <c r="C39" t="s">
        <v>1</v>
      </c>
      <c r="D39" t="s">
        <v>2</v>
      </c>
      <c r="E39" t="s">
        <v>3</v>
      </c>
      <c r="F39" t="s">
        <v>1092</v>
      </c>
      <c r="G39" t="s">
        <v>1096</v>
      </c>
    </row>
    <row r="40" spans="1:8" ht="15" x14ac:dyDescent="0.25">
      <c r="A40" t="s">
        <v>2228</v>
      </c>
      <c r="B40" s="165">
        <v>1</v>
      </c>
      <c r="C40" s="165">
        <v>1</v>
      </c>
      <c r="D40" s="165">
        <v>16</v>
      </c>
      <c r="E40" s="165">
        <v>36</v>
      </c>
      <c r="F40" s="165">
        <v>24</v>
      </c>
      <c r="G40" s="165">
        <v>78</v>
      </c>
    </row>
    <row r="41" spans="1:8" ht="15" x14ac:dyDescent="0.25">
      <c r="A41"/>
      <c r="B41" s="215">
        <f>+GETPIVOTDATA("8.3. El programa académico al cual pertenecí me brindó las herramientas necesarias para OFRECER SOLUCIONES A LOS PROBLEMAS DE LA SOCIEDAD.",$A$38,"8.3. El programa académico al cual pertenecí me brindó las herramientas necesarias para OFRECER SOLUCIONES A LOS PROBLEMAS DE LA SOCIEDAD.","Totalmente en desacuerdo / NO")/GETPIVOTDATA("8.3. El programa académico al cual pertenecí me brindó las herramientas necesarias para OFRECER SOLUCIONES A LOS PROBLEMAS DE LA SOCIEDAD.",$A$38)</f>
        <v>1.282051282051282E-2</v>
      </c>
      <c r="C41" s="217">
        <f>+GETPIVOTDATA("8.3. El programa académico al cual pertenecí me brindó las herramientas necesarias para OFRECER SOLUCIONES A LOS PROBLEMAS DE LA SOCIEDAD.",$A$38,"8.3. El programa académico al cual pertenecí me brindó las herramientas necesarias para OFRECER SOLUCIONES A LOS PROBLEMAS DE LA SOCIEDAD.","En desacuerdo")/GETPIVOTDATA("8.3. El programa académico al cual pertenecí me brindó las herramientas necesarias para OFRECER SOLUCIONES A LOS PROBLEMAS DE LA SOCIEDAD.",$A$38)</f>
        <v>1.282051282051282E-2</v>
      </c>
      <c r="D41" s="217">
        <f>+GETPIVOTDATA("8.3. El programa académico al cual pertenecí me brindó las herramientas necesarias para OFRECER SOLUCIONES A LOS PROBLEMAS DE LA SOCIEDAD.",$A$38,"8.3. El programa académico al cual pertenecí me brindó las herramientas necesarias para OFRECER SOLUCIONES A LOS PROBLEMAS DE LA SOCIEDAD.","Medianamente de acuerdo")/GETPIVOTDATA("8.3. El programa académico al cual pertenecí me brindó las herramientas necesarias para OFRECER SOLUCIONES A LOS PROBLEMAS DE LA SOCIEDAD.",$A$38)</f>
        <v>0.20512820512820512</v>
      </c>
      <c r="E41" s="217">
        <f>+GETPIVOTDATA("8.3. El programa académico al cual pertenecí me brindó las herramientas necesarias para OFRECER SOLUCIONES A LOS PROBLEMAS DE LA SOCIEDAD.",$A$38,"8.3. El programa académico al cual pertenecí me brindó las herramientas necesarias para OFRECER SOLUCIONES A LOS PROBLEMAS DE LA SOCIEDAD.","De acuerdo")/GETPIVOTDATA("8.3. El programa académico al cual pertenecí me brindó las herramientas necesarias para OFRECER SOLUCIONES A LOS PROBLEMAS DE LA SOCIEDAD.",$A$38)</f>
        <v>0.46153846153846156</v>
      </c>
      <c r="F41" s="217">
        <f>+GETPIVOTDATA("8.3. El programa académico al cual pertenecí me brindó las herramientas necesarias para OFRECER SOLUCIONES A LOS PROBLEMAS DE LA SOCIEDAD.",$A$38,"8.3. El programa académico al cual pertenecí me brindó las herramientas necesarias para OFRECER SOLUCIONES A LOS PROBLEMAS DE LA SOCIEDAD.","Totalmente de acuerdo / SI")/GETPIVOTDATA("8.3. El programa académico al cual pertenecí me brindó las herramientas necesarias para OFRECER SOLUCIONES A LOS PROBLEMAS DE LA SOCIEDAD.",$A$38)</f>
        <v>0.30769230769230771</v>
      </c>
      <c r="H41" s="217">
        <f>SUM(B41:G41)</f>
        <v>1</v>
      </c>
    </row>
    <row r="42" spans="1:8" ht="15" x14ac:dyDescent="0.25">
      <c r="A42"/>
      <c r="B42" s="164" t="s">
        <v>2816</v>
      </c>
      <c r="C42"/>
      <c r="D42"/>
      <c r="E42"/>
      <c r="F42"/>
      <c r="G42"/>
    </row>
    <row r="43" spans="1:8" ht="15" x14ac:dyDescent="0.25">
      <c r="A43"/>
      <c r="B43" t="s">
        <v>1093</v>
      </c>
      <c r="C43" t="s">
        <v>1</v>
      </c>
      <c r="D43" t="s">
        <v>2</v>
      </c>
      <c r="E43" t="s">
        <v>3</v>
      </c>
      <c r="F43" t="s">
        <v>1092</v>
      </c>
      <c r="G43" t="s">
        <v>1096</v>
      </c>
    </row>
    <row r="44" spans="1:8" ht="15" x14ac:dyDescent="0.25">
      <c r="A44" t="s">
        <v>2227</v>
      </c>
      <c r="B44" s="165">
        <v>1</v>
      </c>
      <c r="C44" s="165">
        <v>3</v>
      </c>
      <c r="D44" s="165">
        <v>11</v>
      </c>
      <c r="E44" s="165">
        <v>43</v>
      </c>
      <c r="F44" s="165">
        <v>20</v>
      </c>
      <c r="G44" s="165">
        <v>78</v>
      </c>
    </row>
    <row r="45" spans="1:8" ht="15" x14ac:dyDescent="0.25">
      <c r="A45"/>
      <c r="B45" s="215">
        <f>+GETPIVOTDATA("8.4. El programa académico al cual pertenecí me brindó las herramientas necesarias para SER PARTE ACTIVA Y PARTICIPATIVA EN LA CULTURA CIUDADANA",$A$42,"8.4. El programa académico al cual pertenecí me brindó las herramientas necesarias para SER PARTE ACTIVA Y PARTICIPATIVA EN LA CULTURA CIUDADANA","Totalmente en desacuerdo / NO")/GETPIVOTDATA("8.4. El programa académico al cual pertenecí me brindó las herramientas necesarias para SER PARTE ACTIVA Y PARTICIPATIVA EN LA CULTURA CIUDADANA",$A$42)</f>
        <v>1.282051282051282E-2</v>
      </c>
      <c r="C45" s="217">
        <f>+GETPIVOTDATA("8.4. El programa académico al cual pertenecí me brindó las herramientas necesarias para SER PARTE ACTIVA Y PARTICIPATIVA EN LA CULTURA CIUDADANA",$A$42,"8.4. El programa académico al cual pertenecí me brindó las herramientas necesarias para SER PARTE ACTIVA Y PARTICIPATIVA EN LA CULTURA CIUDADANA","En desacuerdo")/GETPIVOTDATA("8.4. El programa académico al cual pertenecí me brindó las herramientas necesarias para SER PARTE ACTIVA Y PARTICIPATIVA EN LA CULTURA CIUDADANA",$A$42)</f>
        <v>3.8461538461538464E-2</v>
      </c>
      <c r="D45" s="217">
        <f>+GETPIVOTDATA("8.4. El programa académico al cual pertenecí me brindó las herramientas necesarias para SER PARTE ACTIVA Y PARTICIPATIVA EN LA CULTURA CIUDADANA",$A$42,"8.4. El programa académico al cual pertenecí me brindó las herramientas necesarias para SER PARTE ACTIVA Y PARTICIPATIVA EN LA CULTURA CIUDADANA","Medianamente de acuerdo")/GETPIVOTDATA("8.4. El programa académico al cual pertenecí me brindó las herramientas necesarias para SER PARTE ACTIVA Y PARTICIPATIVA EN LA CULTURA CIUDADANA",$A$42)</f>
        <v>0.14102564102564102</v>
      </c>
      <c r="E45" s="217">
        <f>+GETPIVOTDATA("8.4. El programa académico al cual pertenecí me brindó las herramientas necesarias para SER PARTE ACTIVA Y PARTICIPATIVA EN LA CULTURA CIUDADANA",$A$42,"8.4. El programa académico al cual pertenecí me brindó las herramientas necesarias para SER PARTE ACTIVA Y PARTICIPATIVA EN LA CULTURA CIUDADANA","De acuerdo")/GETPIVOTDATA("8.4. El programa académico al cual pertenecí me brindó las herramientas necesarias para SER PARTE ACTIVA Y PARTICIPATIVA EN LA CULTURA CIUDADANA",$A$42)</f>
        <v>0.55128205128205132</v>
      </c>
      <c r="F45" s="217">
        <f>+GETPIVOTDATA("8.4. El programa académico al cual pertenecí me brindó las herramientas necesarias para SER PARTE ACTIVA Y PARTICIPATIVA EN LA CULTURA CIUDADANA",$A$42,"8.4. El programa académico al cual pertenecí me brindó las herramientas necesarias para SER PARTE ACTIVA Y PARTICIPATIVA EN LA CULTURA CIUDADANA","Totalmente de acuerdo / SI")/GETPIVOTDATA("8.4. El programa académico al cual pertenecí me brindó las herramientas necesarias para SER PARTE ACTIVA Y PARTICIPATIVA EN LA CULTURA CIUDADANA",$A$42)</f>
        <v>0.25641025641025639</v>
      </c>
      <c r="H45" s="217">
        <f>SUM(B45:G45)</f>
        <v>1</v>
      </c>
    </row>
    <row r="46" spans="1:8" ht="15" x14ac:dyDescent="0.25">
      <c r="A46"/>
      <c r="B46" s="164" t="s">
        <v>2816</v>
      </c>
      <c r="C46"/>
      <c r="D46"/>
      <c r="E46"/>
      <c r="F46"/>
      <c r="G46"/>
    </row>
    <row r="47" spans="1:8" ht="15" x14ac:dyDescent="0.25">
      <c r="A47"/>
      <c r="B47" t="s">
        <v>1093</v>
      </c>
      <c r="C47" t="s">
        <v>1</v>
      </c>
      <c r="D47" t="s">
        <v>2</v>
      </c>
      <c r="E47" t="s">
        <v>3</v>
      </c>
      <c r="F47" t="s">
        <v>1092</v>
      </c>
      <c r="G47" t="s">
        <v>1096</v>
      </c>
    </row>
    <row r="48" spans="1:8" ht="15" x14ac:dyDescent="0.25">
      <c r="A48" t="s">
        <v>2226</v>
      </c>
      <c r="B48" s="165">
        <v>2</v>
      </c>
      <c r="C48" s="165">
        <v>3</v>
      </c>
      <c r="D48" s="165">
        <v>20</v>
      </c>
      <c r="E48" s="165">
        <v>30</v>
      </c>
      <c r="F48" s="165">
        <v>23</v>
      </c>
      <c r="G48" s="165">
        <v>78</v>
      </c>
    </row>
    <row r="49" spans="1:8" ht="15" x14ac:dyDescent="0.25">
      <c r="A49"/>
      <c r="B49" s="215">
        <f>+GETPIVOTDATA("8.5. El programa académico al cual pertenecí me brindó las herramientas necesarias para PRODUCIR TEXTOS ARGUMENTANDO OPINIONES Y/O CONCEPTOS.",$A$46,"8.5. El programa académico al cual pertenecí me brindó las herramientas necesarias para PRODUCIR TEXTOS ARGUMENTANDO OPINIONES Y/O CONCEPTOS.","Totalmente en desacuerdo / NO")/GETPIVOTDATA("8.5. El programa académico al cual pertenecí me brindó las herramientas necesarias para PRODUCIR TEXTOS ARGUMENTANDO OPINIONES Y/O CONCEPTOS.",$A$46)</f>
        <v>2.564102564102564E-2</v>
      </c>
      <c r="C49" s="217">
        <f>+GETPIVOTDATA("8.5. El programa académico al cual pertenecí me brindó las herramientas necesarias para PRODUCIR TEXTOS ARGUMENTANDO OPINIONES Y/O CONCEPTOS.",$A$46,"8.5. El programa académico al cual pertenecí me brindó las herramientas necesarias para PRODUCIR TEXTOS ARGUMENTANDO OPINIONES Y/O CONCEPTOS.","En desacuerdo")/GETPIVOTDATA("8.5. El programa académico al cual pertenecí me brindó las herramientas necesarias para PRODUCIR TEXTOS ARGUMENTANDO OPINIONES Y/O CONCEPTOS.",$A$46)</f>
        <v>3.8461538461538464E-2</v>
      </c>
      <c r="D49" s="217">
        <f>+GETPIVOTDATA("8.5. El programa académico al cual pertenecí me brindó las herramientas necesarias para PRODUCIR TEXTOS ARGUMENTANDO OPINIONES Y/O CONCEPTOS.",$A$46,"8.5. El programa académico al cual pertenecí me brindó las herramientas necesarias para PRODUCIR TEXTOS ARGUMENTANDO OPINIONES Y/O CONCEPTOS.","Medianamente de acuerdo")/GETPIVOTDATA("8.5. El programa académico al cual pertenecí me brindó las herramientas necesarias para PRODUCIR TEXTOS ARGUMENTANDO OPINIONES Y/O CONCEPTOS.",$A$46)</f>
        <v>0.25641025641025639</v>
      </c>
      <c r="E49" s="217">
        <f>+GETPIVOTDATA("8.5. El programa académico al cual pertenecí me brindó las herramientas necesarias para PRODUCIR TEXTOS ARGUMENTANDO OPINIONES Y/O CONCEPTOS.",$A$46,"8.5. El programa académico al cual pertenecí me brindó las herramientas necesarias para PRODUCIR TEXTOS ARGUMENTANDO OPINIONES Y/O CONCEPTOS.","De acuerdo")/GETPIVOTDATA("8.5. El programa académico al cual pertenecí me brindó las herramientas necesarias para PRODUCIR TEXTOS ARGUMENTANDO OPINIONES Y/O CONCEPTOS.",$A$46)</f>
        <v>0.38461538461538464</v>
      </c>
      <c r="F49" s="217">
        <f>+GETPIVOTDATA("8.5. El programa académico al cual pertenecí me brindó las herramientas necesarias para PRODUCIR TEXTOS ARGUMENTANDO OPINIONES Y/O CONCEPTOS.",$A$46,"8.5. El programa académico al cual pertenecí me brindó las herramientas necesarias para PRODUCIR TEXTOS ARGUMENTANDO OPINIONES Y/O CONCEPTOS.","Totalmente de acuerdo / SI")/GETPIVOTDATA("8.5. El programa académico al cual pertenecí me brindó las herramientas necesarias para PRODUCIR TEXTOS ARGUMENTANDO OPINIONES Y/O CONCEPTOS.",$A$46)</f>
        <v>0.29487179487179488</v>
      </c>
      <c r="H49" s="217">
        <f>SUM(B49:G49)</f>
        <v>1</v>
      </c>
    </row>
    <row r="50" spans="1:8" ht="15" x14ac:dyDescent="0.25">
      <c r="A50"/>
      <c r="B50" s="164" t="s">
        <v>2816</v>
      </c>
      <c r="C50"/>
      <c r="D50"/>
      <c r="E50"/>
      <c r="F50"/>
      <c r="G50"/>
    </row>
    <row r="51" spans="1:8" ht="15" x14ac:dyDescent="0.25">
      <c r="A51"/>
      <c r="B51" t="s">
        <v>1093</v>
      </c>
      <c r="C51" t="s">
        <v>1</v>
      </c>
      <c r="D51" t="s">
        <v>2</v>
      </c>
      <c r="E51" t="s">
        <v>3</v>
      </c>
      <c r="F51" t="s">
        <v>1092</v>
      </c>
      <c r="G51" t="s">
        <v>1096</v>
      </c>
    </row>
    <row r="52" spans="1:8" ht="15" x14ac:dyDescent="0.25">
      <c r="A52" t="s">
        <v>2225</v>
      </c>
      <c r="B52" s="165">
        <v>4</v>
      </c>
      <c r="C52" s="165">
        <v>14</v>
      </c>
      <c r="D52" s="165">
        <v>23</v>
      </c>
      <c r="E52" s="165">
        <v>19</v>
      </c>
      <c r="F52" s="165">
        <v>18</v>
      </c>
      <c r="G52" s="165">
        <v>78</v>
      </c>
    </row>
    <row r="53" spans="1:8" ht="15" x14ac:dyDescent="0.25">
      <c r="A53"/>
      <c r="B53" s="215">
        <f>+GETPIVOTDATA("9. En la época de culminación de mis estudios, mi programa académico me ofreció modalidades de trabajo de grado suficientemente variadas.",$A$50,"9. En la época de culminación de mis estudios, mi programa académico me ofreció modalidades de trabajo de grado suficientemente variadas.","Totalmente en desacuerdo / NO")/GETPIVOTDATA("9. En la época de culminación de mis estudios, mi programa académico me ofreció modalidades de trabajo de grado suficientemente variadas.",$A$50)</f>
        <v>5.128205128205128E-2</v>
      </c>
      <c r="C53" s="217">
        <f>+GETPIVOTDATA("9. En la época de culminación de mis estudios, mi programa académico me ofreció modalidades de trabajo de grado suficientemente variadas.",$A$50,"9. En la época de culminación de mis estudios, mi programa académico me ofreció modalidades de trabajo de grado suficientemente variadas.","En desacuerdo")/GETPIVOTDATA("9. En la época de culminación de mis estudios, mi programa académico me ofreció modalidades de trabajo de grado suficientemente variadas.",$A$50)</f>
        <v>0.17948717948717949</v>
      </c>
      <c r="D53" s="217">
        <f>+GETPIVOTDATA("9. En la época de culminación de mis estudios, mi programa académico me ofreció modalidades de trabajo de grado suficientemente variadas.",$A$50,"9. En la época de culminación de mis estudios, mi programa académico me ofreció modalidades de trabajo de grado suficientemente variadas.","Medianamente de acuerdo")/GETPIVOTDATA("9. En la época de culminación de mis estudios, mi programa académico me ofreció modalidades de trabajo de grado suficientemente variadas.",$A$50)</f>
        <v>0.29487179487179488</v>
      </c>
      <c r="E53" s="217">
        <f>+GETPIVOTDATA("9. En la época de culminación de mis estudios, mi programa académico me ofreció modalidades de trabajo de grado suficientemente variadas.",$A$50,"9. En la época de culminación de mis estudios, mi programa académico me ofreció modalidades de trabajo de grado suficientemente variadas.","De acuerdo")/GETPIVOTDATA("9. En la época de culminación de mis estudios, mi programa académico me ofreció modalidades de trabajo de grado suficientemente variadas.",$A$50)</f>
        <v>0.24358974358974358</v>
      </c>
      <c r="F53" s="217">
        <f>+GETPIVOTDATA("9. En la época de culminación de mis estudios, mi programa académico me ofreció modalidades de trabajo de grado suficientemente variadas.",$A$50,"9. En la época de culminación de mis estudios, mi programa académico me ofreció modalidades de trabajo de grado suficientemente variadas.","Totalmente de acuerdo / SI")/GETPIVOTDATA("9. En la época de culminación de mis estudios, mi programa académico me ofreció modalidades de trabajo de grado suficientemente variadas.",$A$50)</f>
        <v>0.23076923076923078</v>
      </c>
      <c r="H53" s="217">
        <f>SUM(B53:G53)</f>
        <v>1</v>
      </c>
    </row>
    <row r="54" spans="1:8" ht="15" x14ac:dyDescent="0.25">
      <c r="A54"/>
      <c r="B54" s="164" t="s">
        <v>2816</v>
      </c>
      <c r="C54"/>
      <c r="D54"/>
      <c r="E54"/>
      <c r="F54"/>
      <c r="G54"/>
    </row>
    <row r="55" spans="1:8" ht="15" x14ac:dyDescent="0.25">
      <c r="A55"/>
      <c r="B55" t="s">
        <v>1093</v>
      </c>
      <c r="C55" t="s">
        <v>1</v>
      </c>
      <c r="D55" t="s">
        <v>2</v>
      </c>
      <c r="E55" t="s">
        <v>3</v>
      </c>
      <c r="F55" t="s">
        <v>1092</v>
      </c>
      <c r="G55" t="s">
        <v>1096</v>
      </c>
    </row>
    <row r="56" spans="1:8" ht="15" x14ac:dyDescent="0.25">
      <c r="A56" t="s">
        <v>2224</v>
      </c>
      <c r="B56" s="165">
        <v>2</v>
      </c>
      <c r="C56" s="165">
        <v>1</v>
      </c>
      <c r="D56" s="165">
        <v>22</v>
      </c>
      <c r="E56" s="165">
        <v>33</v>
      </c>
      <c r="F56" s="165">
        <v>20</v>
      </c>
      <c r="G56" s="165">
        <v>78</v>
      </c>
    </row>
    <row r="57" spans="1:8" ht="15" x14ac:dyDescent="0.25">
      <c r="A57"/>
      <c r="B57" s="217">
        <f>+GETPIVOTDATA("10. Las estrategias didácticas empleadas en mi programa académico me permitieron adquirir los conocimientos suficientes y requeridos en la profesión que escogí.",$A$54,"10. Las estrategias didácticas empleadas en mi programa académico me permitieron adquirir los conocimientos suficientes y requeridos en la profesión que escogí.","Totalmente en desacuerdo / NO")/GETPIVOTDATA("10. Las estrategias didácticas empleadas en mi programa académico me permitieron adquirir los conocimientos suficientes y requeridos en la profesión que escogí.",$A$54)</f>
        <v>2.564102564102564E-2</v>
      </c>
      <c r="C57" s="215">
        <f>+GETPIVOTDATA("10. Las estrategias didácticas empleadas en mi programa académico me permitieron adquirir los conocimientos suficientes y requeridos en la profesión que escogí.",$A$54,"10. Las estrategias didácticas empleadas en mi programa académico me permitieron adquirir los conocimientos suficientes y requeridos en la profesión que escogí.","En desacuerdo")/GETPIVOTDATA("10. Las estrategias didácticas empleadas en mi programa académico me permitieron adquirir los conocimientos suficientes y requeridos en la profesión que escogí.",$A$54)</f>
        <v>1.282051282051282E-2</v>
      </c>
      <c r="D57" s="217">
        <f>+GETPIVOTDATA("10. Las estrategias didácticas empleadas en mi programa académico me permitieron adquirir los conocimientos suficientes y requeridos en la profesión que escogí.",$A$54,"10. Las estrategias didácticas empleadas en mi programa académico me permitieron adquirir los conocimientos suficientes y requeridos en la profesión que escogí.","Medianamente de acuerdo")/GETPIVOTDATA("10. Las estrategias didácticas empleadas en mi programa académico me permitieron adquirir los conocimientos suficientes y requeridos en la profesión que escogí.",$A$54)</f>
        <v>0.28205128205128205</v>
      </c>
      <c r="E57" s="217">
        <f>+GETPIVOTDATA("10. Las estrategias didácticas empleadas en mi programa académico me permitieron adquirir los conocimientos suficientes y requeridos en la profesión que escogí.",$A$54,"10. Las estrategias didácticas empleadas en mi programa académico me permitieron adquirir los conocimientos suficientes y requeridos en la profesión que escogí.","De acuerdo")/GETPIVOTDATA("10. Las estrategias didácticas empleadas en mi programa académico me permitieron adquirir los conocimientos suficientes y requeridos en la profesión que escogí.",$A$54)</f>
        <v>0.42307692307692307</v>
      </c>
      <c r="F57" s="217">
        <f>+GETPIVOTDATA("10. Las estrategias didácticas empleadas en mi programa académico me permitieron adquirir los conocimientos suficientes y requeridos en la profesión que escogí.",$A$54,"10. Las estrategias didácticas empleadas en mi programa académico me permitieron adquirir los conocimientos suficientes y requeridos en la profesión que escogí.","Totalmente de acuerdo / SI")/GETPIVOTDATA("10. Las estrategias didácticas empleadas en mi programa académico me permitieron adquirir los conocimientos suficientes y requeridos en la profesión que escogí.",$A$54)</f>
        <v>0.25641025641025639</v>
      </c>
      <c r="H57" s="217">
        <f>SUM(B57:G57)</f>
        <v>1</v>
      </c>
    </row>
    <row r="58" spans="1:8" ht="15" x14ac:dyDescent="0.25">
      <c r="A58"/>
      <c r="B58" s="164" t="s">
        <v>2816</v>
      </c>
      <c r="C58"/>
      <c r="D58"/>
      <c r="E58"/>
      <c r="F58"/>
      <c r="G58"/>
    </row>
    <row r="59" spans="1:8" ht="15" x14ac:dyDescent="0.25">
      <c r="A59"/>
      <c r="B59" t="s">
        <v>1</v>
      </c>
      <c r="C59" t="s">
        <v>2</v>
      </c>
      <c r="D59" t="s">
        <v>3</v>
      </c>
      <c r="E59" t="s">
        <v>1092</v>
      </c>
      <c r="F59" t="s">
        <v>1096</v>
      </c>
      <c r="G59"/>
    </row>
    <row r="60" spans="1:8" ht="15" x14ac:dyDescent="0.25">
      <c r="A60" t="s">
        <v>2223</v>
      </c>
      <c r="B60" s="165">
        <v>4</v>
      </c>
      <c r="C60" s="165">
        <v>7</v>
      </c>
      <c r="D60" s="165">
        <v>40</v>
      </c>
      <c r="E60" s="165">
        <v>27</v>
      </c>
      <c r="F60" s="165">
        <v>78</v>
      </c>
      <c r="G60"/>
    </row>
    <row r="61" spans="1:8" ht="15" x14ac:dyDescent="0.25">
      <c r="A61"/>
      <c r="B61" s="215">
        <f>+GETPIVOTDATA("11.1. Mi paso por la Facultad Tecnológica de la Universidad Distrital me ayudó a: APROPIARME DE MÉTODOS PARA EL APRENDIZAJE AUTÓNOMO.",$A$58,"11.1. Mi paso por la Facultad Tecnológica de la Universidad Distrital me ayudó a: APROPIARME DE MÉTODOS PARA EL APRENDIZAJE AUTÓNOMO.","En desacuerdo")/GETPIVOTDATA("11.1. Mi paso por la Facultad Tecnológica de la Universidad Distrital me ayudó a: APROPIARME DE MÉTODOS PARA EL APRENDIZAJE AUTÓNOMO.",$A$58)</f>
        <v>5.128205128205128E-2</v>
      </c>
      <c r="C61" s="217">
        <f>+GETPIVOTDATA("11.1. Mi paso por la Facultad Tecnológica de la Universidad Distrital me ayudó a: APROPIARME DE MÉTODOS PARA EL APRENDIZAJE AUTÓNOMO.",$A$58,"11.1. Mi paso por la Facultad Tecnológica de la Universidad Distrital me ayudó a: APROPIARME DE MÉTODOS PARA EL APRENDIZAJE AUTÓNOMO.","Medianamente de acuerdo")/GETPIVOTDATA("11.1. Mi paso por la Facultad Tecnológica de la Universidad Distrital me ayudó a: APROPIARME DE MÉTODOS PARA EL APRENDIZAJE AUTÓNOMO.",$A$58)</f>
        <v>8.9743589743589744E-2</v>
      </c>
      <c r="D61" s="217">
        <f>+GETPIVOTDATA("11.1. Mi paso por la Facultad Tecnológica de la Universidad Distrital me ayudó a: APROPIARME DE MÉTODOS PARA EL APRENDIZAJE AUTÓNOMO.",$A$58,"11.1. Mi paso por la Facultad Tecnológica de la Universidad Distrital me ayudó a: APROPIARME DE MÉTODOS PARA EL APRENDIZAJE AUTÓNOMO.","De acuerdo")/GETPIVOTDATA("11.1. Mi paso por la Facultad Tecnológica de la Universidad Distrital me ayudó a: APROPIARME DE MÉTODOS PARA EL APRENDIZAJE AUTÓNOMO.",$A$58)</f>
        <v>0.51282051282051277</v>
      </c>
      <c r="E61" s="217">
        <f>+GETPIVOTDATA("11.1. Mi paso por la Facultad Tecnológica de la Universidad Distrital me ayudó a: APROPIARME DE MÉTODOS PARA EL APRENDIZAJE AUTÓNOMO.",$A$58,"11.1. Mi paso por la Facultad Tecnológica de la Universidad Distrital me ayudó a: APROPIARME DE MÉTODOS PARA EL APRENDIZAJE AUTÓNOMO.","Totalmente de acuerdo / SI")/GETPIVOTDATA("11.1. Mi paso por la Facultad Tecnológica de la Universidad Distrital me ayudó a: APROPIARME DE MÉTODOS PARA EL APRENDIZAJE AUTÓNOMO.",$A$58)</f>
        <v>0.34615384615384615</v>
      </c>
      <c r="H61" s="217">
        <f>SUM(B61:G61)</f>
        <v>0.99999999999999989</v>
      </c>
    </row>
    <row r="62" spans="1:8" ht="15" x14ac:dyDescent="0.25">
      <c r="A62"/>
      <c r="B62" s="164" t="s">
        <v>2816</v>
      </c>
      <c r="C62"/>
      <c r="D62"/>
      <c r="E62"/>
      <c r="F62"/>
      <c r="G62"/>
      <c r="H62"/>
    </row>
    <row r="63" spans="1:8" ht="15" x14ac:dyDescent="0.25">
      <c r="A63"/>
      <c r="B63" t="s">
        <v>1093</v>
      </c>
      <c r="C63" t="s">
        <v>1</v>
      </c>
      <c r="D63" t="s">
        <v>2</v>
      </c>
      <c r="E63" t="s">
        <v>3</v>
      </c>
      <c r="F63" t="s">
        <v>1092</v>
      </c>
      <c r="G63" t="s">
        <v>1096</v>
      </c>
      <c r="H63"/>
    </row>
    <row r="64" spans="1:8" ht="15" x14ac:dyDescent="0.25">
      <c r="A64" t="s">
        <v>2222</v>
      </c>
      <c r="B64" s="165">
        <v>2</v>
      </c>
      <c r="C64" s="165">
        <v>1</v>
      </c>
      <c r="D64" s="165">
        <v>7</v>
      </c>
      <c r="E64" s="165">
        <v>36</v>
      </c>
      <c r="F64" s="165">
        <v>32</v>
      </c>
      <c r="G64" s="165">
        <v>78</v>
      </c>
      <c r="H64"/>
    </row>
    <row r="65" spans="1:8" ht="15" x14ac:dyDescent="0.25">
      <c r="A65"/>
      <c r="B65" s="215">
        <f>+GETPIVOTDATA("11.2. Mi paso por la Facultad Tecnológica de la Universidad Distrital me ayudó a: DESARROLLAR CAPACIDADES PARA LA SOLUCIÓN DE PROBLEMAS",$A$62,"11.2. Mi paso por la Facultad Tecnológica de la Universidad Distrital me ayudó a: DESARROLLAR CAPACIDADES PARA LA SOLUCIÓN DE PROBLEMAS","Totalmente en desacuerdo / NO")/GETPIVOTDATA("11.2. Mi paso por la Facultad Tecnológica de la Universidad Distrital me ayudó a: DESARROLLAR CAPACIDADES PARA LA SOLUCIÓN DE PROBLEMAS",$A$62)</f>
        <v>2.564102564102564E-2</v>
      </c>
      <c r="C65" s="217">
        <f>+GETPIVOTDATA("11.2. Mi paso por la Facultad Tecnológica de la Universidad Distrital me ayudó a: DESARROLLAR CAPACIDADES PARA LA SOLUCIÓN DE PROBLEMAS",$A$62,"11.2. Mi paso por la Facultad Tecnológica de la Universidad Distrital me ayudó a: DESARROLLAR CAPACIDADES PARA LA SOLUCIÓN DE PROBLEMAS","En desacuerdo")/GETPIVOTDATA("11.2. Mi paso por la Facultad Tecnológica de la Universidad Distrital me ayudó a: DESARROLLAR CAPACIDADES PARA LA SOLUCIÓN DE PROBLEMAS",$A$62)</f>
        <v>1.282051282051282E-2</v>
      </c>
      <c r="D65" s="217">
        <f>+GETPIVOTDATA("11.2. Mi paso por la Facultad Tecnológica de la Universidad Distrital me ayudó a: DESARROLLAR CAPACIDADES PARA LA SOLUCIÓN DE PROBLEMAS",$A$62,"11.2. Mi paso por la Facultad Tecnológica de la Universidad Distrital me ayudó a: DESARROLLAR CAPACIDADES PARA LA SOLUCIÓN DE PROBLEMAS","Medianamente de acuerdo")/GETPIVOTDATA("11.2. Mi paso por la Facultad Tecnológica de la Universidad Distrital me ayudó a: DESARROLLAR CAPACIDADES PARA LA SOLUCIÓN DE PROBLEMAS",$A$62)</f>
        <v>8.9743589743589744E-2</v>
      </c>
      <c r="E65" s="217">
        <f>+GETPIVOTDATA("11.2. Mi paso por la Facultad Tecnológica de la Universidad Distrital me ayudó a: DESARROLLAR CAPACIDADES PARA LA SOLUCIÓN DE PROBLEMAS",$A$62,"11.2. Mi paso por la Facultad Tecnológica de la Universidad Distrital me ayudó a: DESARROLLAR CAPACIDADES PARA LA SOLUCIÓN DE PROBLEMAS","De acuerdo")/GETPIVOTDATA("11.2. Mi paso por la Facultad Tecnológica de la Universidad Distrital me ayudó a: DESARROLLAR CAPACIDADES PARA LA SOLUCIÓN DE PROBLEMAS",$A$62)</f>
        <v>0.46153846153846156</v>
      </c>
      <c r="F65" s="217">
        <f>+GETPIVOTDATA("11.2. Mi paso por la Facultad Tecnológica de la Universidad Distrital me ayudó a: DESARROLLAR CAPACIDADES PARA LA SOLUCIÓN DE PROBLEMAS",$A$62,"11.2. Mi paso por la Facultad Tecnológica de la Universidad Distrital me ayudó a: DESARROLLAR CAPACIDADES PARA LA SOLUCIÓN DE PROBLEMAS","Totalmente de acuerdo / SI")/GETPIVOTDATA("11.2. Mi paso por la Facultad Tecnológica de la Universidad Distrital me ayudó a: DESARROLLAR CAPACIDADES PARA LA SOLUCIÓN DE PROBLEMAS",$A$62)</f>
        <v>0.41025641025641024</v>
      </c>
      <c r="G65" s="217"/>
      <c r="H65" s="217">
        <f>SUM(B65:G65)</f>
        <v>1</v>
      </c>
    </row>
    <row r="66" spans="1:8" ht="15" x14ac:dyDescent="0.25">
      <c r="A66"/>
      <c r="B66" s="164" t="s">
        <v>2816</v>
      </c>
      <c r="C66"/>
      <c r="D66"/>
      <c r="E66"/>
      <c r="F66"/>
      <c r="G66"/>
      <c r="H66"/>
    </row>
    <row r="67" spans="1:8" ht="15" x14ac:dyDescent="0.25">
      <c r="A67"/>
      <c r="B67" t="s">
        <v>1093</v>
      </c>
      <c r="C67" t="s">
        <v>1</v>
      </c>
      <c r="D67" t="s">
        <v>2</v>
      </c>
      <c r="E67" t="s">
        <v>3</v>
      </c>
      <c r="F67" t="s">
        <v>1092</v>
      </c>
      <c r="G67" t="s">
        <v>5</v>
      </c>
      <c r="H67" t="s">
        <v>1096</v>
      </c>
    </row>
    <row r="68" spans="1:8" ht="15" x14ac:dyDescent="0.25">
      <c r="A68" t="s">
        <v>2209</v>
      </c>
      <c r="B68" s="165">
        <v>2</v>
      </c>
      <c r="C68" s="165">
        <v>3</v>
      </c>
      <c r="D68" s="165">
        <v>13</v>
      </c>
      <c r="E68" s="165">
        <v>34</v>
      </c>
      <c r="F68" s="165">
        <v>25</v>
      </c>
      <c r="G68" s="165">
        <v>1</v>
      </c>
      <c r="H68" s="165">
        <v>78</v>
      </c>
    </row>
    <row r="69" spans="1:8" ht="15" x14ac:dyDescent="0.25">
      <c r="A69"/>
      <c r="B69" s="215">
        <f>+GETPIVOTDATA("11.3. Mi paso por la Facultad Tecnológica de la Universidad Distrital me ayudó a: HACER CONSULTAS BIBLIOGRÁFICAS EFECTIVAS",$A$66,"11.3. Mi paso por la Facultad Tecnológica de la Universidad Distrital me ayudó a: HACER CONSULTAS BIBLIOGRÁFICAS EFECTIVAS","Totalmente en desacuerdo / NO")/GETPIVOTDATA("11.3. Mi paso por la Facultad Tecnológica de la Universidad Distrital me ayudó a: HACER CONSULTAS BIBLIOGRÁFICAS EFECTIVAS",$A$66)</f>
        <v>2.564102564102564E-2</v>
      </c>
      <c r="C69" s="217">
        <f>+GETPIVOTDATA("11.3. Mi paso por la Facultad Tecnológica de la Universidad Distrital me ayudó a: HACER CONSULTAS BIBLIOGRÁFICAS EFECTIVAS",$A$66,"11.3. Mi paso por la Facultad Tecnológica de la Universidad Distrital me ayudó a: HACER CONSULTAS BIBLIOGRÁFICAS EFECTIVAS","En desacuerdo")/GETPIVOTDATA("11.3. Mi paso por la Facultad Tecnológica de la Universidad Distrital me ayudó a: HACER CONSULTAS BIBLIOGRÁFICAS EFECTIVAS",$A$66)</f>
        <v>3.8461538461538464E-2</v>
      </c>
      <c r="D69" s="217">
        <f>+GETPIVOTDATA("11.3. Mi paso por la Facultad Tecnológica de la Universidad Distrital me ayudó a: HACER CONSULTAS BIBLIOGRÁFICAS EFECTIVAS",$A$66,"11.3. Mi paso por la Facultad Tecnológica de la Universidad Distrital me ayudó a: HACER CONSULTAS BIBLIOGRÁFICAS EFECTIVAS","Medianamente de acuerdo")/GETPIVOTDATA("11.3. Mi paso por la Facultad Tecnológica de la Universidad Distrital me ayudó a: HACER CONSULTAS BIBLIOGRÁFICAS EFECTIVAS",$A$66)</f>
        <v>0.16666666666666666</v>
      </c>
      <c r="E69" s="217">
        <f>+GETPIVOTDATA("11.3. Mi paso por la Facultad Tecnológica de la Universidad Distrital me ayudó a: HACER CONSULTAS BIBLIOGRÁFICAS EFECTIVAS",$A$66,"11.3. Mi paso por la Facultad Tecnológica de la Universidad Distrital me ayudó a: HACER CONSULTAS BIBLIOGRÁFICAS EFECTIVAS","De acuerdo")/GETPIVOTDATA("11.3. Mi paso por la Facultad Tecnológica de la Universidad Distrital me ayudó a: HACER CONSULTAS BIBLIOGRÁFICAS EFECTIVAS",$A$66)</f>
        <v>0.4358974358974359</v>
      </c>
      <c r="F69" s="217">
        <f>+GETPIVOTDATA("11.3. Mi paso por la Facultad Tecnológica de la Universidad Distrital me ayudó a: HACER CONSULTAS BIBLIOGRÁFICAS EFECTIVAS",$A$66,"11.3. Mi paso por la Facultad Tecnológica de la Universidad Distrital me ayudó a: HACER CONSULTAS BIBLIOGRÁFICAS EFECTIVAS","Totalmente de acuerdo / SI")/GETPIVOTDATA("11.3. Mi paso por la Facultad Tecnológica de la Universidad Distrital me ayudó a: HACER CONSULTAS BIBLIOGRÁFICAS EFECTIVAS",$A$66)</f>
        <v>0.32051282051282054</v>
      </c>
      <c r="G69" s="217">
        <f>+GETPIVOTDATA("11.3. Mi paso por la Facultad Tecnológica de la Universidad Distrital me ayudó a: HACER CONSULTAS BIBLIOGRÁFICAS EFECTIVAS",$A$66,"11.3. Mi paso por la Facultad Tecnológica de la Universidad Distrital me ayudó a: HACER CONSULTAS BIBLIOGRÁFICAS EFECTIVAS","No sabe / No puede opinar al respecto")/GETPIVOTDATA("11.3. Mi paso por la Facultad Tecnológica de la Universidad Distrital me ayudó a: HACER CONSULTAS BIBLIOGRÁFICAS EFECTIVAS",$A$66)</f>
        <v>1.282051282051282E-2</v>
      </c>
      <c r="H69" s="217">
        <f>SUM(B69:G69)</f>
        <v>1</v>
      </c>
    </row>
    <row r="70" spans="1:8" ht="15" x14ac:dyDescent="0.25">
      <c r="A70"/>
      <c r="B70" s="164" t="s">
        <v>2816</v>
      </c>
      <c r="C70"/>
      <c r="D70"/>
      <c r="E70"/>
      <c r="F70"/>
      <c r="G70"/>
      <c r="H70"/>
    </row>
    <row r="71" spans="1:8" ht="15" x14ac:dyDescent="0.25">
      <c r="A71"/>
      <c r="B71" t="s">
        <v>1093</v>
      </c>
      <c r="C71" t="s">
        <v>1</v>
      </c>
      <c r="D71" t="s">
        <v>2</v>
      </c>
      <c r="E71" t="s">
        <v>3</v>
      </c>
      <c r="F71" t="s">
        <v>1092</v>
      </c>
      <c r="G71" t="s">
        <v>5</v>
      </c>
      <c r="H71" t="s">
        <v>1096</v>
      </c>
    </row>
    <row r="72" spans="1:8" ht="15" x14ac:dyDescent="0.25">
      <c r="A72" t="s">
        <v>2221</v>
      </c>
      <c r="B72" s="165">
        <v>3</v>
      </c>
      <c r="C72" s="165">
        <v>1</v>
      </c>
      <c r="D72" s="165">
        <v>17</v>
      </c>
      <c r="E72" s="165">
        <v>32</v>
      </c>
      <c r="F72" s="165">
        <v>24</v>
      </c>
      <c r="G72" s="165">
        <v>1</v>
      </c>
      <c r="H72" s="165">
        <v>78</v>
      </c>
    </row>
    <row r="73" spans="1:8" ht="15" x14ac:dyDescent="0.25">
      <c r="A73"/>
      <c r="B73" s="215">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PROFESIÓN.","Totalmente en desacuerdo / NO")/GETPIVOTDATA("11.4. Mi paso por la Facultad Tecnológica de la Universidad Distrital me ayudó a: UTILIZAR HERRAMIENTAS INFORMÁTICAS ACTUALIZADAS AL SERVICIO DE MI PROFESIÓN.",$A$70)</f>
        <v>3.8461538461538464E-2</v>
      </c>
      <c r="C73" s="217">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PROFESIÓN.","En desacuerdo")/GETPIVOTDATA("11.4. Mi paso por la Facultad Tecnológica de la Universidad Distrital me ayudó a: UTILIZAR HERRAMIENTAS INFORMÁTICAS ACTUALIZADAS AL SERVICIO DE MI PROFESIÓN.",$A$70)</f>
        <v>1.282051282051282E-2</v>
      </c>
      <c r="D73" s="217">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PROFESIÓN.","Medianamente de acuerdo")/GETPIVOTDATA("11.4. Mi paso por la Facultad Tecnológica de la Universidad Distrital me ayudó a: UTILIZAR HERRAMIENTAS INFORMÁTICAS ACTUALIZADAS AL SERVICIO DE MI PROFESIÓN.",$A$70)</f>
        <v>0.21794871794871795</v>
      </c>
      <c r="E73" s="217">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PROFESIÓN.","De acuerdo")/GETPIVOTDATA("11.4. Mi paso por la Facultad Tecnológica de la Universidad Distrital me ayudó a: UTILIZAR HERRAMIENTAS INFORMÁTICAS ACTUALIZADAS AL SERVICIO DE MI PROFESIÓN.",$A$70)</f>
        <v>0.41025641025641024</v>
      </c>
      <c r="F73" s="217">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PROFESIÓN.","Totalmente de acuerdo / SI")/GETPIVOTDATA("11.4. Mi paso por la Facultad Tecnológica de la Universidad Distrital me ayudó a: UTILIZAR HERRAMIENTAS INFORMÁTICAS ACTUALIZADAS AL SERVICIO DE MI PROFESIÓN.",$A$70)</f>
        <v>0.30769230769230771</v>
      </c>
      <c r="G73" s="217">
        <f>+GETPIVOTDATA("11.4. Mi paso por la Facultad Tecnológica de la Universidad Distrital me ayudó a: UTILIZAR HERRAMIENTAS INFORMÁTICAS ACTUALIZADAS AL SERVICIO DE MI PROFESIÓN.",$A$70,"11.4. Mi paso por la Facultad Tecnológica de la Universidad Distrital me ayudó a: UTILIZAR HERRAMIENTAS INFORMÁTICAS ACTUALIZADAS AL SERVICIO DE MI PROFESIÓN.","No sabe / No puede opinar al respecto")/GETPIVOTDATA("11.4. Mi paso por la Facultad Tecnológica de la Universidad Distrital me ayudó a: UTILIZAR HERRAMIENTAS INFORMÁTICAS ACTUALIZADAS AL SERVICIO DE MI PROFESIÓN.",$A$70)</f>
        <v>1.282051282051282E-2</v>
      </c>
      <c r="H73" s="217">
        <f>SUM(B73:G73)</f>
        <v>1</v>
      </c>
    </row>
    <row r="74" spans="1:8" ht="15" x14ac:dyDescent="0.25">
      <c r="A74"/>
      <c r="B74" s="164" t="s">
        <v>2816</v>
      </c>
      <c r="C74"/>
      <c r="D74"/>
      <c r="E74"/>
      <c r="F74"/>
      <c r="G74"/>
      <c r="H74"/>
    </row>
    <row r="75" spans="1:8" ht="15" x14ac:dyDescent="0.25">
      <c r="A75"/>
      <c r="B75" t="s">
        <v>1093</v>
      </c>
      <c r="C75" t="s">
        <v>1</v>
      </c>
      <c r="D75" t="s">
        <v>2</v>
      </c>
      <c r="E75" t="s">
        <v>3</v>
      </c>
      <c r="F75" t="s">
        <v>1092</v>
      </c>
      <c r="G75" t="s">
        <v>5</v>
      </c>
      <c r="H75" t="s">
        <v>1096</v>
      </c>
    </row>
    <row r="76" spans="1:8" ht="15" x14ac:dyDescent="0.25">
      <c r="A76" t="s">
        <v>2220</v>
      </c>
      <c r="B76" s="165">
        <v>3</v>
      </c>
      <c r="C76" s="165">
        <v>1</v>
      </c>
      <c r="D76" s="165">
        <v>9</v>
      </c>
      <c r="E76" s="165">
        <v>19</v>
      </c>
      <c r="F76" s="165">
        <v>45</v>
      </c>
      <c r="G76" s="165">
        <v>1</v>
      </c>
      <c r="H76" s="165">
        <v>78</v>
      </c>
    </row>
    <row r="77" spans="1:8" ht="15" x14ac:dyDescent="0.25">
      <c r="A77"/>
      <c r="B77" s="215">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tradicional.","Totalmente en desacuerdo / NO")/GETPIVOTDATA("12. Considero que estudiar un programa de ingeniería por ciclos, nivel tecnológico y nivel de Ingeniería, me brindó mejores oportunidades que estudiar una carrera de Ingeniería tradicional.",$A$74)</f>
        <v>3.8461538461538464E-2</v>
      </c>
      <c r="C77" s="217">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tradicional.","En desacuerdo")/GETPIVOTDATA("12. Considero que estudiar un programa de ingeniería por ciclos, nivel tecnológico y nivel de Ingeniería, me brindó mejores oportunidades que estudiar una carrera de Ingeniería tradicional.",$A$74)</f>
        <v>1.282051282051282E-2</v>
      </c>
      <c r="D77" s="217">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tradicional.","Medianamente de acuerdo")/GETPIVOTDATA("12. Considero que estudiar un programa de ingeniería por ciclos, nivel tecnológico y nivel de Ingeniería, me brindó mejores oportunidades que estudiar una carrera de Ingeniería tradicional.",$A$74)</f>
        <v>0.11538461538461539</v>
      </c>
      <c r="E77" s="217">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tradicional.","De acuerdo")/GETPIVOTDATA("12. Considero que estudiar un programa de ingeniería por ciclos, nivel tecnológico y nivel de Ingeniería, me brindó mejores oportunidades que estudiar una carrera de Ingeniería tradicional.",$A$74)</f>
        <v>0.24358974358974358</v>
      </c>
      <c r="F77" s="217">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tradicional.","Totalmente de acuerdo / SI")/GETPIVOTDATA("12. Considero que estudiar un programa de ingeniería por ciclos, nivel tecnológico y nivel de Ingeniería, me brindó mejores oportunidades que estudiar una carrera de Ingeniería tradicional.",$A$74)</f>
        <v>0.57692307692307687</v>
      </c>
      <c r="G77" s="217">
        <f>+GETPIVOTDATA("12. Considero que estudiar un programa de ingeniería por ciclos, nivel tecnológico y nivel de Ingeniería, me brindó mejores oportunidades que estudiar una carrera de Ingeniería tradicional.",$A$74,"12. Considero que estudiar un programa de ingeniería por ciclos, nivel tecnológico y nivel de Ingeniería, me brindó mejores oportunidades que estudiar una carrera de Ingeniería tradicional.","No sabe / No puede opinar al respecto")/GETPIVOTDATA("12. Considero que estudiar un programa de ingeniería por ciclos, nivel tecnológico y nivel de Ingeniería, me brindó mejores oportunidades que estudiar una carrera de Ingeniería tradicional.",$A$74)</f>
        <v>1.282051282051282E-2</v>
      </c>
      <c r="H77" s="217">
        <f>SUM(B77:G77)</f>
        <v>0.99999999999999989</v>
      </c>
    </row>
    <row r="78" spans="1:8" ht="15" x14ac:dyDescent="0.25">
      <c r="A78"/>
      <c r="B78" s="164" t="s">
        <v>2816</v>
      </c>
      <c r="C78"/>
      <c r="D78"/>
      <c r="E78"/>
      <c r="F78"/>
      <c r="G78"/>
      <c r="H78"/>
    </row>
    <row r="79" spans="1:8" ht="15" x14ac:dyDescent="0.25">
      <c r="A79"/>
      <c r="B79" t="s">
        <v>1093</v>
      </c>
      <c r="C79" t="s">
        <v>1</v>
      </c>
      <c r="D79" t="s">
        <v>2</v>
      </c>
      <c r="E79" t="s">
        <v>3</v>
      </c>
      <c r="F79" t="s">
        <v>1092</v>
      </c>
      <c r="G79" t="s">
        <v>5</v>
      </c>
      <c r="H79" t="s">
        <v>1096</v>
      </c>
    </row>
    <row r="80" spans="1:8" ht="15" x14ac:dyDescent="0.25">
      <c r="A80" t="s">
        <v>2219</v>
      </c>
      <c r="B80" s="165">
        <v>3</v>
      </c>
      <c r="C80" s="165">
        <v>4</v>
      </c>
      <c r="D80" s="165">
        <v>8</v>
      </c>
      <c r="E80" s="165">
        <v>32</v>
      </c>
      <c r="F80" s="165">
        <v>29</v>
      </c>
      <c r="G80" s="165">
        <v>2</v>
      </c>
      <c r="H80" s="165">
        <v>78</v>
      </c>
    </row>
    <row r="81" spans="1:8" ht="15" x14ac:dyDescent="0.25">
      <c r="A81"/>
      <c r="B81" s="215">
        <f>+GETPIVOTDATA("13. Considero que la denominación de mi titulo de tecnólogo me ha abierto posibilidades en el mercado laboral.",$A$78,"13. Considero que la denominación de mi titulo de tecnólogo me ha abierto posibilidades en el mercado laboral.","Totalmente en desacuerdo / NO")/GETPIVOTDATA("13. Considero que la denominación de mi titulo de tecnólogo me ha abierto posibilidades en el mercado laboral.",$A$78)</f>
        <v>3.8461538461538464E-2</v>
      </c>
      <c r="C81" s="217">
        <f>+GETPIVOTDATA("13. Considero que la denominación de mi titulo de tecnólogo me ha abierto posibilidades en el mercado laboral.",$A$78,"13. Considero que la denominación de mi titulo de tecnólogo me ha abierto posibilidades en el mercado laboral.","En desacuerdo")/GETPIVOTDATA("13. Considero que la denominación de mi titulo de tecnólogo me ha abierto posibilidades en el mercado laboral.",$A$78)</f>
        <v>5.128205128205128E-2</v>
      </c>
      <c r="D81" s="217">
        <f>+GETPIVOTDATA("13. Considero que la denominación de mi titulo de tecnólogo me ha abierto posibilidades en el mercado laboral.",$A$78,"13. Considero que la denominación de mi titulo de tecnólogo me ha abierto posibilidades en el mercado laboral.","Medianamente de acuerdo")/GETPIVOTDATA("13. Considero que la denominación de mi titulo de tecnólogo me ha abierto posibilidades en el mercado laboral.",$A$78)</f>
        <v>0.10256410256410256</v>
      </c>
      <c r="E81" s="217">
        <f>+GETPIVOTDATA("13. Considero que la denominación de mi titulo de tecnólogo me ha abierto posibilidades en el mercado laboral.",$A$78,"13. Considero que la denominación de mi titulo de tecnólogo me ha abierto posibilidades en el mercado laboral.","De acuerdo")/GETPIVOTDATA("13. Considero que la denominación de mi titulo de tecnólogo me ha abierto posibilidades en el mercado laboral.",$A$78)</f>
        <v>0.41025641025641024</v>
      </c>
      <c r="F81" s="217">
        <f>+GETPIVOTDATA("13. Considero que la denominación de mi titulo de tecnólogo me ha abierto posibilidades en el mercado laboral.",$A$78,"13. Considero que la denominación de mi titulo de tecnólogo me ha abierto posibilidades en el mercado laboral.","Totalmente de acuerdo / SI")/GETPIVOTDATA("13. Considero que la denominación de mi titulo de tecnólogo me ha abierto posibilidades en el mercado laboral.",$A$78)</f>
        <v>0.37179487179487181</v>
      </c>
      <c r="G81" s="217">
        <f>+GETPIVOTDATA("13. Considero que la denominación de mi titulo de tecnólogo me ha abierto posibilidades en el mercado laboral.",$A$78,"13. Considero que la denominación de mi titulo de tecnólogo me ha abierto posibilidades en el mercado laboral.","No sabe / No puede opinar al respecto")/GETPIVOTDATA("13. Considero que la denominación de mi titulo de tecnólogo me ha abierto posibilidades en el mercado laboral.",$A$78)</f>
        <v>2.564102564102564E-2</v>
      </c>
      <c r="H81" s="217">
        <f>SUM(B81:G81)</f>
        <v>1</v>
      </c>
    </row>
    <row r="82" spans="1:8" ht="15" x14ac:dyDescent="0.25">
      <c r="A82"/>
      <c r="B82" s="164" t="s">
        <v>2816</v>
      </c>
      <c r="C82"/>
      <c r="D82"/>
      <c r="E82"/>
      <c r="F82"/>
      <c r="G82"/>
    </row>
    <row r="83" spans="1:8" ht="15" x14ac:dyDescent="0.25">
      <c r="A83"/>
      <c r="B83" t="s">
        <v>1093</v>
      </c>
      <c r="C83" t="s">
        <v>1</v>
      </c>
      <c r="D83" t="s">
        <v>2</v>
      </c>
      <c r="E83" t="s">
        <v>3</v>
      </c>
      <c r="F83" t="s">
        <v>1092</v>
      </c>
      <c r="G83" t="s">
        <v>1096</v>
      </c>
    </row>
    <row r="84" spans="1:8" ht="15" x14ac:dyDescent="0.25">
      <c r="A84" t="s">
        <v>2218</v>
      </c>
      <c r="B84" s="165">
        <v>6</v>
      </c>
      <c r="C84" s="165">
        <v>4</v>
      </c>
      <c r="D84" s="165">
        <v>10</v>
      </c>
      <c r="E84" s="165">
        <v>26</v>
      </c>
      <c r="F84" s="165">
        <v>32</v>
      </c>
      <c r="G84" s="165">
        <v>78</v>
      </c>
    </row>
    <row r="85" spans="1:8" ht="15" x14ac:dyDescent="0.25">
      <c r="A85"/>
      <c r="B85" s="215">
        <f>+GETPIVOTDATA("14. Considero que la denominación de mi título de ingeniero me abre o me abrirá mayores posibilidades en el mercado laboral.",$A$82,"14. Considero que la denominación de mi título de ingeniero me abre o me abrirá mayores posibilidades en el mercado laboral.","Totalmente en desacuerdo / NO")/GETPIVOTDATA("14. Considero que la denominación de mi título de ingeniero me abre o me abrirá mayores posibilidades en el mercado laboral.",$A$82)</f>
        <v>7.6923076923076927E-2</v>
      </c>
      <c r="C85" s="217">
        <f>+GETPIVOTDATA("14. Considero que la denominación de mi título de ingeniero me abre o me abrirá mayores posibilidades en el mercado laboral.",$A$82,"14. Considero que la denominación de mi título de ingeniero me abre o me abrirá mayores posibilidades en el mercado laboral.","En desacuerdo")/GETPIVOTDATA("14. Considero que la denominación de mi título de ingeniero me abre o me abrirá mayores posibilidades en el mercado laboral.",$A$82)</f>
        <v>5.128205128205128E-2</v>
      </c>
      <c r="D85" s="217">
        <f>+GETPIVOTDATA("14. Considero que la denominación de mi título de ingeniero me abre o me abrirá mayores posibilidades en el mercado laboral.",$A$82,"14. Considero que la denominación de mi título de ingeniero me abre o me abrirá mayores posibilidades en el mercado laboral.","Medianamente de acuerdo")/GETPIVOTDATA("14. Considero que la denominación de mi título de ingeniero me abre o me abrirá mayores posibilidades en el mercado laboral.",$A$82)</f>
        <v>0.12820512820512819</v>
      </c>
      <c r="E85" s="217">
        <f>+GETPIVOTDATA("14. Considero que la denominación de mi título de ingeniero me abre o me abrirá mayores posibilidades en el mercado laboral.",$A$82,"14. Considero que la denominación de mi título de ingeniero me abre o me abrirá mayores posibilidades en el mercado laboral.","De acuerdo")/GETPIVOTDATA("14. Considero que la denominación de mi título de ingeniero me abre o me abrirá mayores posibilidades en el mercado laboral.",$A$82)</f>
        <v>0.33333333333333331</v>
      </c>
      <c r="F85" s="217">
        <f>+GETPIVOTDATA("14. Considero que la denominación de mi título de ingeniero me abre o me abrirá mayores posibilidades en el mercado laboral.",$A$82,"14. Considero que la denominación de mi título de ingeniero me abre o me abrirá mayores posibilidades en el mercado laboral.","Totalmente de acuerdo / SI")/GETPIVOTDATA("14. Considero que la denominación de mi título de ingeniero me abre o me abrirá mayores posibilidades en el mercado laboral.",$A$82)</f>
        <v>0.41025641025641024</v>
      </c>
      <c r="H85" s="217">
        <f>SUM(B85:G85)</f>
        <v>0.99999999999999989</v>
      </c>
    </row>
    <row r="86" spans="1:8" ht="15" x14ac:dyDescent="0.25">
      <c r="A86"/>
      <c r="B86" s="164" t="s">
        <v>2816</v>
      </c>
      <c r="C86"/>
      <c r="D86"/>
      <c r="E86"/>
      <c r="F86"/>
      <c r="G86"/>
      <c r="H86"/>
    </row>
    <row r="87" spans="1:8" ht="15" x14ac:dyDescent="0.25">
      <c r="A87"/>
      <c r="B87" t="s">
        <v>1093</v>
      </c>
      <c r="C87" t="s">
        <v>2</v>
      </c>
      <c r="D87" t="s">
        <v>3</v>
      </c>
      <c r="E87" t="s">
        <v>1092</v>
      </c>
      <c r="F87" t="s">
        <v>5</v>
      </c>
      <c r="G87" t="s">
        <v>1096</v>
      </c>
      <c r="H87"/>
    </row>
    <row r="88" spans="1:8" ht="15" x14ac:dyDescent="0.25">
      <c r="A88" t="s">
        <v>2217</v>
      </c>
      <c r="B88" s="165">
        <v>2</v>
      </c>
      <c r="C88" s="165">
        <v>6</v>
      </c>
      <c r="D88" s="165">
        <v>22</v>
      </c>
      <c r="E88" s="165">
        <v>46</v>
      </c>
      <c r="F88" s="165">
        <v>2</v>
      </c>
      <c r="G88" s="165">
        <v>78</v>
      </c>
      <c r="H88"/>
    </row>
    <row r="89" spans="1:8" ht="15" x14ac:dyDescent="0.25">
      <c r="A89"/>
      <c r="B89" s="215">
        <f>+GETPIVOTDATA("15. Considero que ser ingeniero mejora o mejorará las condiciones laborales del tecnólogo.",$A$86,"15. Considero que ser ingeniero mejora o mejorará las condiciones laborales del tecnólogo.","Totalmente en desacuerdo / NO")/GETPIVOTDATA("15. Considero que ser ingeniero mejora o mejorará las condiciones laborales del tecnólogo.",$A$86)</f>
        <v>2.564102564102564E-2</v>
      </c>
      <c r="C89" s="217">
        <f>+GETPIVOTDATA("15. Considero que ser ingeniero mejora o mejorará las condiciones laborales del tecnólogo.",$A$86,"15. Considero que ser ingeniero mejora o mejorará las condiciones laborales del tecnólogo.","Medianamente de acuerdo")/GETPIVOTDATA("15. Considero que ser ingeniero mejora o mejorará las condiciones laborales del tecnólogo.",$A$86)</f>
        <v>7.6923076923076927E-2</v>
      </c>
      <c r="D89" s="217">
        <f>+GETPIVOTDATA("15. Considero que ser ingeniero mejora o mejorará las condiciones laborales del tecnólogo.",$A$86,"15. Considero que ser ingeniero mejora o mejorará las condiciones laborales del tecnólogo.","De acuerdo")/GETPIVOTDATA("15. Considero que ser ingeniero mejora o mejorará las condiciones laborales del tecnólogo.",$A$86)</f>
        <v>0.28205128205128205</v>
      </c>
      <c r="E89" s="217">
        <f>+GETPIVOTDATA("15. Considero que ser ingeniero mejora o mejorará las condiciones laborales del tecnólogo.",$A$86,"15. Considero que ser ingeniero mejora o mejorará las condiciones laborales del tecnólogo.","Totalmente de acuerdo / SI")/GETPIVOTDATA("15. Considero que ser ingeniero mejora o mejorará las condiciones laborales del tecnólogo.",$A$86)</f>
        <v>0.58974358974358976</v>
      </c>
      <c r="F89" s="217">
        <f>+GETPIVOTDATA("15. Considero que ser ingeniero mejora o mejorará las condiciones laborales del tecnólogo.",$A$86,"15. Considero que ser ingeniero mejora o mejorará las condiciones laborales del tecnólogo.","No sabe / No puede opinar al respecto")/GETPIVOTDATA("15. Considero que ser ingeniero mejora o mejorará las condiciones laborales del tecnólogo.",$A$86)</f>
        <v>2.564102564102564E-2</v>
      </c>
      <c r="G89" s="217"/>
      <c r="H89" s="217">
        <f>SUM(B89:G89)</f>
        <v>1</v>
      </c>
    </row>
    <row r="90" spans="1:8" ht="15" x14ac:dyDescent="0.25">
      <c r="A90"/>
      <c r="B90" s="164" t="s">
        <v>2816</v>
      </c>
      <c r="C90"/>
      <c r="D90"/>
      <c r="E90"/>
      <c r="F90"/>
      <c r="G90"/>
      <c r="H90"/>
    </row>
    <row r="91" spans="1:8" ht="15" x14ac:dyDescent="0.25">
      <c r="A91"/>
      <c r="B91" t="s">
        <v>1093</v>
      </c>
      <c r="C91" t="s">
        <v>1</v>
      </c>
      <c r="D91" t="s">
        <v>2</v>
      </c>
      <c r="E91" t="s">
        <v>3</v>
      </c>
      <c r="F91" t="s">
        <v>1092</v>
      </c>
      <c r="G91" t="s">
        <v>5</v>
      </c>
      <c r="H91" t="s">
        <v>1096</v>
      </c>
    </row>
    <row r="92" spans="1:8" ht="15" x14ac:dyDescent="0.25">
      <c r="A92" t="s">
        <v>2216</v>
      </c>
      <c r="B92" s="165">
        <v>2</v>
      </c>
      <c r="C92" s="165">
        <v>1</v>
      </c>
      <c r="D92" s="165">
        <v>5</v>
      </c>
      <c r="E92" s="165">
        <v>32</v>
      </c>
      <c r="F92" s="165">
        <v>37</v>
      </c>
      <c r="G92" s="165">
        <v>1</v>
      </c>
      <c r="H92" s="165">
        <v>78</v>
      </c>
    </row>
    <row r="93" spans="1:8" ht="15" x14ac:dyDescent="0.25">
      <c r="A93"/>
      <c r="B93" s="215">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tecnológico.","Totalmente en desacuerdo / NO")/GETPIVOTDATA("16. Considero que mi paso por el nivel de ingeniería mejoró o mejorará las competencias que he desarrollado en el nivel tecnológico.",$A$90)</f>
        <v>2.564102564102564E-2</v>
      </c>
      <c r="C93" s="217">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tecnológico.","En desacuerdo")/GETPIVOTDATA("16. Considero que mi paso por el nivel de ingeniería mejoró o mejorará las competencias que he desarrollado en el nivel tecnológico.",$A$90)</f>
        <v>1.282051282051282E-2</v>
      </c>
      <c r="D93" s="217">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tecnológico.","Medianamente de acuerdo")/GETPIVOTDATA("16. Considero que mi paso por el nivel de ingeniería mejoró o mejorará las competencias que he desarrollado en el nivel tecnológico.",$A$90)</f>
        <v>6.4102564102564097E-2</v>
      </c>
      <c r="E93" s="217">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tecnológico.","De acuerdo")/GETPIVOTDATA("16. Considero que mi paso por el nivel de ingeniería mejoró o mejorará las competencias que he desarrollado en el nivel tecnológico.",$A$90)</f>
        <v>0.41025641025641024</v>
      </c>
      <c r="F93" s="217">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tecnológico.","Totalmente de acuerdo / SI")/GETPIVOTDATA("16. Considero que mi paso por el nivel de ingeniería mejoró o mejorará las competencias que he desarrollado en el nivel tecnológico.",$A$90)</f>
        <v>0.47435897435897434</v>
      </c>
      <c r="G93" s="217">
        <f>+GETPIVOTDATA("16. Considero que mi paso por el nivel de ingeniería mejoró o mejorará las competencias que he desarrollado en el nivel tecnológico.",$A$90,"16. Considero que mi paso por el nivel de ingeniería mejoró o mejorará las competencias que he desarrollado en el nivel tecnológico.","No sabe / No puede opinar al respecto")/GETPIVOTDATA("16. Considero que mi paso por el nivel de ingeniería mejoró o mejorará las competencias que he desarrollado en el nivel tecnológico.",$A$90)</f>
        <v>1.282051282051282E-2</v>
      </c>
      <c r="H93" s="217">
        <f>SUM(B93:G93)</f>
        <v>0.99999999999999989</v>
      </c>
    </row>
    <row r="94" spans="1:8" ht="15" x14ac:dyDescent="0.25">
      <c r="A94"/>
      <c r="B94" s="164" t="s">
        <v>2816</v>
      </c>
      <c r="C94"/>
      <c r="D94"/>
      <c r="E94"/>
      <c r="F94"/>
      <c r="G94"/>
      <c r="H94"/>
    </row>
    <row r="95" spans="1:8" ht="15" x14ac:dyDescent="0.25">
      <c r="A95"/>
      <c r="B95" t="s">
        <v>1093</v>
      </c>
      <c r="C95" t="s">
        <v>1</v>
      </c>
      <c r="D95" t="s">
        <v>2</v>
      </c>
      <c r="E95" t="s">
        <v>3</v>
      </c>
      <c r="F95" t="s">
        <v>1092</v>
      </c>
      <c r="G95" t="s">
        <v>5</v>
      </c>
      <c r="H95" t="s">
        <v>1096</v>
      </c>
    </row>
    <row r="96" spans="1:8" ht="15" x14ac:dyDescent="0.25">
      <c r="A96" t="s">
        <v>2215</v>
      </c>
      <c r="B96" s="165">
        <v>6</v>
      </c>
      <c r="C96" s="165">
        <v>7</v>
      </c>
      <c r="D96" s="165">
        <v>24</v>
      </c>
      <c r="E96" s="165">
        <v>20</v>
      </c>
      <c r="F96" s="165">
        <v>11</v>
      </c>
      <c r="G96" s="165">
        <v>10</v>
      </c>
      <c r="H96" s="165">
        <v>78</v>
      </c>
    </row>
    <row r="97" spans="1:8" ht="15" x14ac:dyDescent="0.25">
      <c r="A97"/>
      <c r="B97" s="215">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egresados.","Totalmente en desacuerdo / NO")/GETPIVOTDATA("17. Considero que la representación de los egresados en la Universidad Distrital cumple su papel de comunicación entre los directivos y los egresados.",$A$94)</f>
        <v>7.6923076923076927E-2</v>
      </c>
      <c r="C97" s="217">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egresados.","En desacuerdo")/GETPIVOTDATA("17. Considero que la representación de los egresados en la Universidad Distrital cumple su papel de comunicación entre los directivos y los egresados.",$A$94)</f>
        <v>8.9743589743589744E-2</v>
      </c>
      <c r="D97" s="217">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egresados.","Medianamente de acuerdo")/GETPIVOTDATA("17. Considero que la representación de los egresados en la Universidad Distrital cumple su papel de comunicación entre los directivos y los egresados.",$A$94)</f>
        <v>0.30769230769230771</v>
      </c>
      <c r="E97" s="217">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egresados.","De acuerdo")/GETPIVOTDATA("17. Considero que la representación de los egresados en la Universidad Distrital cumple su papel de comunicación entre los directivos y los egresados.",$A$94)</f>
        <v>0.25641025641025639</v>
      </c>
      <c r="F97" s="217">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egresados.","Totalmente de acuerdo / SI")/GETPIVOTDATA("17. Considero que la representación de los egresados en la Universidad Distrital cumple su papel de comunicación entre los directivos y los egresados.",$A$94)</f>
        <v>0.14102564102564102</v>
      </c>
      <c r="G97" s="217">
        <f>+GETPIVOTDATA("17. Considero que la representación de los egresados en la Universidad Distrital cumple su papel de comunicación entre los directivos y los egresados.",$A$94,"17. Considero que la representación de los egresados en la Universidad Distrital cumple su papel de comunicación entre los directivos y los egresados.","No sabe / No puede opinar al respecto")/GETPIVOTDATA("17. Considero que la representación de los egresados en la Universidad Distrital cumple su papel de comunicación entre los directivos y los egresados.",$A$94)</f>
        <v>0.12820512820512819</v>
      </c>
      <c r="H97" s="217">
        <f>SUM(B97:G97)</f>
        <v>1</v>
      </c>
    </row>
    <row r="98" spans="1:8" ht="15" x14ac:dyDescent="0.25">
      <c r="A98"/>
      <c r="B98" s="164" t="s">
        <v>2816</v>
      </c>
      <c r="C98"/>
      <c r="D98"/>
      <c r="E98"/>
      <c r="F98"/>
      <c r="G98"/>
      <c r="H98"/>
    </row>
    <row r="99" spans="1:8" ht="15" x14ac:dyDescent="0.25">
      <c r="A99"/>
      <c r="B99" t="s">
        <v>1093</v>
      </c>
      <c r="C99" t="s">
        <v>1</v>
      </c>
      <c r="D99" t="s">
        <v>2</v>
      </c>
      <c r="E99" t="s">
        <v>3</v>
      </c>
      <c r="F99" t="s">
        <v>1092</v>
      </c>
      <c r="G99" t="s">
        <v>5</v>
      </c>
      <c r="H99" t="s">
        <v>1096</v>
      </c>
    </row>
    <row r="100" spans="1:8" ht="15" x14ac:dyDescent="0.25">
      <c r="A100" t="s">
        <v>2214</v>
      </c>
      <c r="B100" s="165">
        <v>4</v>
      </c>
      <c r="C100" s="165">
        <v>8</v>
      </c>
      <c r="D100" s="165">
        <v>20</v>
      </c>
      <c r="E100" s="165">
        <v>19</v>
      </c>
      <c r="F100" s="165">
        <v>5</v>
      </c>
      <c r="G100" s="165">
        <v>22</v>
      </c>
      <c r="H100" s="165">
        <v>78</v>
      </c>
    </row>
    <row r="101" spans="1:8" ht="15" x14ac:dyDescent="0.25">
      <c r="A101"/>
      <c r="B101" s="214">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Universidad.","Totalmente en desacuerdo / NO")/GETPIVOTDATA("18. Considero que los representantes de los egresados que participan en los órganos de dirección de la Universidad Distrital Francisco José de Caldas han liderado propuestas para el mejoramiento del vinculo entre los egresados y la Universidad.",$A$98)</f>
        <v>5.128205128205128E-2</v>
      </c>
      <c r="C101" s="218">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Universidad.","En desacuerdo")/GETPIVOTDATA("18. Considero que los representantes de los egresados que participan en los órganos de dirección de la Universidad Distrital Francisco José de Caldas han liderado propuestas para el mejoramiento del vinculo entre los egresados y la Universidad.",$A$98)</f>
        <v>0.10256410256410256</v>
      </c>
      <c r="D101" s="218">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Universidad.","Medianamente de acuerdo")/GETPIVOTDATA("18. Considero que los representantes de los egresados que participan en los órganos de dirección de la Universidad Distrital Francisco José de Caldas han liderado propuestas para el mejoramiento del vinculo entre los egresados y la Universidad.",$A$98)</f>
        <v>0.25641025641025639</v>
      </c>
      <c r="E101" s="218">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Universidad.","De acuerdo")/GETPIVOTDATA("18. Considero que los representantes de los egresados que participan en los órganos de dirección de la Universidad Distrital Francisco José de Caldas han liderado propuestas para el mejoramiento del vinculo entre los egresados y la Universidad.",$A$98)</f>
        <v>0.24358974358974358</v>
      </c>
      <c r="F101" s="218">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Universidad.","Totalmente de acuerdo / SI")/GETPIVOTDATA("18. Considero que los representantes de los egresados que participan en los órganos de dirección de la Universidad Distrital Francisco José de Caldas han liderado propuestas para el mejoramiento del vinculo entre los egresados y la Universidad.",$A$98)</f>
        <v>6.4102564102564097E-2</v>
      </c>
      <c r="G101" s="217">
        <f>+GETPIVOTDATA("18. Considero que los representantes de los egresados que participan en los órganos de dirección de la Universidad Distrital Francisco José de Caldas han liderado propuestas para el mejoramiento del vinculo entre los egresados y la Universidad.",$A$98,"18. Considero que los representantes de los egresados que participan en los órganos de dirección de la Universidad Distrital Francisco José de Caldas han liderado propuestas para el mejoramiento del vinculo entre los egresados y la Universidad.","No sabe / No puede opinar al respecto")/GETPIVOTDATA("18. Considero que los representantes de los egresados que participan en los órganos de dirección de la Universidad Distrital Francisco José de Caldas han liderado propuestas para el mejoramiento del vinculo entre los egresados y la Universidad.",$A$98)</f>
        <v>0.28205128205128205</v>
      </c>
      <c r="H101" s="217">
        <f>SUM(B101:G101)</f>
        <v>1</v>
      </c>
    </row>
    <row r="102" spans="1:8" ht="15" x14ac:dyDescent="0.25">
      <c r="A102"/>
      <c r="B102" s="164" t="s">
        <v>2816</v>
      </c>
      <c r="C102"/>
      <c r="D102"/>
      <c r="E102"/>
      <c r="F102"/>
      <c r="G102"/>
      <c r="H102"/>
    </row>
    <row r="103" spans="1:8" ht="15" x14ac:dyDescent="0.25">
      <c r="A103"/>
      <c r="B103" t="s">
        <v>1093</v>
      </c>
      <c r="C103" t="s">
        <v>1</v>
      </c>
      <c r="D103" t="s">
        <v>2</v>
      </c>
      <c r="E103" t="s">
        <v>3</v>
      </c>
      <c r="F103" t="s">
        <v>1092</v>
      </c>
      <c r="G103" t="s">
        <v>1096</v>
      </c>
      <c r="H103"/>
    </row>
    <row r="104" spans="1:8" ht="15" x14ac:dyDescent="0.25">
      <c r="A104" t="s">
        <v>2213</v>
      </c>
      <c r="B104" s="165">
        <v>1</v>
      </c>
      <c r="C104" s="165">
        <v>3</v>
      </c>
      <c r="D104" s="165">
        <v>11</v>
      </c>
      <c r="E104" s="165">
        <v>46</v>
      </c>
      <c r="F104" s="165">
        <v>17</v>
      </c>
      <c r="G104" s="165">
        <v>78</v>
      </c>
      <c r="H104"/>
    </row>
    <row r="105" spans="1:8" ht="15" x14ac:dyDescent="0.25">
      <c r="A105"/>
      <c r="B105" s="215">
        <f>+GETPIVOTDATA("19. Considero que mi programa académico me brindó las herramientas necesarias para ejercer mi profesión.",$A$102,"19. Considero que mi programa académico me brindó las herramientas necesarias para ejercer mi profesión.","Totalmente en desacuerdo / NO")/GETPIVOTDATA("19. Considero que mi programa académico me brindó las herramientas necesarias para ejercer mi profesión.",$A$102)</f>
        <v>1.282051282051282E-2</v>
      </c>
      <c r="C105" s="217">
        <f>+GETPIVOTDATA("19. Considero que mi programa académico me brindó las herramientas necesarias para ejercer mi profesión.",$A$102,"19. Considero que mi programa académico me brindó las herramientas necesarias para ejercer mi profesión.","En desacuerdo")/GETPIVOTDATA("19. Considero que mi programa académico me brindó las herramientas necesarias para ejercer mi profesión.",$A$102)</f>
        <v>3.8461538461538464E-2</v>
      </c>
      <c r="D105" s="217">
        <f>+GETPIVOTDATA("19. Considero que mi programa académico me brindó las herramientas necesarias para ejercer mi profesión.",$A$102,"19. Considero que mi programa académico me brindó las herramientas necesarias para ejercer mi profesión.","Medianamente de acuerdo")/GETPIVOTDATA("19. Considero que mi programa académico me brindó las herramientas necesarias para ejercer mi profesión.",$A$102)</f>
        <v>0.14102564102564102</v>
      </c>
      <c r="E105" s="217">
        <f>+GETPIVOTDATA("19. Considero que mi programa académico me brindó las herramientas necesarias para ejercer mi profesión.",$A$102,"19. Considero que mi programa académico me brindó las herramientas necesarias para ejercer mi profesión.","De acuerdo")/GETPIVOTDATA("19. Considero que mi programa académico me brindó las herramientas necesarias para ejercer mi profesión.",$A$102)</f>
        <v>0.58974358974358976</v>
      </c>
      <c r="F105" s="217">
        <f>+GETPIVOTDATA("19. Considero que mi programa académico me brindó las herramientas necesarias para ejercer mi profesión.",$A$102,"19. Considero que mi programa académico me brindó las herramientas necesarias para ejercer mi profesión.","Totalmente de acuerdo / SI")/GETPIVOTDATA("19. Considero que mi programa académico me brindó las herramientas necesarias para ejercer mi profesión.",$A$102)</f>
        <v>0.21794871794871795</v>
      </c>
      <c r="G105" s="217"/>
      <c r="H105" s="217">
        <f>SUM(B105:G105)</f>
        <v>1</v>
      </c>
    </row>
    <row r="106" spans="1:8" ht="15" x14ac:dyDescent="0.25">
      <c r="A106"/>
      <c r="B106" s="164" t="s">
        <v>2816</v>
      </c>
      <c r="C106"/>
      <c r="D106"/>
      <c r="E106"/>
      <c r="F106"/>
      <c r="G106"/>
      <c r="H106"/>
    </row>
    <row r="107" spans="1:8" ht="15" x14ac:dyDescent="0.25">
      <c r="A107"/>
      <c r="B107" t="s">
        <v>1093</v>
      </c>
      <c r="C107" t="s">
        <v>1</v>
      </c>
      <c r="D107" t="s">
        <v>2</v>
      </c>
      <c r="E107" t="s">
        <v>3</v>
      </c>
      <c r="F107" t="s">
        <v>1092</v>
      </c>
      <c r="G107" t="s">
        <v>5</v>
      </c>
      <c r="H107" t="s">
        <v>1096</v>
      </c>
    </row>
    <row r="108" spans="1:8" ht="15" x14ac:dyDescent="0.25">
      <c r="A108" t="s">
        <v>2212</v>
      </c>
      <c r="B108" s="165">
        <v>1</v>
      </c>
      <c r="C108" s="165">
        <v>6</v>
      </c>
      <c r="D108" s="165">
        <v>18</v>
      </c>
      <c r="E108" s="165">
        <v>41</v>
      </c>
      <c r="F108" s="165">
        <v>11</v>
      </c>
      <c r="G108" s="165">
        <v>1</v>
      </c>
      <c r="H108" s="165">
        <v>78</v>
      </c>
    </row>
    <row r="109" spans="1:8" ht="15" x14ac:dyDescent="0.25">
      <c r="A109"/>
      <c r="B109" s="215">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consultorías.","Totalmente en desacuerdo / NO")/GETPIVOTDATA("20. Considero que mi programa académico me brindó las habilidades para desempeñarme con suficiencia en proyectos de investigación, asesorías y/o consultorías.",$A$106)</f>
        <v>1.282051282051282E-2</v>
      </c>
      <c r="C109" s="217">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consultorías.","En desacuerdo")/GETPIVOTDATA("20. Considero que mi programa académico me brindó las habilidades para desempeñarme con suficiencia en proyectos de investigación, asesorías y/o consultorías.",$A$106)</f>
        <v>7.6923076923076927E-2</v>
      </c>
      <c r="D109" s="217">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consultorías.","Medianamente de acuerdo")/GETPIVOTDATA("20. Considero que mi programa académico me brindó las habilidades para desempeñarme con suficiencia en proyectos de investigación, asesorías y/o consultorías.",$A$106)</f>
        <v>0.23076923076923078</v>
      </c>
      <c r="E109" s="217">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consultorías.","De acuerdo")/GETPIVOTDATA("20. Considero que mi programa académico me brindó las habilidades para desempeñarme con suficiencia en proyectos de investigación, asesorías y/o consultorías.",$A$106)</f>
        <v>0.52564102564102566</v>
      </c>
      <c r="F109" s="217">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consultorías.","Totalmente de acuerdo / SI")/GETPIVOTDATA("20. Considero que mi programa académico me brindó las habilidades para desempeñarme con suficiencia en proyectos de investigación, asesorías y/o consultorías.",$A$106)</f>
        <v>0.14102564102564102</v>
      </c>
      <c r="G109" s="217">
        <f>+GETPIVOTDATA("20. Considero que mi programa académico me brindó las habilidades para desempeñarme con suficiencia en proyectos de investigación, asesorías y/o consultorías.",$A$106,"20. Considero que mi programa académico me brindó las habilidades para desempeñarme con suficiencia en proyectos de investigación, asesorías y/o consultorías.","No sabe / No puede opinar al respecto")/GETPIVOTDATA("20. Considero que mi programa académico me brindó las habilidades para desempeñarme con suficiencia en proyectos de investigación, asesorías y/o consultorías.",$A$106)</f>
        <v>1.282051282051282E-2</v>
      </c>
      <c r="H109" s="217">
        <f>SUM(B109:G109)</f>
        <v>1</v>
      </c>
    </row>
    <row r="110" spans="1:8" ht="15" x14ac:dyDescent="0.25">
      <c r="A110"/>
      <c r="B110" s="164" t="s">
        <v>2816</v>
      </c>
      <c r="C110"/>
      <c r="D110"/>
      <c r="E110"/>
      <c r="F110"/>
      <c r="G110"/>
      <c r="H110"/>
    </row>
    <row r="111" spans="1:8" ht="15" x14ac:dyDescent="0.25">
      <c r="A111"/>
      <c r="B111" t="s">
        <v>1093</v>
      </c>
      <c r="C111" t="s">
        <v>1</v>
      </c>
      <c r="D111" t="s">
        <v>2</v>
      </c>
      <c r="E111" t="s">
        <v>3</v>
      </c>
      <c r="F111" t="s">
        <v>1092</v>
      </c>
      <c r="G111" t="s">
        <v>5</v>
      </c>
      <c r="H111" t="s">
        <v>1096</v>
      </c>
    </row>
    <row r="112" spans="1:8" ht="15" x14ac:dyDescent="0.25">
      <c r="A112" t="s">
        <v>2211</v>
      </c>
      <c r="B112" s="165">
        <v>2</v>
      </c>
      <c r="C112" s="165">
        <v>2</v>
      </c>
      <c r="D112" s="165">
        <v>13</v>
      </c>
      <c r="E112" s="165">
        <v>35</v>
      </c>
      <c r="F112" s="165">
        <v>24</v>
      </c>
      <c r="G112" s="165">
        <v>2</v>
      </c>
      <c r="H112" s="165">
        <v>78</v>
      </c>
    </row>
    <row r="113" spans="1:8" ht="15" x14ac:dyDescent="0.25">
      <c r="A113"/>
      <c r="B113" s="217">
        <f>+GETPIVOTDATA("21. Considero que la apreciación de mi programa académico en el medio laboral en el que me desempeño es positiva.",$A$110,"21. Considero que la apreciación de mi programa académico en el medio laboral en el que me desempeño es positiva.","Totalmente en desacuerdo / NO")/GETPIVOTDATA("21. Considero que la apreciación de mi programa académico en el medio laboral en el que me desempeño es positiva.",$A$110)</f>
        <v>2.564102564102564E-2</v>
      </c>
      <c r="C113" s="217">
        <f>+GETPIVOTDATA("21. Considero que la apreciación de mi programa académico en el medio laboral en el que me desempeño es positiva.",$A$110,"21. Considero que la apreciación de mi programa académico en el medio laboral en el que me desempeño es positiva.","En desacuerdo")/GETPIVOTDATA("21. Considero que la apreciación de mi programa académico en el medio laboral en el que me desempeño es positiva.",$A$110)</f>
        <v>2.564102564102564E-2</v>
      </c>
      <c r="D113" s="215">
        <f>+GETPIVOTDATA("21. Considero que la apreciación de mi programa académico en el medio laboral en el que me desempeño es positiva.",$A$110,"21. Considero que la apreciación de mi programa académico en el medio laboral en el que me desempeño es positiva.","Medianamente de acuerdo")/GETPIVOTDATA("21. Considero que la apreciación de mi programa académico en el medio laboral en el que me desempeño es positiva.",$A$110)</f>
        <v>0.16666666666666666</v>
      </c>
      <c r="E113" s="217">
        <f>+GETPIVOTDATA("21. Considero que la apreciación de mi programa académico en el medio laboral en el que me desempeño es positiva.",$A$110,"21. Considero que la apreciación de mi programa académico en el medio laboral en el que me desempeño es positiva.","De acuerdo")/GETPIVOTDATA("21. Considero que la apreciación de mi programa académico en el medio laboral en el que me desempeño es positiva.",$A$110)</f>
        <v>0.44871794871794873</v>
      </c>
      <c r="F113" s="217">
        <f>+GETPIVOTDATA("21. Considero que la apreciación de mi programa académico en el medio laboral en el que me desempeño es positiva.",$A$110,"21. Considero que la apreciación de mi programa académico en el medio laboral en el que me desempeño es positiva.","Totalmente de acuerdo / SI")/GETPIVOTDATA("21. Considero que la apreciación de mi programa académico en el medio laboral en el que me desempeño es positiva.",$A$110)</f>
        <v>0.30769230769230771</v>
      </c>
      <c r="G113" s="217">
        <f>+GETPIVOTDATA("21. Considero que la apreciación de mi programa académico en el medio laboral en el que me desempeño es positiva.",$A$110,"21. Considero que la apreciación de mi programa académico en el medio laboral en el que me desempeño es positiva.","No sabe / No puede opinar al respecto")/GETPIVOTDATA("21. Considero que la apreciación de mi programa académico en el medio laboral en el que me desempeño es positiva.",$A$110)</f>
        <v>2.564102564102564E-2</v>
      </c>
      <c r="H113" s="217">
        <f>SUM(B113:G113)</f>
        <v>1</v>
      </c>
    </row>
    <row r="114" spans="1:8" ht="15" x14ac:dyDescent="0.25">
      <c r="A114"/>
      <c r="B114" s="164" t="s">
        <v>2816</v>
      </c>
      <c r="C114"/>
      <c r="D114"/>
      <c r="E114"/>
      <c r="F114"/>
    </row>
    <row r="115" spans="1:8" ht="15" x14ac:dyDescent="0.25">
      <c r="A115"/>
      <c r="B115" t="s">
        <v>2</v>
      </c>
      <c r="C115" t="s">
        <v>3</v>
      </c>
      <c r="D115" t="s">
        <v>1092</v>
      </c>
      <c r="E115" t="s">
        <v>5</v>
      </c>
      <c r="F115" t="s">
        <v>1096</v>
      </c>
    </row>
    <row r="116" spans="1:8" ht="15" x14ac:dyDescent="0.25">
      <c r="A116" t="s">
        <v>2210</v>
      </c>
      <c r="B116" s="165">
        <v>15</v>
      </c>
      <c r="C116" s="165">
        <v>36</v>
      </c>
      <c r="D116" s="165">
        <v>25</v>
      </c>
      <c r="E116" s="165">
        <v>2</v>
      </c>
      <c r="F116" s="165">
        <v>78</v>
      </c>
    </row>
    <row r="117" spans="1:8" ht="15" x14ac:dyDescent="0.25">
      <c r="A117"/>
      <c r="B117" s="215">
        <f>+GETPIVOTDATA("22. El programa académico que cursé satisfizo mis expectativas personales.",$A$114,"22. El programa académico que cursé satisfizo mis expectativas personales.","Medianamente de acuerdo")/GETPIVOTDATA("22. El programa académico que cursé satisfizo mis expectativas personales.",$A$114)</f>
        <v>0.19230769230769232</v>
      </c>
      <c r="C117" s="217">
        <f>+GETPIVOTDATA("22. El programa académico que cursé satisfizo mis expectativas personales.",$A$114,"22. El programa académico que cursé satisfizo mis expectativas personales.","De acuerdo")/GETPIVOTDATA("22. El programa académico que cursé satisfizo mis expectativas personales.",$A$114)</f>
        <v>0.46153846153846156</v>
      </c>
      <c r="D117" s="217">
        <f>+GETPIVOTDATA("22. El programa académico que cursé satisfizo mis expectativas personales.",$A$114,"22. El programa académico que cursé satisfizo mis expectativas personales.","Totalmente de acuerdo / SI")/GETPIVOTDATA("22. El programa académico que cursé satisfizo mis expectativas personales.",$A$114)</f>
        <v>0.32051282051282054</v>
      </c>
      <c r="E117" s="217">
        <f>+GETPIVOTDATA("22. El programa académico que cursé satisfizo mis expectativas personales.",$A$114,"22. El programa académico que cursé satisfizo mis expectativas personales.","No sabe / No puede opinar al respecto")/GETPIVOTDATA("22. El programa académico que cursé satisfizo mis expectativas personales.",$A$114)</f>
        <v>2.564102564102564E-2</v>
      </c>
      <c r="H117" s="217">
        <f>SUM(B117:G117)</f>
        <v>1</v>
      </c>
    </row>
    <row r="118" spans="1:8" ht="15" x14ac:dyDescent="0.25">
      <c r="A118"/>
      <c r="B118" s="164" t="s">
        <v>2816</v>
      </c>
      <c r="C118"/>
      <c r="D118"/>
      <c r="E118"/>
      <c r="F118"/>
    </row>
    <row r="119" spans="1:8" ht="15" x14ac:dyDescent="0.25">
      <c r="A119"/>
      <c r="B119" t="s">
        <v>1093</v>
      </c>
      <c r="C119" t="s">
        <v>2</v>
      </c>
      <c r="D119" t="s">
        <v>3</v>
      </c>
      <c r="E119" t="s">
        <v>1092</v>
      </c>
      <c r="F119" t="s">
        <v>1096</v>
      </c>
    </row>
    <row r="120" spans="1:8" ht="15" x14ac:dyDescent="0.25">
      <c r="A120" t="s">
        <v>2742</v>
      </c>
      <c r="B120" s="165">
        <v>1</v>
      </c>
      <c r="C120" s="165">
        <v>2</v>
      </c>
      <c r="D120" s="165">
        <v>31</v>
      </c>
      <c r="E120" s="165">
        <v>44</v>
      </c>
      <c r="F120" s="165">
        <v>78</v>
      </c>
    </row>
    <row r="121" spans="1:8" ht="15" x14ac:dyDescent="0.25">
      <c r="A121"/>
      <c r="B121" s="215">
        <f>+GETPIVOTDATA("23. Considero que la formación profesional recibida ha contribuido en el desarrollo de mi proyecto de vida.",$A$118,"23. Considero que la formación profesional recibida ha contribuido en el desarrollo de mi proyecto de vida.","Totalmente en desacuerdo / NO")/GETPIVOTDATA("23. Considero que la formación profesional recibida ha contribuido en el desarrollo de mi proyecto de vida.",$A$118)</f>
        <v>1.282051282051282E-2</v>
      </c>
      <c r="C121" s="217">
        <f>+GETPIVOTDATA("23. Considero que la formación profesional recibida ha contribuido en el desarrollo de mi proyecto de vida.",$A$118,"23. Considero que la formación profesional recibida ha contribuido en el desarrollo de mi proyecto de vida.","Medianamente de acuerdo")/GETPIVOTDATA("23. Considero que la formación profesional recibida ha contribuido en el desarrollo de mi proyecto de vida.",$A$118)</f>
        <v>2.564102564102564E-2</v>
      </c>
      <c r="D121" s="217">
        <f>+GETPIVOTDATA("23. Considero que la formación profesional recibida ha contribuido en el desarrollo de mi proyecto de vida.",$A$118,"23. Considero que la formación profesional recibida ha contribuido en el desarrollo de mi proyecto de vida.","De acuerdo")/GETPIVOTDATA("23. Considero que la formación profesional recibida ha contribuido en el desarrollo de mi proyecto de vida.",$A$118)</f>
        <v>0.39743589743589741</v>
      </c>
      <c r="E121" s="217">
        <f>+GETPIVOTDATA("23. Considero que la formación profesional recibida ha contribuido en el desarrollo de mi proyecto de vida.",$A$118,"23. Considero que la formación profesional recibida ha contribuido en el desarrollo de mi proyecto de vida.","Totalmente de acuerdo / SI")/GETPIVOTDATA("23. Considero que la formación profesional recibida ha contribuido en el desarrollo de mi proyecto de vida.",$A$118)</f>
        <v>0.5641025641025641</v>
      </c>
      <c r="H121" s="217">
        <f>SUM(B121:G121)</f>
        <v>1</v>
      </c>
    </row>
    <row r="122" spans="1:8" ht="15" x14ac:dyDescent="0.25">
      <c r="A122"/>
      <c r="B122"/>
    </row>
    <row r="123" spans="1:8" ht="15" x14ac:dyDescent="0.25">
      <c r="A123"/>
      <c r="B123"/>
    </row>
    <row r="124" spans="1:8" ht="15" x14ac:dyDescent="0.25">
      <c r="A124"/>
      <c r="B124"/>
    </row>
    <row r="125" spans="1:8" ht="15" x14ac:dyDescent="0.25">
      <c r="A125"/>
      <c r="B125"/>
    </row>
    <row r="126" spans="1:8" ht="15" x14ac:dyDescent="0.25">
      <c r="A126"/>
      <c r="B126"/>
    </row>
    <row r="127" spans="1:8" ht="15" x14ac:dyDescent="0.25">
      <c r="A127"/>
      <c r="B127"/>
    </row>
    <row r="128" spans="1:8" ht="15" x14ac:dyDescent="0.25">
      <c r="A128"/>
      <c r="B128"/>
    </row>
    <row r="129" spans="1:2" ht="15" x14ac:dyDescent="0.25">
      <c r="A129"/>
      <c r="B1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Ponderación</vt:lpstr>
      <vt:lpstr>RespuestasEST</vt:lpstr>
      <vt:lpstr>Resumen rta estudiantes</vt:lpstr>
      <vt:lpstr>RespuestasDOC</vt:lpstr>
      <vt:lpstr>Resumen rta docentes</vt:lpstr>
      <vt:lpstr>RespuestasADMON</vt:lpstr>
      <vt:lpstr>Resumen rta administrativos</vt:lpstr>
      <vt:lpstr>Respuestas EGRESADOS</vt:lpstr>
      <vt:lpstr>Resumen RTA egresados</vt:lpstr>
      <vt:lpstr>RTA Directivos</vt:lpstr>
      <vt:lpstr>Resumen RTA directivos</vt:lpstr>
      <vt:lpstr>Apreciación</vt:lpstr>
      <vt:lpstr>Integración Apreciación </vt:lpstr>
      <vt:lpstr>Integración Documental</vt:lpstr>
      <vt:lpstr>Estadistica</vt:lpstr>
      <vt:lpstr>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Angélica Mercedes Nivia Vargas</dc:creator>
  <cp:lastModifiedBy>distrital</cp:lastModifiedBy>
  <dcterms:created xsi:type="dcterms:W3CDTF">2016-08-29T15:00:08Z</dcterms:created>
  <dcterms:modified xsi:type="dcterms:W3CDTF">2021-06-28T17:36:06Z</dcterms:modified>
</cp:coreProperties>
</file>