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30" yWindow="795" windowWidth="13620" windowHeight="4545" tabRatio="656"/>
  </bookViews>
  <sheets>
    <sheet name="JULIO 31 - 2015" sheetId="56" r:id="rId1"/>
  </sheets>
  <definedNames>
    <definedName name="_xlnm._FilterDatabase" localSheetId="0" hidden="1">'JULIO 31 - 2015'!$C$1:$C$78</definedName>
    <definedName name="_xlnm.Print_Titles" localSheetId="0">'JULIO 31 - 2015'!$1:$2</definedName>
  </definedNames>
  <calcPr calcId="145621"/>
</workbook>
</file>

<file path=xl/calcChain.xml><?xml version="1.0" encoding="utf-8"?>
<calcChain xmlns="http://schemas.openxmlformats.org/spreadsheetml/2006/main">
  <c r="H128" i="56" l="1"/>
  <c r="H127" i="56"/>
  <c r="G128" i="56"/>
  <c r="G129" i="56"/>
  <c r="H113" i="56"/>
  <c r="N114" i="56" s="1"/>
  <c r="G113" i="56"/>
  <c r="H53" i="56" l="1"/>
  <c r="H51" i="56"/>
  <c r="G51" i="56"/>
  <c r="H45" i="56"/>
  <c r="G37" i="56"/>
  <c r="H23" i="56" l="1"/>
  <c r="H21" i="56"/>
  <c r="G21" i="56"/>
  <c r="J22" i="56" l="1"/>
  <c r="J127" i="56" l="1"/>
  <c r="G127" i="56"/>
  <c r="H40" i="56" l="1"/>
  <c r="G38" i="56"/>
  <c r="G25" i="56"/>
  <c r="G23" i="56"/>
  <c r="H13" i="56"/>
  <c r="G40" i="56" l="1"/>
  <c r="I40" i="56" s="1"/>
  <c r="G16" i="56"/>
  <c r="G53" i="56" l="1"/>
  <c r="G45" i="56" l="1"/>
  <c r="H37" i="56"/>
  <c r="M6" i="56"/>
  <c r="G29" i="56" l="1"/>
  <c r="G13" i="56"/>
  <c r="I86" i="56" l="1"/>
  <c r="H63" i="56" l="1"/>
  <c r="H139" i="56" l="1"/>
  <c r="G139" i="56"/>
  <c r="M139" i="56" s="1"/>
  <c r="D139" i="56"/>
  <c r="J139" i="56" s="1"/>
  <c r="M138" i="56"/>
  <c r="K138" i="56"/>
  <c r="J138" i="56"/>
  <c r="I138" i="56"/>
  <c r="D135" i="56"/>
  <c r="M135" i="56" s="1"/>
  <c r="K134" i="56"/>
  <c r="J134" i="56"/>
  <c r="I134" i="56"/>
  <c r="J133" i="56"/>
  <c r="I132" i="56"/>
  <c r="J132" i="56"/>
  <c r="H129" i="56"/>
  <c r="D129" i="56"/>
  <c r="M128" i="56"/>
  <c r="K128" i="56"/>
  <c r="J128" i="56"/>
  <c r="I128" i="56"/>
  <c r="K127" i="56"/>
  <c r="M126" i="56"/>
  <c r="K126" i="56"/>
  <c r="J126" i="56"/>
  <c r="I126" i="56"/>
  <c r="M125" i="56"/>
  <c r="K125" i="56"/>
  <c r="J125" i="56"/>
  <c r="I125" i="56"/>
  <c r="M124" i="56"/>
  <c r="K124" i="56"/>
  <c r="J124" i="56"/>
  <c r="I124" i="56"/>
  <c r="D121" i="56"/>
  <c r="M120" i="56"/>
  <c r="K120" i="56"/>
  <c r="J120" i="56"/>
  <c r="I120" i="56"/>
  <c r="M119" i="56"/>
  <c r="K119" i="56"/>
  <c r="J119" i="56"/>
  <c r="I119" i="56"/>
  <c r="K118" i="56"/>
  <c r="J118" i="56"/>
  <c r="M117" i="56"/>
  <c r="K117" i="56"/>
  <c r="J117" i="56"/>
  <c r="I117" i="56"/>
  <c r="D114" i="56"/>
  <c r="M113" i="56"/>
  <c r="K113" i="56"/>
  <c r="J113" i="56"/>
  <c r="I113" i="56"/>
  <c r="M112" i="56"/>
  <c r="K112" i="56"/>
  <c r="J112" i="56"/>
  <c r="I112" i="56"/>
  <c r="M111" i="56"/>
  <c r="K111" i="56"/>
  <c r="J111" i="56"/>
  <c r="I111" i="56"/>
  <c r="H107" i="56"/>
  <c r="G107" i="56"/>
  <c r="D107" i="56"/>
  <c r="M106" i="56"/>
  <c r="K106" i="56"/>
  <c r="J106" i="56"/>
  <c r="I106" i="56"/>
  <c r="M105" i="56"/>
  <c r="K105" i="56"/>
  <c r="J105" i="56"/>
  <c r="I105" i="56"/>
  <c r="M104" i="56"/>
  <c r="K104" i="56"/>
  <c r="J104" i="56"/>
  <c r="I104" i="56"/>
  <c r="M103" i="56"/>
  <c r="K103" i="56"/>
  <c r="J103" i="56"/>
  <c r="I103" i="56"/>
  <c r="M102" i="56"/>
  <c r="K102" i="56"/>
  <c r="J102" i="56"/>
  <c r="I102" i="56"/>
  <c r="D99" i="56"/>
  <c r="M99" i="56" s="1"/>
  <c r="M98" i="56"/>
  <c r="K98" i="56"/>
  <c r="J98" i="56"/>
  <c r="I98" i="56"/>
  <c r="M97" i="56"/>
  <c r="K97" i="56"/>
  <c r="J97" i="56"/>
  <c r="I97" i="56"/>
  <c r="M96" i="56"/>
  <c r="K96" i="56"/>
  <c r="J96" i="56"/>
  <c r="I96" i="56"/>
  <c r="M95" i="56"/>
  <c r="K95" i="56"/>
  <c r="J95" i="56"/>
  <c r="I95" i="56"/>
  <c r="M94" i="56"/>
  <c r="K94" i="56"/>
  <c r="J94" i="56"/>
  <c r="I94" i="56"/>
  <c r="M93" i="56"/>
  <c r="K93" i="56"/>
  <c r="J93" i="56"/>
  <c r="I93" i="56"/>
  <c r="M92" i="56"/>
  <c r="K92" i="56"/>
  <c r="J92" i="56"/>
  <c r="I92" i="56"/>
  <c r="M91" i="56"/>
  <c r="K91" i="56"/>
  <c r="J91" i="56"/>
  <c r="I91" i="56"/>
  <c r="M90" i="56"/>
  <c r="K90" i="56"/>
  <c r="J90" i="56"/>
  <c r="I90" i="56"/>
  <c r="M89" i="56"/>
  <c r="K89" i="56"/>
  <c r="J89" i="56"/>
  <c r="I89" i="56"/>
  <c r="M88" i="56"/>
  <c r="K88" i="56"/>
  <c r="J88" i="56"/>
  <c r="I88" i="56"/>
  <c r="M87" i="56"/>
  <c r="K87" i="56"/>
  <c r="J87" i="56"/>
  <c r="I87" i="56"/>
  <c r="K86" i="56"/>
  <c r="M85" i="56"/>
  <c r="K85" i="56"/>
  <c r="J85" i="56"/>
  <c r="I85" i="56"/>
  <c r="M84" i="56"/>
  <c r="K84" i="56"/>
  <c r="J84" i="56"/>
  <c r="I84" i="56"/>
  <c r="H77" i="56"/>
  <c r="G77" i="56"/>
  <c r="D77" i="56"/>
  <c r="M76" i="56"/>
  <c r="K76" i="56"/>
  <c r="J76" i="56"/>
  <c r="I76" i="56"/>
  <c r="M75" i="56"/>
  <c r="K75" i="56"/>
  <c r="J75" i="56"/>
  <c r="I75" i="56"/>
  <c r="M74" i="56"/>
  <c r="K74" i="56"/>
  <c r="J74" i="56"/>
  <c r="I74" i="56"/>
  <c r="M73" i="56"/>
  <c r="K73" i="56"/>
  <c r="J73" i="56"/>
  <c r="I73" i="56"/>
  <c r="M72" i="56"/>
  <c r="K72" i="56"/>
  <c r="J72" i="56"/>
  <c r="I72" i="56"/>
  <c r="M71" i="56"/>
  <c r="K71" i="56"/>
  <c r="J71" i="56"/>
  <c r="I71" i="56"/>
  <c r="M70" i="56"/>
  <c r="K70" i="56"/>
  <c r="J70" i="56"/>
  <c r="I70" i="56"/>
  <c r="H68" i="56"/>
  <c r="G68" i="56"/>
  <c r="D68" i="56"/>
  <c r="J68" i="56" s="1"/>
  <c r="M67" i="56"/>
  <c r="M68" i="56" s="1"/>
  <c r="K67" i="56"/>
  <c r="J67" i="56"/>
  <c r="I67" i="56"/>
  <c r="K65" i="56"/>
  <c r="H65" i="56"/>
  <c r="D65" i="56"/>
  <c r="M64" i="56"/>
  <c r="K64" i="56"/>
  <c r="J64" i="56"/>
  <c r="I64" i="56"/>
  <c r="K63" i="56"/>
  <c r="J63" i="56"/>
  <c r="G63" i="56"/>
  <c r="G65" i="56" s="1"/>
  <c r="I65" i="56" s="1"/>
  <c r="M60" i="56"/>
  <c r="K60" i="56"/>
  <c r="J60" i="56"/>
  <c r="I60" i="56"/>
  <c r="M59" i="56"/>
  <c r="K59" i="56"/>
  <c r="J59" i="56"/>
  <c r="I59" i="56"/>
  <c r="M58" i="56"/>
  <c r="K58" i="56"/>
  <c r="J58" i="56"/>
  <c r="I58" i="56"/>
  <c r="M57" i="56"/>
  <c r="K57" i="56"/>
  <c r="J57" i="56"/>
  <c r="I57" i="56"/>
  <c r="M56" i="56"/>
  <c r="K56" i="56"/>
  <c r="J56" i="56"/>
  <c r="I56" i="56"/>
  <c r="M55" i="56"/>
  <c r="K55" i="56"/>
  <c r="J55" i="56"/>
  <c r="I55" i="56"/>
  <c r="I54" i="56"/>
  <c r="D54" i="56"/>
  <c r="M54" i="56" s="1"/>
  <c r="I53" i="56"/>
  <c r="D53" i="56"/>
  <c r="M53" i="56" s="1"/>
  <c r="H52" i="56"/>
  <c r="J52" i="56" s="1"/>
  <c r="G52" i="56"/>
  <c r="I51" i="56"/>
  <c r="D51" i="56"/>
  <c r="H50" i="56"/>
  <c r="H61" i="56" s="1"/>
  <c r="G50" i="56"/>
  <c r="G61" i="56" s="1"/>
  <c r="H48" i="56"/>
  <c r="G48" i="56"/>
  <c r="M47" i="56"/>
  <c r="K47" i="56"/>
  <c r="J47" i="56"/>
  <c r="I47" i="56"/>
  <c r="M46" i="56"/>
  <c r="K46" i="56"/>
  <c r="J46" i="56"/>
  <c r="I46" i="56"/>
  <c r="I45" i="56"/>
  <c r="D45" i="56"/>
  <c r="D48" i="56" s="1"/>
  <c r="M44" i="56"/>
  <c r="K44" i="56"/>
  <c r="J44" i="56"/>
  <c r="I44" i="56"/>
  <c r="D42" i="56"/>
  <c r="M41" i="56"/>
  <c r="K41" i="56"/>
  <c r="J41" i="56"/>
  <c r="I41" i="56"/>
  <c r="K40" i="56"/>
  <c r="H42" i="56"/>
  <c r="D38" i="56"/>
  <c r="J37" i="56"/>
  <c r="M36" i="56"/>
  <c r="K36" i="56"/>
  <c r="J36" i="56"/>
  <c r="I36" i="56"/>
  <c r="M35" i="56"/>
  <c r="K35" i="56"/>
  <c r="J35" i="56"/>
  <c r="I35" i="56"/>
  <c r="M34" i="56"/>
  <c r="K34" i="56"/>
  <c r="J34" i="56"/>
  <c r="I34" i="56"/>
  <c r="M33" i="56"/>
  <c r="K33" i="56"/>
  <c r="J33" i="56"/>
  <c r="I33" i="56"/>
  <c r="M32" i="56"/>
  <c r="K32" i="56"/>
  <c r="J32" i="56"/>
  <c r="I32" i="56"/>
  <c r="M31" i="56"/>
  <c r="K31" i="56"/>
  <c r="J31" i="56"/>
  <c r="I31" i="56"/>
  <c r="H29" i="56"/>
  <c r="D29" i="56"/>
  <c r="M28" i="56"/>
  <c r="K28" i="56"/>
  <c r="J28" i="56"/>
  <c r="I28" i="56"/>
  <c r="I29" i="56" s="1"/>
  <c r="H25" i="56"/>
  <c r="J25" i="56" s="1"/>
  <c r="M25" i="56"/>
  <c r="M24" i="56"/>
  <c r="K24" i="56"/>
  <c r="J24" i="56"/>
  <c r="I24" i="56"/>
  <c r="G26" i="56"/>
  <c r="D23" i="56"/>
  <c r="M22" i="56"/>
  <c r="K22" i="56"/>
  <c r="I22" i="56"/>
  <c r="M21" i="56"/>
  <c r="K21" i="56"/>
  <c r="J21" i="56"/>
  <c r="I21" i="56"/>
  <c r="M20" i="56"/>
  <c r="K20" i="56"/>
  <c r="J20" i="56"/>
  <c r="I20" i="56"/>
  <c r="M19" i="56"/>
  <c r="K19" i="56"/>
  <c r="J19" i="56"/>
  <c r="I19" i="56"/>
  <c r="H17" i="56"/>
  <c r="G17" i="56"/>
  <c r="D17" i="56"/>
  <c r="J17" i="56" s="1"/>
  <c r="M16" i="56"/>
  <c r="M17" i="56" s="1"/>
  <c r="K16" i="56"/>
  <c r="J16" i="56"/>
  <c r="I16" i="56"/>
  <c r="H14" i="56"/>
  <c r="D14" i="56"/>
  <c r="K13" i="56"/>
  <c r="J13" i="56"/>
  <c r="I13" i="56"/>
  <c r="G14" i="56"/>
  <c r="M12" i="56"/>
  <c r="K12" i="56"/>
  <c r="J12" i="56"/>
  <c r="I12" i="56"/>
  <c r="M11" i="56"/>
  <c r="K11" i="56"/>
  <c r="J11" i="56"/>
  <c r="I11" i="56"/>
  <c r="M10" i="56"/>
  <c r="K10" i="56"/>
  <c r="J10" i="56"/>
  <c r="I10" i="56"/>
  <c r="M9" i="56"/>
  <c r="K9" i="56"/>
  <c r="J9" i="56"/>
  <c r="I9" i="56"/>
  <c r="I7" i="56"/>
  <c r="D7" i="56"/>
  <c r="M7" i="56"/>
  <c r="K6" i="56"/>
  <c r="J6" i="56"/>
  <c r="I6" i="56"/>
  <c r="D61" i="56" l="1"/>
  <c r="K61" i="56" s="1"/>
  <c r="J51" i="56"/>
  <c r="I107" i="56"/>
  <c r="I68" i="56"/>
  <c r="I129" i="56"/>
  <c r="K42" i="56"/>
  <c r="K45" i="56"/>
  <c r="K51" i="56"/>
  <c r="K53" i="56"/>
  <c r="K129" i="56"/>
  <c r="M23" i="56"/>
  <c r="M26" i="56" s="1"/>
  <c r="M50" i="56"/>
  <c r="I52" i="56"/>
  <c r="K52" i="56"/>
  <c r="K54" i="56"/>
  <c r="I63" i="56"/>
  <c r="K139" i="56"/>
  <c r="M114" i="56"/>
  <c r="K14" i="56"/>
  <c r="I17" i="56"/>
  <c r="I48" i="56"/>
  <c r="K107" i="56"/>
  <c r="M129" i="56"/>
  <c r="K121" i="56"/>
  <c r="I121" i="56"/>
  <c r="K114" i="56"/>
  <c r="I114" i="56"/>
  <c r="M107" i="56"/>
  <c r="K68" i="56"/>
  <c r="K29" i="56"/>
  <c r="K77" i="56"/>
  <c r="I77" i="56"/>
  <c r="M77" i="56"/>
  <c r="K17" i="56"/>
  <c r="K7" i="56"/>
  <c r="J7" i="56"/>
  <c r="M38" i="56"/>
  <c r="I61" i="56"/>
  <c r="M65" i="56"/>
  <c r="M121" i="56"/>
  <c r="I14" i="56"/>
  <c r="M14" i="56"/>
  <c r="M48" i="56"/>
  <c r="J48" i="56"/>
  <c r="K48" i="56"/>
  <c r="M61" i="56"/>
  <c r="J61" i="56"/>
  <c r="K99" i="56"/>
  <c r="J14" i="56"/>
  <c r="I23" i="56"/>
  <c r="K23" i="56"/>
  <c r="I25" i="56"/>
  <c r="K25" i="56"/>
  <c r="D26" i="56"/>
  <c r="H26" i="56"/>
  <c r="I37" i="56"/>
  <c r="K37" i="56"/>
  <c r="H38" i="56"/>
  <c r="K38" i="56" s="1"/>
  <c r="J40" i="56"/>
  <c r="M40" i="56"/>
  <c r="G42" i="56"/>
  <c r="I42" i="56" s="1"/>
  <c r="J45" i="56"/>
  <c r="M45" i="56"/>
  <c r="I50" i="56"/>
  <c r="K50" i="56"/>
  <c r="M51" i="56"/>
  <c r="M52" i="56"/>
  <c r="J54" i="56"/>
  <c r="M63" i="56"/>
  <c r="J86" i="56"/>
  <c r="M86" i="56"/>
  <c r="J107" i="56"/>
  <c r="I118" i="56"/>
  <c r="J121" i="56"/>
  <c r="I127" i="56"/>
  <c r="J129" i="56"/>
  <c r="K132" i="56"/>
  <c r="I133" i="56"/>
  <c r="K133" i="56"/>
  <c r="I139" i="56"/>
  <c r="D141" i="56"/>
  <c r="M13" i="56"/>
  <c r="J23" i="56"/>
  <c r="J29" i="56"/>
  <c r="M37" i="56"/>
  <c r="J42" i="56"/>
  <c r="J50" i="56"/>
  <c r="J53" i="56"/>
  <c r="J65" i="56"/>
  <c r="J77" i="56"/>
  <c r="J99" i="56"/>
  <c r="J114" i="56"/>
  <c r="M118" i="56"/>
  <c r="M127" i="56"/>
  <c r="K135" i="56" l="1"/>
  <c r="J135" i="56"/>
  <c r="G78" i="56"/>
  <c r="K26" i="56"/>
  <c r="H78" i="56"/>
  <c r="G141" i="56"/>
  <c r="I99" i="56"/>
  <c r="J38" i="56"/>
  <c r="J26" i="56"/>
  <c r="H141" i="56"/>
  <c r="K141" i="56" s="1"/>
  <c r="I26" i="56"/>
  <c r="M29" i="56"/>
  <c r="D78" i="56"/>
  <c r="I135" i="56"/>
  <c r="M42" i="56"/>
  <c r="I38" i="56"/>
  <c r="J141" i="56" l="1"/>
  <c r="I141" i="56"/>
  <c r="M141" i="56"/>
  <c r="I78" i="56"/>
  <c r="K78" i="56"/>
  <c r="H143" i="56"/>
  <c r="G143" i="56"/>
  <c r="D143" i="56"/>
  <c r="M78" i="56"/>
  <c r="J78" i="56"/>
  <c r="I143" i="56" l="1"/>
  <c r="M143" i="56"/>
  <c r="J143" i="56"/>
  <c r="K143" i="56"/>
</calcChain>
</file>

<file path=xl/comments1.xml><?xml version="1.0" encoding="utf-8"?>
<comments xmlns="http://schemas.openxmlformats.org/spreadsheetml/2006/main">
  <authors>
    <author>df</author>
    <author>red udnet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de:</t>
        </r>
        <r>
          <rPr>
            <sz val="9"/>
            <color indexed="81"/>
            <rFont val="Tahoma"/>
            <family val="2"/>
          </rPr>
          <t xml:space="preserve">
Sandra Velázquez el 27 de enero de 2015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de:</t>
        </r>
        <r>
          <rPr>
            <sz val="9"/>
            <color indexed="81"/>
            <rFont val="Tahoma"/>
            <family val="2"/>
          </rPr>
          <t xml:space="preserve">
El rubro esta desfinanciado así: $140.000.000 para equipos, $20.000.000 Hornos : total $ 160.000.000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de:</t>
        </r>
        <r>
          <rPr>
            <sz val="9"/>
            <color indexed="81"/>
            <rFont val="Tahoma"/>
            <family val="2"/>
          </rPr>
          <t xml:space="preserve">
E. Pinilla el 27 de enero de 2015</t>
        </r>
      </text>
    </comment>
    <comment ref="M37" authorId="0">
      <text>
        <r>
          <rPr>
            <b/>
            <sz val="9"/>
            <color indexed="81"/>
            <rFont val="Tahoma"/>
            <charset val="1"/>
          </rPr>
          <t>df:</t>
        </r>
        <r>
          <rPr>
            <sz val="9"/>
            <color indexed="81"/>
            <rFont val="Tahoma"/>
            <charset val="1"/>
          </rPr>
          <t xml:space="preserve">
$30,200,000 correspónden a arrendamiento espacios TECAL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de:</t>
        </r>
        <r>
          <rPr>
            <sz val="9"/>
            <color indexed="81"/>
            <rFont val="Tahoma"/>
            <family val="2"/>
          </rPr>
          <t xml:space="preserve">
El Rubro esta desfinanciado en $ 40.000.000 con destino a Internet.</t>
        </r>
      </text>
    </comment>
    <comment ref="D50" authorId="1">
      <text>
        <r>
          <rPr>
            <b/>
            <sz val="9"/>
            <color indexed="81"/>
            <rFont val="Tahoma"/>
            <family val="2"/>
          </rPr>
          <t>red udnet:</t>
        </r>
        <r>
          <rPr>
            <sz val="9"/>
            <color indexed="81"/>
            <rFont val="Tahoma"/>
            <family val="2"/>
          </rPr>
          <t xml:space="preserve">
Proyección contrato  para 10 meses 4 días, desde el 12 e febrero de 2015 hasta el 15 de diciembre de 2015</t>
        </r>
      </text>
    </comment>
    <comment ref="D52" authorId="1">
      <text>
        <r>
          <rPr>
            <b/>
            <sz val="9"/>
            <color indexed="81"/>
            <rFont val="Tahoma"/>
            <family val="2"/>
          </rPr>
          <t>red udnet:</t>
        </r>
        <r>
          <rPr>
            <sz val="9"/>
            <color indexed="81"/>
            <rFont val="Tahoma"/>
            <family val="2"/>
          </rPr>
          <t xml:space="preserve">
Proyectado contrato para 9 meses y 10 días, desde el 1 marzo de 2015, hasta el 10 de diciembre de 2015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de: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4" authorId="1">
      <text>
        <r>
          <rPr>
            <b/>
            <sz val="8"/>
            <color indexed="81"/>
            <rFont val="Tahoma"/>
            <family val="2"/>
          </rPr>
          <t>red udnet:</t>
        </r>
        <r>
          <rPr>
            <sz val="8"/>
            <color indexed="81"/>
            <rFont val="Tahoma"/>
            <family val="2"/>
          </rPr>
          <t xml:space="preserve">
Este valor incluye: ECOCAPITAL Y ASEO CAPITAL</t>
        </r>
      </text>
    </comment>
  </commentList>
</comments>
</file>

<file path=xl/sharedStrings.xml><?xml version="1.0" encoding="utf-8"?>
<sst xmlns="http://schemas.openxmlformats.org/spreadsheetml/2006/main" count="496" uniqueCount="243">
  <si>
    <t>GASTOS DE COMPUTADOR</t>
  </si>
  <si>
    <t>MATERIALES Y SUMINISTROS</t>
  </si>
  <si>
    <t>COMBUSTIBLES, LUBRICANTES Y LLANTAS</t>
  </si>
  <si>
    <t>COMITÉ DE LABORATORIOS</t>
  </si>
  <si>
    <t>GASTOS DE TRANSPORTE Y COMUNICACIÓN ADMINISTRATIVOS</t>
  </si>
  <si>
    <t>TIPOLOGÍA</t>
  </si>
  <si>
    <t>COMPRA DE EQUIPOS</t>
  </si>
  <si>
    <t>ARRENDAMIENTOS</t>
  </si>
  <si>
    <t>RED DE DATOS UDNET</t>
  </si>
  <si>
    <t>Servicio de aseo y cafetería para la Universidad Distrital</t>
  </si>
  <si>
    <t>Servicios de mantenimiento a todo tipo de equipos de laboratorios</t>
  </si>
  <si>
    <t>RED UDNET</t>
  </si>
  <si>
    <t>SEGUROS</t>
  </si>
  <si>
    <t xml:space="preserve">Servicio de vigilancia </t>
  </si>
  <si>
    <t>Suministros de elementos consumibles de papelería y de oficina</t>
  </si>
  <si>
    <t>Suministro de tonners para fotocopiadoras e impresoras</t>
  </si>
  <si>
    <t>Suministro de reactivos y todo tipo de material consumible para laboratorio</t>
  </si>
  <si>
    <t>Servicio de fotocopiado para las diferentes sedes de la universidad</t>
  </si>
  <si>
    <t>TOTAL RUBRO</t>
  </si>
  <si>
    <t xml:space="preserve">SERVICIOS PUBLICOS </t>
  </si>
  <si>
    <t>Suministro de todo tipo de dotaciones para el personal (Convención Trabajadores oficiales)</t>
  </si>
  <si>
    <t>Bombillería especializada</t>
  </si>
  <si>
    <t>Servicios para la renovación de la suscripción en revistas y /o bases de datos especializadas, construdata etc.</t>
  </si>
  <si>
    <t xml:space="preserve">Servicios de mensajería </t>
  </si>
  <si>
    <t>TIPO DE CONTRATACION SEGÚN MONTO</t>
  </si>
  <si>
    <t>Contratación Directa</t>
  </si>
  <si>
    <t>Invitación Directa</t>
  </si>
  <si>
    <t>Convocatoria Pública</t>
  </si>
  <si>
    <t>ENERGIA</t>
  </si>
  <si>
    <t xml:space="preserve">COMCEL </t>
  </si>
  <si>
    <t xml:space="preserve">ECOCAPITAL </t>
  </si>
  <si>
    <t xml:space="preserve">ACUEDUCTO </t>
  </si>
  <si>
    <t>GAS</t>
  </si>
  <si>
    <t>Mantenimiento preventivo y correctivo con partes  de impresoras, teléfonos, fax, escáner y  video beam.</t>
  </si>
  <si>
    <t>Centros de Atención CADE (OQRA)</t>
  </si>
  <si>
    <t xml:space="preserve">Oficina - PIGA </t>
  </si>
  <si>
    <t>Internet</t>
  </si>
  <si>
    <t xml:space="preserve">MANTENIMIENTO Y REPARACIONES </t>
  </si>
  <si>
    <t xml:space="preserve">PLAN DE INVERSIÓN </t>
  </si>
  <si>
    <t>COMPONENTE</t>
  </si>
  <si>
    <t>SECCIÓN DE COMPRAS</t>
  </si>
  <si>
    <t>DOTACIÓN</t>
  </si>
  <si>
    <t xml:space="preserve">PLAN DE F U N C I O N A M I E N T O </t>
  </si>
  <si>
    <t>SECCION DE COMPRAS</t>
  </si>
  <si>
    <t>Suministro de todo tipo de combustibles (Gasolina, ACPM y Gas)</t>
  </si>
  <si>
    <t>VAF-SECCION DE COMPRAS</t>
  </si>
  <si>
    <t>ETB- TELEFONICA/CLARO</t>
  </si>
  <si>
    <t>Contratación Directa-Invitaciones Directas -Convocatorias Publicas</t>
  </si>
  <si>
    <t>VAF-SECCION COMPRAS</t>
  </si>
  <si>
    <t>RESPONSABLE DE LA GESTION  DEL PROCESO DE CONTRATACIÓN</t>
  </si>
  <si>
    <t>FORMULACION DEL ESTUDIO DE CONVENIENCIA Y OPORTUNIDAD</t>
  </si>
  <si>
    <t>379-Construcción Nueva Sede Universitaria Ciudadela el Porvenir Bosa</t>
  </si>
  <si>
    <t>380-Mejoramiento y Ampliación de la Infraestructura Física de la Universidad</t>
  </si>
  <si>
    <t>4149-Dotación Laboratorios U.D.</t>
  </si>
  <si>
    <t xml:space="preserve">Adquisición de equipos robustos </t>
  </si>
  <si>
    <t>378-Promoción De La Investigación Y Desarrollo Científico</t>
  </si>
  <si>
    <t>Formación de investigadores</t>
  </si>
  <si>
    <t>Apoyo a grupos de investigación</t>
  </si>
  <si>
    <t xml:space="preserve">Divulgación y socialización </t>
  </si>
  <si>
    <t>Plan de formación docente</t>
  </si>
  <si>
    <t>Fortalecimiento doctorados existentes (incluye adquisición de equipos )</t>
  </si>
  <si>
    <t xml:space="preserve">Fortalecimiento doctorado en curso </t>
  </si>
  <si>
    <t xml:space="preserve">188- Sistema Integral de Información </t>
  </si>
  <si>
    <t>CIDC</t>
  </si>
  <si>
    <t>TOTAL RUBRO 378-Promoción De La Investigación Y Desarrollo Científico</t>
  </si>
  <si>
    <t>TOTAL RUBRO 4149-Dotación Laboratorios U.D.</t>
  </si>
  <si>
    <t>Convocatoria/ Invitación Directa / Contratación Directa</t>
  </si>
  <si>
    <t>TOTAL RUBRO 4150-Dotación Y Actualización Biblioteca</t>
  </si>
  <si>
    <t>COMITÉ DE BIBLIOTECA</t>
  </si>
  <si>
    <t>TOTAL RUBRO 379-Construcción Nueva Sede Universitaria Ciudadela el Porvenir Bosa</t>
  </si>
  <si>
    <t>RECTORIA</t>
  </si>
  <si>
    <t>TOTAL RUBRO 380-Mejoramiento y Ampliación de la Infraestructura Física de la Universidad</t>
  </si>
  <si>
    <t xml:space="preserve">TOTAL RUBRO 188- Sistema Integral de Información </t>
  </si>
  <si>
    <t xml:space="preserve">ASEO CAPITAL </t>
  </si>
  <si>
    <t xml:space="preserve"> </t>
  </si>
  <si>
    <t xml:space="preserve">A N E X O   0 1 </t>
  </si>
  <si>
    <t>TOTAL PLAN FUNCIONAMIENTO / INVERSIÓN VIGENCIA 2014</t>
  </si>
  <si>
    <t>Audiovisuales</t>
  </si>
  <si>
    <t>Software</t>
  </si>
  <si>
    <t>Otros arrendamientos ( Incluye espacios facultad de Artes)</t>
  </si>
  <si>
    <t>Sede Nueva Santa Fe -facultad de Artes</t>
  </si>
  <si>
    <t>Sede Publicaciones y Alternativa</t>
  </si>
  <si>
    <t>Mantenimiento para el aire acondicionado del centro de gestión olimpo edificio Sabio Caldas, Aduanilla de Paiba y Macarena A</t>
  </si>
  <si>
    <t xml:space="preserve">Calibración del certificador </t>
  </si>
  <si>
    <t>PLAN DE CONTRATACIÓN DE LA UNIVERSIDAD DISTRITAL VIGENCIA 2015</t>
  </si>
  <si>
    <t>VIGENCIA 2015</t>
  </si>
  <si>
    <t>VALOR ASIGNADO 2015 ( Res. 048-2014 CSU)</t>
  </si>
  <si>
    <t>Servicios de publicación en todo tipo de avisos en diarios de publicación nacional</t>
  </si>
  <si>
    <t>Suministro de partes para mantenimiento correctivo, equipos y servidores</t>
  </si>
  <si>
    <t>Adquisición  de software de todo tipo de licencias (Licencias de ORACLE en Sistemas de Misión Crítica, y software para apoyo a la misión critica de la OAS)</t>
  </si>
  <si>
    <t>Actualización del plan de continuidad del negocio</t>
  </si>
  <si>
    <t>Licencias Oficina de Publicaciones</t>
  </si>
  <si>
    <t>PUBLICACIONES-SECCION DE COMPRAS</t>
  </si>
  <si>
    <t>Servicio de empaste de los documentos de archivos de la División de Recursos Financieros</t>
  </si>
  <si>
    <t>D.R. FINANCIEROS-SECCION DE COMPRAS</t>
  </si>
  <si>
    <t>Soporte y garantía extendida para la infraestructura de telecomunicaciones marca CISCO y otros switches</t>
  </si>
  <si>
    <t>Mantenimiento a Equipos Servidores OAS</t>
  </si>
  <si>
    <t xml:space="preserve">VIGENCIA 2015 </t>
  </si>
  <si>
    <t>Julio 1 de 2015</t>
  </si>
  <si>
    <t>16 DE FEBRERO DE 2015</t>
  </si>
  <si>
    <t>28 DE ENERO DE 2015</t>
  </si>
  <si>
    <t>30 DE ENERO DE 2015</t>
  </si>
  <si>
    <t>18 DE MARZO DE 2015</t>
  </si>
  <si>
    <t>15 DE JULIO DE 2015</t>
  </si>
  <si>
    <t>1 DE JUNIO DE 2015</t>
  </si>
  <si>
    <t>1 DE JULIO DE 2015</t>
  </si>
  <si>
    <t>25 DE FEBRERO DE 2015</t>
  </si>
  <si>
    <t>26 DE ENERO DE 2015</t>
  </si>
  <si>
    <t>12 DE MARZO DE 2015</t>
  </si>
  <si>
    <t>Mantenimiento Infraestructura Procesamiento UDNET</t>
  </si>
  <si>
    <t>1 DE AGOSTO DE 2015</t>
  </si>
  <si>
    <t>8 DE ABRIL DE 2015</t>
  </si>
  <si>
    <t xml:space="preserve">
15 DE JULIO DE 2015
</t>
  </si>
  <si>
    <t>15 DE MARZO DE 2015</t>
  </si>
  <si>
    <t xml:space="preserve">15 DE MARZO DE 2015  </t>
  </si>
  <si>
    <t>10 DE MARZO DE 2015</t>
  </si>
  <si>
    <t>15 DE FEBRERO DE 2015</t>
  </si>
  <si>
    <t>3 DE FEBRERO DE 2015</t>
  </si>
  <si>
    <t>15 ABRIL DE 2015</t>
  </si>
  <si>
    <t xml:space="preserve">Contratación Directa </t>
  </si>
  <si>
    <t>RED DE DATOS UDNET - SECCIÓN COMPRAS</t>
  </si>
  <si>
    <t>COMITÉ LABORATORIOS  - SECCION DE COMPRAS</t>
  </si>
  <si>
    <t>RED DE DATOS -SECCION DE COMPRAS</t>
  </si>
  <si>
    <t xml:space="preserve"> OFICINA ASESORA DE PLANEACIÓN Y CONTROL - OFICINA ASESORA JURIDICA</t>
  </si>
  <si>
    <t>COMITÉ LABORATORIOS - VAF - SECCIÓN COMPRAS</t>
  </si>
  <si>
    <t>RED DE DATOS - SECCION DE COMPRAS</t>
  </si>
  <si>
    <t>OFICINA ASESORA DE SISTEMAS</t>
  </si>
  <si>
    <t>DIVISIÓN RECURSOS HUMANOS</t>
  </si>
  <si>
    <t xml:space="preserve">SECCIÓN PUBLICACIONES - COMITÉ INFORMÁTICA </t>
  </si>
  <si>
    <t>DIVISIÓN DE RECURSOS FÍSICOS</t>
  </si>
  <si>
    <t>VICERRECTORÍA  ACADÉMICA</t>
  </si>
  <si>
    <t>RED DE DATOS UDNET- VICERRECTORÍA ADMINISTRATIVA Y FINANCIERA</t>
  </si>
  <si>
    <t>VICERRECTORÍA ADMINISTRATIVA Y FINANCIERA</t>
  </si>
  <si>
    <t>DIVISIÓN DE RECURSOS FÍSICOS ( DRF)</t>
  </si>
  <si>
    <t>DRF - VICERRECTORÍA ADMINISTRATIVA Y FINANCIERA</t>
  </si>
  <si>
    <t>VICERRECTORÍA ADMINISTRATIVA Y FINANCIERA -RED UDNET-COMPRAS</t>
  </si>
  <si>
    <t>VICERRECTORÍA ADMINISTRATIVA Y FINANCIERA - RED DE DATOS</t>
  </si>
  <si>
    <t>OFICINA ASESORA DE SISTEMAS ( OAS)</t>
  </si>
  <si>
    <t>OAS-VICERRECTORÍA ADMINISTRATIVA Y FINANCIERA</t>
  </si>
  <si>
    <t>RED DE DATOS UDNET-VICERRECTORÍA ADMINISTRATIVA Y FINANCIERA</t>
  </si>
  <si>
    <t>DIVISIÓN RECURSOS FÍSICOS - VICERRECTORÍA ADMINISTRATIVA Y FINANCIERA</t>
  </si>
  <si>
    <t>DRF- VICERRECTORÍA ADMINISTRATIVA Y FINANCIERA- SECCION COMPRAS</t>
  </si>
  <si>
    <t>OAS- VICERRECTORÍA ADMINISTRATIVA Y FINANCIERA</t>
  </si>
  <si>
    <t>RED DE DATOS UDNET - VAF</t>
  </si>
  <si>
    <t xml:space="preserve">RED DE DATOS UDNET </t>
  </si>
  <si>
    <t>RED DE DATOS UDENET - SECCION DE COMPRAS</t>
  </si>
  <si>
    <t>VICERRECTORÍA ADMINISTRATIVA Y FINANCIERA (V. A. F.)</t>
  </si>
  <si>
    <t>DIVISIÓN DE RECURSOS FINANCIEROS</t>
  </si>
  <si>
    <t>12 DE FEBRERO DE 2015</t>
  </si>
  <si>
    <t>Adquisición de seguros generales</t>
  </si>
  <si>
    <t>Adquisición de seguro estudiantil</t>
  </si>
  <si>
    <t>DIRECCIÓN DE BIENESTAR INSTITUCIONAL</t>
  </si>
  <si>
    <t>2 DE MAYO DE 2015</t>
  </si>
  <si>
    <t>DIRECCIÓN DE BIENESTAR INSTITUCIONAL - VICERRECTORÍA ADMINISTRATIVA Y FINANCIERA</t>
  </si>
  <si>
    <t>29 DE MAYO DE 2015</t>
  </si>
  <si>
    <t>25 DE AGOSTO DE 2015</t>
  </si>
  <si>
    <t>Computadores y Telecomunicaciones</t>
  </si>
  <si>
    <t>VIGENCIA</t>
  </si>
  <si>
    <t>4150-Dotación  y Actualización Biblioteca</t>
  </si>
  <si>
    <t>Servicios Bibliográficos</t>
  </si>
  <si>
    <t>Infraestructura Tecnológica</t>
  </si>
  <si>
    <t>Colecciones con Información Bibliográfica</t>
  </si>
  <si>
    <t>Red de datos UDNET</t>
  </si>
  <si>
    <t>Sistema Institucional de Información</t>
  </si>
  <si>
    <t>Planes TIC</t>
  </si>
  <si>
    <t>RITA</t>
  </si>
  <si>
    <t>Convocatoria Pública / Invitación Directa / Contratación Directa</t>
  </si>
  <si>
    <t>RED DE DATOS  UDNET</t>
  </si>
  <si>
    <t>COMITÉ PLANES TIC</t>
  </si>
  <si>
    <t>Mobiliario y señalización de la Fase I</t>
  </si>
  <si>
    <t>OFICINA ASESORA DE PLANEACIÓN Y CONTROL</t>
  </si>
  <si>
    <t>BIENESTAR INSTITUCIONAL</t>
  </si>
  <si>
    <t>2 DE FEBRERO DE 2015</t>
  </si>
  <si>
    <t xml:space="preserve"> VICERRECTORÍA ADMINISTRATIVA Y FINANCIERA</t>
  </si>
  <si>
    <t>PROGRAMA DE APOYO ALIMENTARIO</t>
  </si>
  <si>
    <t>Suministro y Distribución de almuerzos diarios para los estudiantes de pre-grado</t>
  </si>
  <si>
    <t>DIRECCIÓN RITA</t>
  </si>
  <si>
    <t>Elaboración de instrumento de gestión urbana para el desarrollo de los predios El Ensueño y Calle 40</t>
  </si>
  <si>
    <t>Implementación del Sistema de Administración de la Planta Física</t>
  </si>
  <si>
    <t>Construcción para ampliación de la infraestructura física en las sedes Macarena B y Tecnológica (Laboratorios Macarena B, licenciamiento, y estudios previos Facultad Tecnológica)</t>
  </si>
  <si>
    <t>Evaluación y ajuste al Plan Maestro de Desarrollo Físico</t>
  </si>
  <si>
    <t>Eventos académicos y de investigación</t>
  </si>
  <si>
    <t>Fondo de investigaciones</t>
  </si>
  <si>
    <t>Apoyo a ponencia de investigadores</t>
  </si>
  <si>
    <t xml:space="preserve">Red de semilleros de investigación </t>
  </si>
  <si>
    <t>Apoyo a revistas institucionales</t>
  </si>
  <si>
    <t>Apoyo a empresas tipo Spin Off</t>
  </si>
  <si>
    <t>Cofinanciación de  proyectos de investigación</t>
  </si>
  <si>
    <t>Política de apoyo al programa de jóvenes investigadores</t>
  </si>
  <si>
    <t>Sistemas de información para el apoyo al sistema de investigaciones</t>
  </si>
  <si>
    <t>Fomento de Redes de Investigaciones de Tecnología Avanzada</t>
  </si>
  <si>
    <t>Campañas educativas, acompañamientos, logísticas  y otros.</t>
  </si>
  <si>
    <t>Sede Calle 64- Posgrados-</t>
  </si>
  <si>
    <t>Pago del arrendamiento del Densímetro Nuclear a Ingeominas- F. Tecnológica.</t>
  </si>
  <si>
    <t xml:space="preserve">Mantenimientos generales (físicos, eléctricos,  a equipos , vehículos y demás). Se incluye la adquisición de suministros y herramientas necesarias. </t>
  </si>
  <si>
    <t>Mantenimiento a la solución de telefonía IP Marca Avaya</t>
  </si>
  <si>
    <t>T O T A L    P L A N  D E  C O N T R A T A C I O N   
F U N C I O N A M I E N T O</t>
  </si>
  <si>
    <t>Música, Sonido, Luces</t>
  </si>
  <si>
    <t>Pago radicaciones de impuestos en curaduría, materiales e insumos (Aduanilla de Paiba, Macarena B, otros)</t>
  </si>
  <si>
    <t>389-Desarrollo Y Fortalecimiento Doctorados y Maestrías</t>
  </si>
  <si>
    <t>TOTAL RUBRO 389-Desarrollo Y Fortalecimiento Doctorados y Maestrías</t>
  </si>
  <si>
    <t>T O T A L    P L A N  D E  C O N T R A T A C I O N   INVERSION</t>
  </si>
  <si>
    <t>FECHA DE APERTURA DEL PROCESO</t>
  </si>
  <si>
    <t>Invitación Directa/ Contratación Directa</t>
  </si>
  <si>
    <t>Carnetización (Adquisición de Unidades de tarjetas para impresiones, cintas para impresiones, kit de limpieza, Adaptaciones, Acoples eléctricos y electrónicos y demás elementos necesarios para garantizar la prestación del servicios)</t>
  </si>
  <si>
    <t>2 DE NOVIEMBRE DE 2015</t>
  </si>
  <si>
    <t>Renovación Campus y otros (Emisora, Autocad, Adobe,  Campus, Software Web y Red Hat) Software administrativos.</t>
  </si>
  <si>
    <t xml:space="preserve">5 DE MARZO DE 2015
</t>
  </si>
  <si>
    <t>26 DE MARZO DE 2015</t>
  </si>
  <si>
    <t>Insumos para Telecomunicaciones</t>
  </si>
  <si>
    <t xml:space="preserve">Adquisición de equipos  </t>
  </si>
  <si>
    <t>Convocatoria Pública/Invitación Directa/ Contratación Directa</t>
  </si>
  <si>
    <t xml:space="preserve">
17 DE AGOSOTO DE 2015 
</t>
  </si>
  <si>
    <t>Invitación Directa/Contratación Directa</t>
  </si>
  <si>
    <t xml:space="preserve">SEGÚN ESPECIFICIDAD Y MANTENIMIENTO Y/O GARANTÍA DE LOS EQUIPOS </t>
  </si>
  <si>
    <t>Promoción e implantación de los procesos de gestión de propiedad intelectual</t>
  </si>
  <si>
    <t>Diseño del Sistema de edificación</t>
  </si>
  <si>
    <t>EJECUCIÓN RUBRO EN RP</t>
  </si>
  <si>
    <t>SALDO CDP-RP</t>
  </si>
  <si>
    <t>SALDO EN ACTIVIDAD A NIVEL DE RP</t>
  </si>
  <si>
    <t>% EJECUCIÓN FINAL</t>
  </si>
  <si>
    <t>SALDO EN SOLICITUD DE CDP EN PPTO</t>
  </si>
  <si>
    <t>IMPRESOS Y PUBLICACIONES ADMINISTRATIVOS</t>
  </si>
  <si>
    <t>PLAN DE INVERSIÓN</t>
  </si>
  <si>
    <t xml:space="preserve">EJECUCIÓN PLAN DE F U N C I O N A M I E N T O </t>
  </si>
  <si>
    <t>EJECUCIÓN GASTOS DE COMPUTADOR</t>
  </si>
  <si>
    <t>EJECUCIÓN COMBUSTIBLES, LUBRICANTES Y LLANTAS</t>
  </si>
  <si>
    <t>EJECUCIÓN MATERIALES Y SUMINISTROS</t>
  </si>
  <si>
    <t>EJECUCIÓN COMPRA DE EQUIPO</t>
  </si>
  <si>
    <t>EJECUCIÓN ARRENDAMIENTOS</t>
  </si>
  <si>
    <t>EJECUCIÓN GASTOS DE TRANSPORTE Y COMUICACIONES ADMINISTRATIVOS</t>
  </si>
  <si>
    <t>EJECUCIÓN IMPRESOS Y PUBLICACIONES ADMINISTRATIVOS</t>
  </si>
  <si>
    <t xml:space="preserve">EJECUCIÓN MANTENIMIENTO Y REPARACIONES </t>
  </si>
  <si>
    <t>EJECUCIÓN SEGUROS</t>
  </si>
  <si>
    <t>EJECUCIÓN PROGRAMA DE APOYO ALIMENTARIO</t>
  </si>
  <si>
    <t>EJECUCIÓN 378-Promoción De La Investigación Y Desarrollo Científico</t>
  </si>
  <si>
    <t>EJECUCIÓN 4149-Dotación Laboratorios U.D</t>
  </si>
  <si>
    <t>DOTACIÓN 4150-Dotación  y Actualización Biblioteca</t>
  </si>
  <si>
    <t xml:space="preserve">EJECUCIÓN 188- Sistema Integral de Información </t>
  </si>
  <si>
    <t>EJECUCIÓN 380-Mejoramiento y Ampliación de la Infraestructura Física de la Universidad</t>
  </si>
  <si>
    <t>EJECUCIÓN 389-Desarrollo Y Fortalecimiento Doctorados y Maestrías</t>
  </si>
  <si>
    <t>EJECUCIÓN SERVICIOS PÚBLICOS</t>
  </si>
  <si>
    <t>APROPIACION DE CDP A JULIO 31 -2015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</si>
</sst>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164" formatCode="_-* #,##0.00\ &quot;pta&quot;_-;\-* #,##0.00\ &quot;pta&quot;_-;_-* &quot;-&quot;??\ &quot;pta&quot;_-;_-@_-"/>
    <numFmt numFmtId="165" formatCode="_([$$-240A]\ * #,##0_);_([$$-240A]\ * \(#,##0\);_([$$-240A]\ * &quot;-&quot;??_);_(@_)"/>
    <numFmt numFmtId="166" formatCode="_(&quot;$&quot;\ * #,##0_);_(&quot;$&quot;\ * \(#,##0\);_(&quot;$&quot;\ * &quot;-&quot;??_);_(@_)"/>
    <numFmt numFmtId="167" formatCode="&quot;$&quot;\ #,##0.00;[Red]&quot;$&quot;\ #,##0.00"/>
    <numFmt numFmtId="168" formatCode="_([$$-240A]\ * #,##0.00_);_([$$-240A]\ * \(#,##0.00\);_([$$-240A]\ 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0" fontId="4" fillId="0" borderId="0"/>
    <xf numFmtId="44" fontId="2" fillId="0" borderId="0" applyFont="0" applyFill="0" applyBorder="0" applyAlignment="0" applyProtection="0"/>
    <xf numFmtId="0" fontId="1" fillId="0" borderId="0"/>
    <xf numFmtId="37" fontId="16" fillId="0" borderId="0"/>
  </cellStyleXfs>
  <cellXfs count="175">
    <xf numFmtId="0" fontId="0" fillId="0" borderId="0" xfId="0"/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165" fontId="12" fillId="3" borderId="9" xfId="1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justify" vertical="center" wrapText="1"/>
    </xf>
    <xf numFmtId="165" fontId="12" fillId="2" borderId="5" xfId="0" applyNumberFormat="1" applyFont="1" applyFill="1" applyBorder="1" applyAlignment="1">
      <alignment vertical="center" wrapText="1"/>
    </xf>
    <xf numFmtId="0" fontId="13" fillId="2" borderId="22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 wrapText="1"/>
    </xf>
    <xf numFmtId="165" fontId="12" fillId="2" borderId="5" xfId="1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165" fontId="13" fillId="2" borderId="3" xfId="1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 wrapText="1"/>
    </xf>
    <xf numFmtId="165" fontId="13" fillId="2" borderId="6" xfId="1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justify" vertical="center"/>
    </xf>
    <xf numFmtId="165" fontId="13" fillId="2" borderId="3" xfId="0" applyNumberFormat="1" applyFont="1" applyFill="1" applyBorder="1" applyAlignment="1">
      <alignment vertical="center" wrapText="1"/>
    </xf>
    <xf numFmtId="0" fontId="18" fillId="0" borderId="28" xfId="0" applyFont="1" applyBorder="1" applyAlignment="1">
      <alignment horizontal="justify" vertical="center" wrapText="1"/>
    </xf>
    <xf numFmtId="166" fontId="13" fillId="0" borderId="3" xfId="4" applyNumberFormat="1" applyFont="1" applyFill="1" applyBorder="1" applyAlignment="1">
      <alignment vertical="center"/>
    </xf>
    <xf numFmtId="37" fontId="13" fillId="2" borderId="3" xfId="6" applyNumberFormat="1" applyFont="1" applyFill="1" applyBorder="1" applyAlignment="1" applyProtection="1">
      <alignment horizontal="center" vertical="center" wrapText="1"/>
    </xf>
    <xf numFmtId="0" fontId="18" fillId="2" borderId="28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center" vertical="center" wrapText="1"/>
    </xf>
    <xf numFmtId="167" fontId="6" fillId="2" borderId="3" xfId="0" applyNumberFormat="1" applyFont="1" applyFill="1" applyBorder="1" applyAlignment="1">
      <alignment vertical="center"/>
    </xf>
    <xf numFmtId="10" fontId="6" fillId="2" borderId="3" xfId="0" applyNumberFormat="1" applyFont="1" applyFill="1" applyBorder="1" applyAlignment="1">
      <alignment vertical="center"/>
    </xf>
    <xf numFmtId="168" fontId="6" fillId="2" borderId="3" xfId="0" applyNumberFormat="1" applyFont="1" applyFill="1" applyBorder="1" applyAlignment="1">
      <alignment vertical="center"/>
    </xf>
    <xf numFmtId="167" fontId="6" fillId="2" borderId="16" xfId="0" applyNumberFormat="1" applyFont="1" applyFill="1" applyBorder="1" applyAlignment="1">
      <alignment vertical="center"/>
    </xf>
    <xf numFmtId="10" fontId="6" fillId="2" borderId="16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7" fontId="6" fillId="2" borderId="27" xfId="0" applyNumberFormat="1" applyFont="1" applyFill="1" applyBorder="1" applyAlignment="1">
      <alignment vertical="center"/>
    </xf>
    <xf numFmtId="10" fontId="6" fillId="2" borderId="27" xfId="0" applyNumberFormat="1" applyFont="1" applyFill="1" applyBorder="1" applyAlignment="1">
      <alignment vertical="center"/>
    </xf>
    <xf numFmtId="167" fontId="19" fillId="4" borderId="3" xfId="0" applyNumberFormat="1" applyFont="1" applyFill="1" applyBorder="1" applyAlignment="1">
      <alignment vertical="center"/>
    </xf>
    <xf numFmtId="168" fontId="19" fillId="4" borderId="3" xfId="0" applyNumberFormat="1" applyFont="1" applyFill="1" applyBorder="1" applyAlignment="1">
      <alignment vertical="center"/>
    </xf>
    <xf numFmtId="10" fontId="19" fillId="4" borderId="3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67" fontId="19" fillId="5" borderId="3" xfId="0" applyNumberFormat="1" applyFont="1" applyFill="1" applyBorder="1" applyAlignment="1">
      <alignment vertical="center"/>
    </xf>
    <xf numFmtId="168" fontId="19" fillId="5" borderId="3" xfId="0" applyNumberFormat="1" applyFont="1" applyFill="1" applyBorder="1" applyAlignment="1">
      <alignment vertical="center"/>
    </xf>
    <xf numFmtId="10" fontId="19" fillId="5" borderId="3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165" fontId="12" fillId="4" borderId="6" xfId="0" applyNumberFormat="1" applyFont="1" applyFill="1" applyBorder="1" applyAlignment="1">
      <alignment vertical="center" wrapText="1"/>
    </xf>
    <xf numFmtId="165" fontId="12" fillId="4" borderId="9" xfId="0" applyNumberFormat="1" applyFont="1" applyFill="1" applyBorder="1" applyAlignment="1">
      <alignment vertical="center" wrapText="1"/>
    </xf>
    <xf numFmtId="165" fontId="12" fillId="5" borderId="6" xfId="0" applyNumberFormat="1" applyFont="1" applyFill="1" applyBorder="1" applyAlignment="1">
      <alignment vertical="center"/>
    </xf>
    <xf numFmtId="165" fontId="12" fillId="4" borderId="9" xfId="1" applyNumberFormat="1" applyFont="1" applyFill="1" applyBorder="1" applyAlignment="1">
      <alignment vertical="center"/>
    </xf>
    <xf numFmtId="165" fontId="12" fillId="4" borderId="8" xfId="1" applyNumberFormat="1" applyFont="1" applyFill="1" applyBorder="1" applyAlignment="1">
      <alignment vertical="center"/>
    </xf>
    <xf numFmtId="165" fontId="12" fillId="4" borderId="10" xfId="1" applyNumberFormat="1" applyFont="1" applyFill="1" applyBorder="1" applyAlignment="1">
      <alignment vertical="center"/>
    </xf>
    <xf numFmtId="168" fontId="19" fillId="4" borderId="0" xfId="0" applyNumberFormat="1" applyFont="1" applyFill="1" applyAlignment="1">
      <alignment vertical="center"/>
    </xf>
    <xf numFmtId="165" fontId="12" fillId="4" borderId="2" xfId="1" applyNumberFormat="1" applyFont="1" applyFill="1" applyBorder="1" applyAlignment="1">
      <alignment vertical="center"/>
    </xf>
    <xf numFmtId="164" fontId="6" fillId="0" borderId="0" xfId="1" applyFont="1" applyFill="1" applyAlignment="1">
      <alignment vertical="center"/>
    </xf>
    <xf numFmtId="0" fontId="18" fillId="7" borderId="28" xfId="0" applyFont="1" applyFill="1" applyBorder="1" applyAlignment="1">
      <alignment horizontal="justify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left" vertical="center"/>
    </xf>
    <xf numFmtId="165" fontId="13" fillId="7" borderId="3" xfId="1" applyNumberFormat="1" applyFont="1" applyFill="1" applyBorder="1" applyAlignment="1">
      <alignment vertical="center"/>
    </xf>
    <xf numFmtId="0" fontId="13" fillId="7" borderId="3" xfId="0" applyFont="1" applyFill="1" applyBorder="1" applyAlignment="1">
      <alignment horizontal="center" vertical="center" wrapText="1"/>
    </xf>
    <xf numFmtId="167" fontId="6" fillId="7" borderId="3" xfId="0" applyNumberFormat="1" applyFont="1" applyFill="1" applyBorder="1" applyAlignment="1">
      <alignment vertical="center"/>
    </xf>
    <xf numFmtId="10" fontId="6" fillId="7" borderId="3" xfId="0" applyNumberFormat="1" applyFont="1" applyFill="1" applyBorder="1" applyAlignment="1">
      <alignment vertical="center"/>
    </xf>
    <xf numFmtId="168" fontId="6" fillId="7" borderId="3" xfId="0" applyNumberFormat="1" applyFont="1" applyFill="1" applyBorder="1" applyAlignment="1">
      <alignment vertical="center"/>
    </xf>
    <xf numFmtId="165" fontId="12" fillId="5" borderId="3" xfId="1" applyNumberFormat="1" applyFont="1" applyFill="1" applyBorder="1" applyAlignment="1">
      <alignment vertical="center" wrapText="1"/>
    </xf>
    <xf numFmtId="167" fontId="6" fillId="0" borderId="0" xfId="0" applyNumberFormat="1" applyFont="1" applyFill="1" applyAlignment="1">
      <alignment vertic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165" fontId="12" fillId="4" borderId="3" xfId="0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49" fontId="14" fillId="6" borderId="7" xfId="0" applyNumberFormat="1" applyFont="1" applyFill="1" applyBorder="1" applyAlignment="1">
      <alignment horizontal="center" vertical="center"/>
    </xf>
    <xf numFmtId="49" fontId="14" fillId="6" borderId="8" xfId="0" applyNumberFormat="1" applyFont="1" applyFill="1" applyBorder="1" applyAlignment="1">
      <alignment horizontal="center" vertical="center"/>
    </xf>
    <xf numFmtId="49" fontId="14" fillId="6" borderId="9" xfId="0" applyNumberFormat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165" fontId="13" fillId="2" borderId="24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/>
    </xf>
    <xf numFmtId="49" fontId="14" fillId="6" borderId="5" xfId="0" applyNumberFormat="1" applyFont="1" applyFill="1" applyBorder="1" applyAlignment="1">
      <alignment horizontal="center" vertical="center"/>
    </xf>
    <xf numFmtId="49" fontId="14" fillId="6" borderId="6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49" fontId="14" fillId="2" borderId="20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1" xfId="0" applyNumberFormat="1" applyFont="1" applyFill="1" applyBorder="1" applyAlignment="1">
      <alignment horizontal="center" vertical="center"/>
    </xf>
    <xf numFmtId="49" fontId="14" fillId="6" borderId="17" xfId="0" applyNumberFormat="1" applyFont="1" applyFill="1" applyBorder="1" applyAlignment="1">
      <alignment horizontal="center" vertical="center"/>
    </xf>
    <xf numFmtId="49" fontId="14" fillId="6" borderId="18" xfId="0" applyNumberFormat="1" applyFont="1" applyFill="1" applyBorder="1" applyAlignment="1">
      <alignment horizontal="center" vertical="center"/>
    </xf>
    <xf numFmtId="49" fontId="14" fillId="6" borderId="19" xfId="0" applyNumberFormat="1" applyFont="1" applyFill="1" applyBorder="1" applyAlignment="1">
      <alignment horizontal="center" vertical="center"/>
    </xf>
    <xf numFmtId="49" fontId="13" fillId="2" borderId="27" xfId="0" applyNumberFormat="1" applyFont="1" applyFill="1" applyBorder="1" applyAlignment="1">
      <alignment horizontal="justify" vertical="center"/>
    </xf>
    <xf numFmtId="49" fontId="13" fillId="2" borderId="26" xfId="0" applyNumberFormat="1" applyFont="1" applyFill="1" applyBorder="1" applyAlignment="1">
      <alignment horizontal="justify" vertical="center"/>
    </xf>
    <xf numFmtId="49" fontId="13" fillId="2" borderId="16" xfId="0" applyNumberFormat="1" applyFont="1" applyFill="1" applyBorder="1" applyAlignment="1">
      <alignment horizontal="justify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</cellXfs>
  <cellStyles count="7">
    <cellStyle name="Moneda" xfId="1" builtinId="4"/>
    <cellStyle name="Moneda 2" xfId="4"/>
    <cellStyle name="Normal" xfId="0" builtinId="0"/>
    <cellStyle name="Normal 2" xfId="2"/>
    <cellStyle name="Normal 2 2" xfId="3"/>
    <cellStyle name="Normal 3" xfId="5"/>
    <cellStyle name="Normal_NECESIDAD2003" xfId="6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N147"/>
  <sheetViews>
    <sheetView tabSelected="1" topLeftCell="A19" zoomScale="90" zoomScaleNormal="90" zoomScaleSheetLayoutView="90" workbookViewId="0">
      <selection activeCell="N137" sqref="N137"/>
    </sheetView>
  </sheetViews>
  <sheetFormatPr baseColWidth="10" defaultRowHeight="30" customHeight="1" x14ac:dyDescent="0.2"/>
  <cols>
    <col min="1" max="1" width="34.7109375" style="8" customWidth="1"/>
    <col min="2" max="2" width="19.28515625" style="9" customWidth="1"/>
    <col min="3" max="3" width="19.42578125" style="2" hidden="1" customWidth="1"/>
    <col min="4" max="4" width="18.42578125" style="2" customWidth="1"/>
    <col min="5" max="5" width="17.42578125" style="2" hidden="1" customWidth="1"/>
    <col min="6" max="6" width="17.7109375" style="2" hidden="1" customWidth="1"/>
    <col min="7" max="7" width="19.85546875" style="1" customWidth="1"/>
    <col min="8" max="8" width="19.7109375" style="1" customWidth="1"/>
    <col min="9" max="9" width="20.42578125" style="1" customWidth="1"/>
    <col min="10" max="10" width="21" style="1" customWidth="1"/>
    <col min="11" max="11" width="12" style="1" customWidth="1"/>
    <col min="12" max="12" width="3.42578125" style="1" customWidth="1"/>
    <col min="13" max="13" width="22.85546875" style="1" customWidth="1"/>
    <col min="14" max="14" width="15.140625" style="1" customWidth="1"/>
    <col min="15" max="16384" width="11.42578125" style="1"/>
  </cols>
  <sheetData>
    <row r="1" spans="1:13" s="2" customFormat="1" ht="21.75" customHeight="1" thickBot="1" x14ac:dyDescent="0.25">
      <c r="A1" s="165" t="s">
        <v>84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14.25" customHeight="1" thickBot="1" x14ac:dyDescent="0.25">
      <c r="A2" s="168" t="s">
        <v>75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s="2" customFormat="1" ht="19.5" customHeight="1" thickBot="1" x14ac:dyDescent="0.25">
      <c r="A3" s="169" t="s">
        <v>42</v>
      </c>
      <c r="B3" s="170"/>
      <c r="C3" s="170"/>
      <c r="D3" s="170"/>
      <c r="E3" s="170"/>
      <c r="F3" s="171"/>
      <c r="G3" s="172" t="s">
        <v>224</v>
      </c>
      <c r="H3" s="173"/>
      <c r="I3" s="173"/>
      <c r="J3" s="173"/>
      <c r="K3" s="174"/>
      <c r="M3" s="58"/>
    </row>
    <row r="4" spans="1:13" s="2" customFormat="1" ht="44.25" customHeight="1" thickBot="1" x14ac:dyDescent="0.25">
      <c r="A4" s="5" t="s">
        <v>5</v>
      </c>
      <c r="B4" s="5" t="s">
        <v>50</v>
      </c>
      <c r="C4" s="5" t="s">
        <v>24</v>
      </c>
      <c r="D4" s="5" t="s">
        <v>86</v>
      </c>
      <c r="E4" s="5" t="s">
        <v>202</v>
      </c>
      <c r="F4" s="5" t="s">
        <v>49</v>
      </c>
      <c r="G4" s="37" t="s">
        <v>242</v>
      </c>
      <c r="H4" s="37" t="s">
        <v>217</v>
      </c>
      <c r="I4" s="37" t="s">
        <v>218</v>
      </c>
      <c r="J4" s="37" t="s">
        <v>219</v>
      </c>
      <c r="K4" s="37" t="s">
        <v>220</v>
      </c>
      <c r="M4" s="5" t="s">
        <v>221</v>
      </c>
    </row>
    <row r="5" spans="1:13" s="2" customFormat="1" ht="20.25" customHeight="1" thickBot="1" x14ac:dyDescent="0.25">
      <c r="A5" s="140" t="s">
        <v>41</v>
      </c>
      <c r="B5" s="141"/>
      <c r="C5" s="141"/>
      <c r="D5" s="141"/>
      <c r="E5" s="141"/>
      <c r="F5" s="158"/>
      <c r="G5" s="146" t="s">
        <v>41</v>
      </c>
      <c r="H5" s="147"/>
      <c r="I5" s="147"/>
      <c r="J5" s="147"/>
      <c r="K5" s="148"/>
      <c r="L5" s="10"/>
      <c r="M5" s="52"/>
    </row>
    <row r="6" spans="1:13" s="2" customFormat="1" ht="36" customHeight="1" thickBot="1" x14ac:dyDescent="0.25">
      <c r="A6" s="31" t="s">
        <v>20</v>
      </c>
      <c r="B6" s="12" t="s">
        <v>127</v>
      </c>
      <c r="C6" s="24" t="s">
        <v>25</v>
      </c>
      <c r="D6" s="21">
        <v>37934000</v>
      </c>
      <c r="E6" s="12" t="s">
        <v>115</v>
      </c>
      <c r="F6" s="12" t="s">
        <v>43</v>
      </c>
      <c r="G6" s="38">
        <v>37934000</v>
      </c>
      <c r="H6" s="38">
        <v>0</v>
      </c>
      <c r="I6" s="38">
        <f>G6-H6</f>
        <v>37934000</v>
      </c>
      <c r="J6" s="38">
        <f>D6-H6</f>
        <v>37934000</v>
      </c>
      <c r="K6" s="39">
        <f>H6/D6</f>
        <v>0</v>
      </c>
      <c r="M6" s="40">
        <f>D6-G6</f>
        <v>0</v>
      </c>
    </row>
    <row r="7" spans="1:13" ht="18" customHeight="1" thickBot="1" x14ac:dyDescent="0.25">
      <c r="A7" s="99" t="s">
        <v>18</v>
      </c>
      <c r="B7" s="100"/>
      <c r="C7" s="101"/>
      <c r="D7" s="62">
        <f>D6</f>
        <v>37934000</v>
      </c>
      <c r="E7" s="128"/>
      <c r="F7" s="130"/>
      <c r="G7" s="46">
        <v>0</v>
      </c>
      <c r="H7" s="46">
        <v>0</v>
      </c>
      <c r="I7" s="46">
        <f>G7-H7</f>
        <v>0</v>
      </c>
      <c r="J7" s="46">
        <f>D7-H7</f>
        <v>37934000</v>
      </c>
      <c r="K7" s="48">
        <f>H7/D7</f>
        <v>0</v>
      </c>
      <c r="L7" s="53"/>
      <c r="M7" s="47">
        <f>M6</f>
        <v>0</v>
      </c>
    </row>
    <row r="8" spans="1:13" s="2" customFormat="1" ht="18.75" customHeight="1" thickBot="1" x14ac:dyDescent="0.25">
      <c r="A8" s="162" t="s">
        <v>0</v>
      </c>
      <c r="B8" s="163"/>
      <c r="C8" s="163"/>
      <c r="D8" s="163"/>
      <c r="E8" s="163"/>
      <c r="F8" s="164"/>
      <c r="G8" s="96" t="s">
        <v>225</v>
      </c>
      <c r="H8" s="97"/>
      <c r="I8" s="97"/>
      <c r="J8" s="97"/>
      <c r="K8" s="98"/>
      <c r="M8" s="52"/>
    </row>
    <row r="9" spans="1:13" s="2" customFormat="1" ht="32.25" customHeight="1" thickBot="1" x14ac:dyDescent="0.25">
      <c r="A9" s="31" t="s">
        <v>88</v>
      </c>
      <c r="B9" s="12" t="s">
        <v>8</v>
      </c>
      <c r="C9" s="24" t="s">
        <v>25</v>
      </c>
      <c r="D9" s="21">
        <v>20000000</v>
      </c>
      <c r="E9" s="12" t="s">
        <v>205</v>
      </c>
      <c r="F9" s="12" t="s">
        <v>120</v>
      </c>
      <c r="G9" s="38">
        <v>20000000</v>
      </c>
      <c r="H9" s="38">
        <v>0</v>
      </c>
      <c r="I9" s="38">
        <f t="shared" ref="I9:I12" si="0">G9-H9</f>
        <v>20000000</v>
      </c>
      <c r="J9" s="38">
        <f t="shared" ref="J9:J12" si="1">D9-H9</f>
        <v>20000000</v>
      </c>
      <c r="K9" s="39">
        <f t="shared" ref="K9:K12" si="2">H9/D9</f>
        <v>0</v>
      </c>
      <c r="M9" s="40">
        <f t="shared" ref="M9:M12" si="3">D9-G9</f>
        <v>0</v>
      </c>
    </row>
    <row r="10" spans="1:13" s="2" customFormat="1" ht="36" customHeight="1" thickBot="1" x14ac:dyDescent="0.25">
      <c r="A10" s="31" t="s">
        <v>91</v>
      </c>
      <c r="B10" s="12" t="s">
        <v>128</v>
      </c>
      <c r="C10" s="12" t="s">
        <v>203</v>
      </c>
      <c r="D10" s="21">
        <v>70000000</v>
      </c>
      <c r="E10" s="12" t="s">
        <v>106</v>
      </c>
      <c r="F10" s="12" t="s">
        <v>92</v>
      </c>
      <c r="G10" s="38">
        <v>0</v>
      </c>
      <c r="H10" s="38">
        <v>0</v>
      </c>
      <c r="I10" s="38">
        <f t="shared" si="0"/>
        <v>0</v>
      </c>
      <c r="J10" s="38">
        <f t="shared" si="1"/>
        <v>70000000</v>
      </c>
      <c r="K10" s="39">
        <f t="shared" si="2"/>
        <v>0</v>
      </c>
      <c r="M10" s="40">
        <f t="shared" si="3"/>
        <v>70000000</v>
      </c>
    </row>
    <row r="11" spans="1:13" s="2" customFormat="1" ht="36.75" customHeight="1" thickBot="1" x14ac:dyDescent="0.25">
      <c r="A11" s="31" t="s">
        <v>90</v>
      </c>
      <c r="B11" s="12" t="s">
        <v>137</v>
      </c>
      <c r="C11" s="24" t="s">
        <v>25</v>
      </c>
      <c r="D11" s="21">
        <v>40000000</v>
      </c>
      <c r="E11" s="79" t="s">
        <v>113</v>
      </c>
      <c r="F11" s="12" t="s">
        <v>138</v>
      </c>
      <c r="G11" s="38">
        <v>0</v>
      </c>
      <c r="H11" s="38">
        <v>0</v>
      </c>
      <c r="I11" s="38">
        <f t="shared" si="0"/>
        <v>0</v>
      </c>
      <c r="J11" s="38">
        <f t="shared" si="1"/>
        <v>40000000</v>
      </c>
      <c r="K11" s="39">
        <f t="shared" si="2"/>
        <v>0</v>
      </c>
      <c r="M11" s="40">
        <f t="shared" si="3"/>
        <v>40000000</v>
      </c>
    </row>
    <row r="12" spans="1:13" s="2" customFormat="1" ht="60.75" customHeight="1" thickBot="1" x14ac:dyDescent="0.25">
      <c r="A12" s="31" t="s">
        <v>89</v>
      </c>
      <c r="B12" s="12" t="s">
        <v>137</v>
      </c>
      <c r="C12" s="12" t="s">
        <v>203</v>
      </c>
      <c r="D12" s="21">
        <v>300000000</v>
      </c>
      <c r="E12" s="12" t="s">
        <v>113</v>
      </c>
      <c r="F12" s="12" t="s">
        <v>138</v>
      </c>
      <c r="G12" s="38">
        <v>255000000</v>
      </c>
      <c r="H12" s="38">
        <v>254989895</v>
      </c>
      <c r="I12" s="38">
        <f t="shared" si="0"/>
        <v>10105</v>
      </c>
      <c r="J12" s="38">
        <f t="shared" si="1"/>
        <v>45010105</v>
      </c>
      <c r="K12" s="39">
        <f t="shared" si="2"/>
        <v>0.84996631666666667</v>
      </c>
      <c r="M12" s="40">
        <f t="shared" si="3"/>
        <v>45000000</v>
      </c>
    </row>
    <row r="13" spans="1:13" s="2" customFormat="1" ht="44.25" customHeight="1" thickBot="1" x14ac:dyDescent="0.25">
      <c r="A13" s="31" t="s">
        <v>206</v>
      </c>
      <c r="B13" s="12" t="s">
        <v>8</v>
      </c>
      <c r="C13" s="12" t="s">
        <v>203</v>
      </c>
      <c r="D13" s="21">
        <v>320000000</v>
      </c>
      <c r="E13" s="12" t="s">
        <v>114</v>
      </c>
      <c r="F13" s="12" t="s">
        <v>139</v>
      </c>
      <c r="G13" s="44">
        <f>1664368+200000000+2100000+64000000</f>
        <v>267764368</v>
      </c>
      <c r="H13" s="44">
        <f>1664368+63666461+2047702+198022695</f>
        <v>265401226</v>
      </c>
      <c r="I13" s="44">
        <f>G13-H13</f>
        <v>2363142</v>
      </c>
      <c r="J13" s="44">
        <f>D13-H13</f>
        <v>54598774</v>
      </c>
      <c r="K13" s="45">
        <f>H13/D13</f>
        <v>0.82937883125</v>
      </c>
      <c r="M13" s="40">
        <f>D13-G13</f>
        <v>52235632</v>
      </c>
    </row>
    <row r="14" spans="1:13" ht="16.5" customHeight="1" thickBot="1" x14ac:dyDescent="0.25">
      <c r="A14" s="99" t="s">
        <v>18</v>
      </c>
      <c r="B14" s="100"/>
      <c r="C14" s="101"/>
      <c r="D14" s="62">
        <f>SUM(D9:D13)</f>
        <v>750000000</v>
      </c>
      <c r="E14" s="128"/>
      <c r="F14" s="129"/>
      <c r="G14" s="46">
        <f>SUM(G9:G13)</f>
        <v>542764368</v>
      </c>
      <c r="H14" s="46">
        <f>SUM(H9:H13)</f>
        <v>520391121</v>
      </c>
      <c r="I14" s="46">
        <f>G14-H14</f>
        <v>22373247</v>
      </c>
      <c r="J14" s="47">
        <f>D14-H14</f>
        <v>229608879</v>
      </c>
      <c r="K14" s="48">
        <f>H14/D14</f>
        <v>0.69385482799999998</v>
      </c>
      <c r="M14" s="49">
        <f>D14-G14</f>
        <v>207235632</v>
      </c>
    </row>
    <row r="15" spans="1:13" s="2" customFormat="1" ht="15" customHeight="1" thickBot="1" x14ac:dyDescent="0.25">
      <c r="A15" s="140" t="s">
        <v>2</v>
      </c>
      <c r="B15" s="141"/>
      <c r="C15" s="141"/>
      <c r="D15" s="141"/>
      <c r="E15" s="141"/>
      <c r="F15" s="158"/>
      <c r="G15" s="146" t="s">
        <v>226</v>
      </c>
      <c r="H15" s="147"/>
      <c r="I15" s="147"/>
      <c r="J15" s="147"/>
      <c r="K15" s="148"/>
      <c r="L15" s="43"/>
      <c r="M15" s="52"/>
    </row>
    <row r="16" spans="1:13" s="2" customFormat="1" ht="53.25" thickBot="1" x14ac:dyDescent="0.25">
      <c r="A16" s="31" t="s">
        <v>44</v>
      </c>
      <c r="B16" s="12" t="s">
        <v>129</v>
      </c>
      <c r="C16" s="12" t="s">
        <v>203</v>
      </c>
      <c r="D16" s="21">
        <v>88637000</v>
      </c>
      <c r="E16" s="12" t="s">
        <v>99</v>
      </c>
      <c r="F16" s="22" t="s">
        <v>140</v>
      </c>
      <c r="G16" s="41">
        <f>64300000+24337000</f>
        <v>88637000</v>
      </c>
      <c r="H16" s="41">
        <v>0</v>
      </c>
      <c r="I16" s="41">
        <f t="shared" ref="I16" si="4">G16-H16</f>
        <v>88637000</v>
      </c>
      <c r="J16" s="41">
        <f t="shared" ref="J16" si="5">D16-H16</f>
        <v>88637000</v>
      </c>
      <c r="K16" s="42">
        <f t="shared" ref="K16" si="6">H16/D16</f>
        <v>0</v>
      </c>
      <c r="M16" s="40">
        <f t="shared" ref="M16" si="7">D16-G16</f>
        <v>0</v>
      </c>
    </row>
    <row r="17" spans="1:13" s="2" customFormat="1" ht="15" customHeight="1" thickBot="1" x14ac:dyDescent="0.25">
      <c r="A17" s="159" t="s">
        <v>18</v>
      </c>
      <c r="B17" s="160"/>
      <c r="C17" s="161"/>
      <c r="D17" s="11">
        <f>D16</f>
        <v>88637000</v>
      </c>
      <c r="E17" s="128"/>
      <c r="F17" s="130"/>
      <c r="G17" s="46">
        <f>G16</f>
        <v>88637000</v>
      </c>
      <c r="H17" s="46">
        <f>H16</f>
        <v>0</v>
      </c>
      <c r="I17" s="46">
        <f>G17-H17</f>
        <v>88637000</v>
      </c>
      <c r="J17" s="47">
        <f>D17-H17</f>
        <v>88637000</v>
      </c>
      <c r="K17" s="48">
        <f>H17/D17</f>
        <v>0</v>
      </c>
      <c r="M17" s="47">
        <f>M16</f>
        <v>0</v>
      </c>
    </row>
    <row r="18" spans="1:13" s="2" customFormat="1" ht="18" customHeight="1" thickBot="1" x14ac:dyDescent="0.25">
      <c r="A18" s="140" t="s">
        <v>1</v>
      </c>
      <c r="B18" s="141"/>
      <c r="C18" s="141"/>
      <c r="D18" s="141"/>
      <c r="E18" s="141"/>
      <c r="F18" s="142"/>
      <c r="G18" s="146" t="s">
        <v>227</v>
      </c>
      <c r="H18" s="147"/>
      <c r="I18" s="147"/>
      <c r="J18" s="147"/>
      <c r="K18" s="148"/>
      <c r="M18" s="52"/>
    </row>
    <row r="19" spans="1:13" s="2" customFormat="1" ht="24.75" customHeight="1" thickBot="1" x14ac:dyDescent="0.25">
      <c r="A19" s="31" t="s">
        <v>21</v>
      </c>
      <c r="B19" s="12" t="s">
        <v>3</v>
      </c>
      <c r="C19" s="24" t="s">
        <v>25</v>
      </c>
      <c r="D19" s="21">
        <v>30000000</v>
      </c>
      <c r="E19" s="12" t="s">
        <v>115</v>
      </c>
      <c r="F19" s="12" t="s">
        <v>121</v>
      </c>
      <c r="G19" s="38">
        <v>30000000</v>
      </c>
      <c r="H19" s="38">
        <v>0</v>
      </c>
      <c r="I19" s="38">
        <f t="shared" ref="I19:I25" si="8">G19-H19</f>
        <v>30000000</v>
      </c>
      <c r="J19" s="38">
        <f t="shared" ref="J19:J25" si="9">D19-H19</f>
        <v>30000000</v>
      </c>
      <c r="K19" s="39">
        <f t="shared" ref="K19:K25" si="10">H19/D19</f>
        <v>0</v>
      </c>
      <c r="M19" s="40">
        <f t="shared" ref="M19:M25" si="11">D19-G19</f>
        <v>0</v>
      </c>
    </row>
    <row r="20" spans="1:13" s="2" customFormat="1" ht="78" customHeight="1" thickBot="1" x14ac:dyDescent="0.25">
      <c r="A20" s="31" t="s">
        <v>204</v>
      </c>
      <c r="B20" s="12" t="s">
        <v>130</v>
      </c>
      <c r="C20" s="24" t="s">
        <v>25</v>
      </c>
      <c r="D20" s="21">
        <v>60000000</v>
      </c>
      <c r="E20" s="27" t="s">
        <v>208</v>
      </c>
      <c r="F20" s="12" t="s">
        <v>43</v>
      </c>
      <c r="G20" s="38">
        <v>59748708</v>
      </c>
      <c r="H20" s="38">
        <v>58002320</v>
      </c>
      <c r="I20" s="38">
        <f t="shared" si="8"/>
        <v>1746388</v>
      </c>
      <c r="J20" s="38">
        <f t="shared" si="9"/>
        <v>1997680</v>
      </c>
      <c r="K20" s="39">
        <f t="shared" si="10"/>
        <v>0.96670533333333331</v>
      </c>
      <c r="M20" s="40">
        <f t="shared" si="11"/>
        <v>251292</v>
      </c>
    </row>
    <row r="21" spans="1:13" s="2" customFormat="1" ht="39.75" customHeight="1" thickBot="1" x14ac:dyDescent="0.25">
      <c r="A21" s="31" t="s">
        <v>14</v>
      </c>
      <c r="B21" s="12" t="s">
        <v>133</v>
      </c>
      <c r="C21" s="24" t="s">
        <v>25</v>
      </c>
      <c r="D21" s="21">
        <v>60000000</v>
      </c>
      <c r="E21" s="27" t="s">
        <v>113</v>
      </c>
      <c r="F21" s="12" t="s">
        <v>134</v>
      </c>
      <c r="G21" s="38">
        <f>20000000+40000000</f>
        <v>60000000</v>
      </c>
      <c r="H21" s="38">
        <f>17779685+40000000</f>
        <v>57779685</v>
      </c>
      <c r="I21" s="38">
        <f t="shared" si="8"/>
        <v>2220315</v>
      </c>
      <c r="J21" s="38">
        <f t="shared" si="9"/>
        <v>2220315</v>
      </c>
      <c r="K21" s="39">
        <f t="shared" si="10"/>
        <v>0.96299475000000001</v>
      </c>
      <c r="M21" s="40">
        <f t="shared" si="11"/>
        <v>0</v>
      </c>
    </row>
    <row r="22" spans="1:13" s="2" customFormat="1" ht="33.75" customHeight="1" thickBot="1" x14ac:dyDescent="0.25">
      <c r="A22" s="31" t="s">
        <v>15</v>
      </c>
      <c r="B22" s="12" t="s">
        <v>133</v>
      </c>
      <c r="C22" s="35" t="s">
        <v>25</v>
      </c>
      <c r="D22" s="21">
        <v>40000000</v>
      </c>
      <c r="E22" s="27" t="s">
        <v>113</v>
      </c>
      <c r="F22" s="12" t="s">
        <v>134</v>
      </c>
      <c r="G22" s="38">
        <v>40000000</v>
      </c>
      <c r="H22" s="38">
        <v>34915508</v>
      </c>
      <c r="I22" s="38">
        <f t="shared" si="8"/>
        <v>5084492</v>
      </c>
      <c r="J22" s="38">
        <f t="shared" si="9"/>
        <v>5084492</v>
      </c>
      <c r="K22" s="39">
        <f t="shared" si="10"/>
        <v>0.87288770000000004</v>
      </c>
      <c r="M22" s="40">
        <f t="shared" si="11"/>
        <v>0</v>
      </c>
    </row>
    <row r="23" spans="1:13" s="2" customFormat="1" ht="36" customHeight="1" thickBot="1" x14ac:dyDescent="0.25">
      <c r="A23" s="31" t="s">
        <v>16</v>
      </c>
      <c r="B23" s="12" t="s">
        <v>3</v>
      </c>
      <c r="C23" s="12" t="s">
        <v>203</v>
      </c>
      <c r="D23" s="21">
        <f>50000000+95000000+20000000+10000000+10000000</f>
        <v>185000000</v>
      </c>
      <c r="E23" s="12" t="s">
        <v>113</v>
      </c>
      <c r="F23" s="12" t="s">
        <v>132</v>
      </c>
      <c r="G23" s="38">
        <f>2122800+9987600+1751600+1477736+512720+2147443+17831018+38773447</f>
        <v>74604364</v>
      </c>
      <c r="H23" s="38">
        <f>512720+2122800+1439560+9716160+1751600+1763664</f>
        <v>17306504</v>
      </c>
      <c r="I23" s="38">
        <f t="shared" si="8"/>
        <v>57297860</v>
      </c>
      <c r="J23" s="38">
        <f t="shared" si="9"/>
        <v>167693496</v>
      </c>
      <c r="K23" s="39">
        <f t="shared" si="10"/>
        <v>9.3548670270270265E-2</v>
      </c>
      <c r="M23" s="40">
        <f t="shared" si="11"/>
        <v>110395636</v>
      </c>
    </row>
    <row r="24" spans="1:13" s="2" customFormat="1" ht="42.75" customHeight="1" thickBot="1" x14ac:dyDescent="0.25">
      <c r="A24" s="31" t="s">
        <v>209</v>
      </c>
      <c r="B24" s="12" t="s">
        <v>8</v>
      </c>
      <c r="C24" s="35" t="s">
        <v>25</v>
      </c>
      <c r="D24" s="21">
        <v>18139000</v>
      </c>
      <c r="E24" s="12" t="s">
        <v>207</v>
      </c>
      <c r="F24" s="12" t="s">
        <v>122</v>
      </c>
      <c r="G24" s="38">
        <v>18139000</v>
      </c>
      <c r="H24" s="38">
        <v>18139000</v>
      </c>
      <c r="I24" s="38">
        <f t="shared" si="8"/>
        <v>0</v>
      </c>
      <c r="J24" s="38">
        <f t="shared" si="9"/>
        <v>0</v>
      </c>
      <c r="K24" s="39">
        <f t="shared" si="10"/>
        <v>1</v>
      </c>
      <c r="M24" s="40">
        <f t="shared" si="11"/>
        <v>0</v>
      </c>
    </row>
    <row r="25" spans="1:13" s="2" customFormat="1" ht="30.75" customHeight="1" thickBot="1" x14ac:dyDescent="0.25">
      <c r="A25" s="31" t="s">
        <v>191</v>
      </c>
      <c r="B25" s="12" t="s">
        <v>40</v>
      </c>
      <c r="C25" s="35" t="s">
        <v>25</v>
      </c>
      <c r="D25" s="21">
        <v>10000000</v>
      </c>
      <c r="E25" s="12" t="s">
        <v>97</v>
      </c>
      <c r="F25" s="12" t="s">
        <v>43</v>
      </c>
      <c r="G25" s="38">
        <f>2552000+3000000+5200000</f>
        <v>10752000</v>
      </c>
      <c r="H25" s="38">
        <f>2552000+2000000</f>
        <v>4552000</v>
      </c>
      <c r="I25" s="38">
        <f t="shared" si="8"/>
        <v>6200000</v>
      </c>
      <c r="J25" s="38">
        <f t="shared" si="9"/>
        <v>5448000</v>
      </c>
      <c r="K25" s="39">
        <f t="shared" si="10"/>
        <v>0.45519999999999999</v>
      </c>
      <c r="M25" s="40">
        <f t="shared" si="11"/>
        <v>-752000</v>
      </c>
    </row>
    <row r="26" spans="1:13" s="2" customFormat="1" ht="20.25" customHeight="1" thickBot="1" x14ac:dyDescent="0.25">
      <c r="A26" s="99" t="s">
        <v>18</v>
      </c>
      <c r="B26" s="100"/>
      <c r="C26" s="101"/>
      <c r="D26" s="62">
        <f>SUM(D19:D25)</f>
        <v>403139000</v>
      </c>
      <c r="E26" s="128"/>
      <c r="F26" s="130"/>
      <c r="G26" s="46">
        <f>SUM(G19:G25)</f>
        <v>293244072</v>
      </c>
      <c r="H26" s="46">
        <f>SUM(H19:H25)</f>
        <v>190695017</v>
      </c>
      <c r="I26" s="46">
        <f>G26-H26</f>
        <v>102549055</v>
      </c>
      <c r="J26" s="47">
        <f>D26-H26</f>
        <v>212443983</v>
      </c>
      <c r="K26" s="48">
        <f>H26/D26</f>
        <v>0.47302547508427617</v>
      </c>
      <c r="M26" s="47">
        <f>SUM(M19:M25)</f>
        <v>109894928</v>
      </c>
    </row>
    <row r="27" spans="1:13" s="2" customFormat="1" ht="15" customHeight="1" thickBot="1" x14ac:dyDescent="0.25">
      <c r="A27" s="155" t="s">
        <v>6</v>
      </c>
      <c r="B27" s="156"/>
      <c r="C27" s="156"/>
      <c r="D27" s="156"/>
      <c r="E27" s="156"/>
      <c r="F27" s="157"/>
      <c r="G27" s="146" t="s">
        <v>228</v>
      </c>
      <c r="H27" s="147"/>
      <c r="I27" s="147"/>
      <c r="J27" s="147"/>
      <c r="K27" s="148"/>
      <c r="M27" s="52"/>
    </row>
    <row r="28" spans="1:13" s="2" customFormat="1" ht="48.75" customHeight="1" thickBot="1" x14ac:dyDescent="0.25">
      <c r="A28" s="31" t="s">
        <v>210</v>
      </c>
      <c r="B28" s="12" t="s">
        <v>131</v>
      </c>
      <c r="C28" s="12" t="s">
        <v>211</v>
      </c>
      <c r="D28" s="21">
        <v>337708000</v>
      </c>
      <c r="E28" s="27" t="s">
        <v>98</v>
      </c>
      <c r="F28" s="12" t="s">
        <v>135</v>
      </c>
      <c r="G28" s="38">
        <v>332204000</v>
      </c>
      <c r="H28" s="38">
        <v>0</v>
      </c>
      <c r="I28" s="38">
        <f>G28-H28</f>
        <v>332204000</v>
      </c>
      <c r="J28" s="38">
        <f t="shared" ref="J28" si="12">D28-H28</f>
        <v>337708000</v>
      </c>
      <c r="K28" s="39">
        <f t="shared" ref="K28" si="13">H28/D28</f>
        <v>0</v>
      </c>
      <c r="M28" s="40">
        <f t="shared" ref="M28" si="14">D28-G28</f>
        <v>5504000</v>
      </c>
    </row>
    <row r="29" spans="1:13" s="2" customFormat="1" ht="17.25" customHeight="1" thickBot="1" x14ac:dyDescent="0.25">
      <c r="A29" s="99" t="s">
        <v>18</v>
      </c>
      <c r="B29" s="100"/>
      <c r="C29" s="101"/>
      <c r="D29" s="62">
        <f>SUM(D28:D28)</f>
        <v>337708000</v>
      </c>
      <c r="E29" s="128"/>
      <c r="F29" s="130"/>
      <c r="G29" s="46">
        <f>G28</f>
        <v>332204000</v>
      </c>
      <c r="H29" s="46">
        <f>H28</f>
        <v>0</v>
      </c>
      <c r="I29" s="46">
        <f>I28</f>
        <v>332204000</v>
      </c>
      <c r="J29" s="47">
        <f>D29-H29</f>
        <v>337708000</v>
      </c>
      <c r="K29" s="48">
        <f>H29/D29</f>
        <v>0</v>
      </c>
      <c r="L29" s="50"/>
      <c r="M29" s="47">
        <f>D29-G29</f>
        <v>5504000</v>
      </c>
    </row>
    <row r="30" spans="1:13" s="2" customFormat="1" ht="20.25" customHeight="1" thickBot="1" x14ac:dyDescent="0.25">
      <c r="A30" s="140" t="s">
        <v>7</v>
      </c>
      <c r="B30" s="141"/>
      <c r="C30" s="141"/>
      <c r="D30" s="141"/>
      <c r="E30" s="141"/>
      <c r="F30" s="142"/>
      <c r="G30" s="146" t="s">
        <v>229</v>
      </c>
      <c r="H30" s="147"/>
      <c r="I30" s="147"/>
      <c r="J30" s="147"/>
      <c r="K30" s="148"/>
      <c r="M30" s="52"/>
    </row>
    <row r="31" spans="1:13" s="2" customFormat="1" ht="48" customHeight="1" thickBot="1" x14ac:dyDescent="0.25">
      <c r="A31" s="31" t="s">
        <v>81</v>
      </c>
      <c r="B31" s="12" t="s">
        <v>133</v>
      </c>
      <c r="C31" s="12" t="s">
        <v>25</v>
      </c>
      <c r="D31" s="26">
        <v>136620000</v>
      </c>
      <c r="E31" s="12" t="s">
        <v>103</v>
      </c>
      <c r="F31" s="12" t="s">
        <v>123</v>
      </c>
      <c r="G31" s="38">
        <v>136831200</v>
      </c>
      <c r="H31" s="38">
        <v>0</v>
      </c>
      <c r="I31" s="38">
        <f t="shared" ref="I31:I37" si="15">G31-H31</f>
        <v>136831200</v>
      </c>
      <c r="J31" s="38">
        <f t="shared" ref="J31:J37" si="16">D31-H31</f>
        <v>136620000</v>
      </c>
      <c r="K31" s="39">
        <f t="shared" ref="K31:K37" si="17">H31/D31</f>
        <v>0</v>
      </c>
      <c r="M31" s="40">
        <f t="shared" ref="M31:M36" si="18">D31-G31</f>
        <v>-211200</v>
      </c>
    </row>
    <row r="32" spans="1:13" s="2" customFormat="1" ht="47.25" customHeight="1" thickBot="1" x14ac:dyDescent="0.25">
      <c r="A32" s="31" t="s">
        <v>192</v>
      </c>
      <c r="B32" s="12" t="s">
        <v>133</v>
      </c>
      <c r="C32" s="12" t="s">
        <v>25</v>
      </c>
      <c r="D32" s="21">
        <v>761487422</v>
      </c>
      <c r="E32" s="12" t="s">
        <v>104</v>
      </c>
      <c r="F32" s="12" t="s">
        <v>123</v>
      </c>
      <c r="G32" s="38">
        <v>323574720</v>
      </c>
      <c r="H32" s="38">
        <v>323574720</v>
      </c>
      <c r="I32" s="38">
        <f t="shared" si="15"/>
        <v>0</v>
      </c>
      <c r="J32" s="38">
        <f t="shared" si="16"/>
        <v>437912702</v>
      </c>
      <c r="K32" s="39">
        <f t="shared" si="17"/>
        <v>0.42492457610153406</v>
      </c>
      <c r="M32" s="40">
        <f t="shared" si="18"/>
        <v>437912702</v>
      </c>
    </row>
    <row r="33" spans="1:13" s="2" customFormat="1" ht="48" customHeight="1" thickBot="1" x14ac:dyDescent="0.25">
      <c r="A33" s="31" t="s">
        <v>34</v>
      </c>
      <c r="B33" s="12" t="s">
        <v>133</v>
      </c>
      <c r="C33" s="12" t="s">
        <v>25</v>
      </c>
      <c r="D33" s="21">
        <v>6430455</v>
      </c>
      <c r="E33" s="23" t="s">
        <v>106</v>
      </c>
      <c r="F33" s="12" t="s">
        <v>123</v>
      </c>
      <c r="G33" s="38">
        <v>6430455</v>
      </c>
      <c r="H33" s="38">
        <v>6430455</v>
      </c>
      <c r="I33" s="38">
        <f t="shared" si="15"/>
        <v>0</v>
      </c>
      <c r="J33" s="38">
        <f t="shared" si="16"/>
        <v>0</v>
      </c>
      <c r="K33" s="39">
        <f t="shared" si="17"/>
        <v>1</v>
      </c>
      <c r="M33" s="40">
        <f t="shared" si="18"/>
        <v>0</v>
      </c>
    </row>
    <row r="34" spans="1:13" s="2" customFormat="1" ht="48" customHeight="1" thickBot="1" x14ac:dyDescent="0.25">
      <c r="A34" s="31" t="s">
        <v>35</v>
      </c>
      <c r="B34" s="12" t="s">
        <v>133</v>
      </c>
      <c r="C34" s="12" t="s">
        <v>25</v>
      </c>
      <c r="D34" s="21">
        <v>23018930</v>
      </c>
      <c r="E34" s="12" t="s">
        <v>105</v>
      </c>
      <c r="F34" s="12" t="s">
        <v>123</v>
      </c>
      <c r="G34" s="38">
        <v>8645440</v>
      </c>
      <c r="H34" s="38">
        <v>8645440</v>
      </c>
      <c r="I34" s="38">
        <f t="shared" si="15"/>
        <v>0</v>
      </c>
      <c r="J34" s="38">
        <f t="shared" si="16"/>
        <v>14373490</v>
      </c>
      <c r="K34" s="39">
        <f t="shared" si="17"/>
        <v>0.37557957733048408</v>
      </c>
      <c r="M34" s="40">
        <f t="shared" si="18"/>
        <v>14373490</v>
      </c>
    </row>
    <row r="35" spans="1:13" s="2" customFormat="1" ht="48.75" customHeight="1" thickBot="1" x14ac:dyDescent="0.25">
      <c r="A35" s="31" t="s">
        <v>193</v>
      </c>
      <c r="B35" s="12" t="s">
        <v>133</v>
      </c>
      <c r="C35" s="12" t="s">
        <v>25</v>
      </c>
      <c r="D35" s="21">
        <v>27869905</v>
      </c>
      <c r="E35" s="23" t="s">
        <v>155</v>
      </c>
      <c r="F35" s="12" t="s">
        <v>123</v>
      </c>
      <c r="G35" s="38">
        <v>0</v>
      </c>
      <c r="H35" s="38">
        <v>0</v>
      </c>
      <c r="I35" s="38">
        <f t="shared" si="15"/>
        <v>0</v>
      </c>
      <c r="J35" s="38">
        <f t="shared" si="16"/>
        <v>27869905</v>
      </c>
      <c r="K35" s="39">
        <f t="shared" si="17"/>
        <v>0</v>
      </c>
      <c r="M35" s="40">
        <f t="shared" si="18"/>
        <v>27869905</v>
      </c>
    </row>
    <row r="36" spans="1:13" s="2" customFormat="1" ht="48" customHeight="1" thickBot="1" x14ac:dyDescent="0.25">
      <c r="A36" s="31" t="s">
        <v>80</v>
      </c>
      <c r="B36" s="12" t="s">
        <v>133</v>
      </c>
      <c r="C36" s="12" t="s">
        <v>25</v>
      </c>
      <c r="D36" s="21">
        <v>313259997</v>
      </c>
      <c r="E36" s="12" t="s">
        <v>107</v>
      </c>
      <c r="F36" s="12" t="s">
        <v>123</v>
      </c>
      <c r="G36" s="38">
        <v>232200000</v>
      </c>
      <c r="H36" s="38">
        <v>232200000</v>
      </c>
      <c r="I36" s="38">
        <f t="shared" si="15"/>
        <v>0</v>
      </c>
      <c r="J36" s="38">
        <f t="shared" si="16"/>
        <v>81059997</v>
      </c>
      <c r="K36" s="39">
        <f t="shared" si="17"/>
        <v>0.74123731795860293</v>
      </c>
      <c r="M36" s="40">
        <f t="shared" si="18"/>
        <v>81059997</v>
      </c>
    </row>
    <row r="37" spans="1:13" s="2" customFormat="1" ht="45.75" customHeight="1" thickBot="1" x14ac:dyDescent="0.25">
      <c r="A37" s="31" t="s">
        <v>79</v>
      </c>
      <c r="B37" s="12" t="s">
        <v>133</v>
      </c>
      <c r="C37" s="12" t="s">
        <v>25</v>
      </c>
      <c r="D37" s="21">
        <v>365313291</v>
      </c>
      <c r="E37" s="12" t="s">
        <v>107</v>
      </c>
      <c r="F37" s="12" t="s">
        <v>123</v>
      </c>
      <c r="G37" s="38">
        <f>22000000+20400000+30720000+41150000+43000000+81500000+21231000</f>
        <v>260001000</v>
      </c>
      <c r="H37" s="38">
        <f>20729200+30720000+41150000+43000000+20400000+81500000</f>
        <v>237499200</v>
      </c>
      <c r="I37" s="38">
        <f t="shared" si="15"/>
        <v>22501800</v>
      </c>
      <c r="J37" s="38">
        <f t="shared" si="16"/>
        <v>127814091</v>
      </c>
      <c r="K37" s="39">
        <f t="shared" si="17"/>
        <v>0.65012471719787501</v>
      </c>
      <c r="M37" s="40">
        <f>D37-G37-22000000</f>
        <v>83312291</v>
      </c>
    </row>
    <row r="38" spans="1:13" s="2" customFormat="1" ht="21" customHeight="1" thickBot="1" x14ac:dyDescent="0.25">
      <c r="A38" s="99" t="s">
        <v>18</v>
      </c>
      <c r="B38" s="100"/>
      <c r="C38" s="101"/>
      <c r="D38" s="62">
        <f>SUM(D31:D37)</f>
        <v>1634000000</v>
      </c>
      <c r="E38" s="128"/>
      <c r="F38" s="130"/>
      <c r="G38" s="46">
        <f>SUM(G31:G37)</f>
        <v>967682815</v>
      </c>
      <c r="H38" s="46">
        <f>SUM(H31:H37)</f>
        <v>808349815</v>
      </c>
      <c r="I38" s="46">
        <f>G38-H38</f>
        <v>159333000</v>
      </c>
      <c r="J38" s="47">
        <f>D38-H38</f>
        <v>825650185</v>
      </c>
      <c r="K38" s="48">
        <f>H38/D38</f>
        <v>0.49470612913096695</v>
      </c>
      <c r="L38" s="50"/>
      <c r="M38" s="47">
        <f>D38-G38</f>
        <v>666317185</v>
      </c>
    </row>
    <row r="39" spans="1:13" s="2" customFormat="1" ht="16.5" customHeight="1" thickBot="1" x14ac:dyDescent="0.25">
      <c r="A39" s="140" t="s">
        <v>4</v>
      </c>
      <c r="B39" s="141"/>
      <c r="C39" s="141"/>
      <c r="D39" s="141"/>
      <c r="E39" s="141"/>
      <c r="F39" s="142"/>
      <c r="G39" s="152" t="s">
        <v>230</v>
      </c>
      <c r="H39" s="153"/>
      <c r="I39" s="153"/>
      <c r="J39" s="153"/>
      <c r="K39" s="154"/>
      <c r="M39" s="52"/>
    </row>
    <row r="40" spans="1:13" s="2" customFormat="1" ht="36.75" customHeight="1" thickBot="1" x14ac:dyDescent="0.25">
      <c r="A40" s="31" t="s">
        <v>23</v>
      </c>
      <c r="B40" s="12" t="s">
        <v>129</v>
      </c>
      <c r="C40" s="20" t="s">
        <v>25</v>
      </c>
      <c r="D40" s="21">
        <v>57287000</v>
      </c>
      <c r="E40" s="12" t="s">
        <v>102</v>
      </c>
      <c r="F40" s="12" t="s">
        <v>134</v>
      </c>
      <c r="G40" s="38">
        <f>1324663+1316871+935056+16717560+12193085+896094</f>
        <v>33383329</v>
      </c>
      <c r="H40" s="38">
        <f>1324663+1316871+935056+687700+646200+765700+784400+896094+829700+12193085</f>
        <v>20379469</v>
      </c>
      <c r="I40" s="38">
        <f>G40-H40</f>
        <v>13003860</v>
      </c>
      <c r="J40" s="38">
        <f t="shared" ref="J40:J41" si="19">D40-H40</f>
        <v>36907531</v>
      </c>
      <c r="K40" s="39">
        <f t="shared" ref="K40:K41" si="20">H40/D40</f>
        <v>0.35574334491245835</v>
      </c>
      <c r="M40" s="40">
        <f t="shared" ref="M40:M41" si="21">D40-G40</f>
        <v>23903671</v>
      </c>
    </row>
    <row r="41" spans="1:13" s="2" customFormat="1" ht="45.75" customHeight="1" thickBot="1" x14ac:dyDescent="0.25">
      <c r="A41" s="31" t="s">
        <v>36</v>
      </c>
      <c r="B41" s="12" t="s">
        <v>11</v>
      </c>
      <c r="C41" s="20" t="s">
        <v>27</v>
      </c>
      <c r="D41" s="21">
        <v>720000000</v>
      </c>
      <c r="E41" s="12" t="s">
        <v>212</v>
      </c>
      <c r="F41" s="12" t="s">
        <v>136</v>
      </c>
      <c r="G41" s="38">
        <v>0</v>
      </c>
      <c r="H41" s="38">
        <v>0</v>
      </c>
      <c r="I41" s="38">
        <f t="shared" ref="I41" si="22">G41-H41</f>
        <v>0</v>
      </c>
      <c r="J41" s="38">
        <f t="shared" si="19"/>
        <v>720000000</v>
      </c>
      <c r="K41" s="39">
        <f t="shared" si="20"/>
        <v>0</v>
      </c>
      <c r="M41" s="40">
        <f t="shared" si="21"/>
        <v>720000000</v>
      </c>
    </row>
    <row r="42" spans="1:13" s="2" customFormat="1" ht="19.5" customHeight="1" thickBot="1" x14ac:dyDescent="0.25">
      <c r="A42" s="99" t="s">
        <v>18</v>
      </c>
      <c r="B42" s="100"/>
      <c r="C42" s="101"/>
      <c r="D42" s="63">
        <f>SUM(D40:D41)</f>
        <v>777287000</v>
      </c>
      <c r="E42" s="128"/>
      <c r="F42" s="130"/>
      <c r="G42" s="46">
        <f>SUM(G40:G41)</f>
        <v>33383329</v>
      </c>
      <c r="H42" s="46">
        <f>SUM(H40:H41)</f>
        <v>20379469</v>
      </c>
      <c r="I42" s="46">
        <f>G42-H42</f>
        <v>13003860</v>
      </c>
      <c r="J42" s="47">
        <f>D42-H42</f>
        <v>756907531</v>
      </c>
      <c r="K42" s="48">
        <f>H42/D42</f>
        <v>2.6218718439907009E-2</v>
      </c>
      <c r="L42" s="50"/>
      <c r="M42" s="47">
        <f>D42-G42</f>
        <v>743903671</v>
      </c>
    </row>
    <row r="43" spans="1:13" s="2" customFormat="1" ht="16.5" customHeight="1" thickBot="1" x14ac:dyDescent="0.25">
      <c r="A43" s="140" t="s">
        <v>222</v>
      </c>
      <c r="B43" s="141"/>
      <c r="C43" s="141"/>
      <c r="D43" s="141"/>
      <c r="E43" s="141"/>
      <c r="F43" s="142"/>
      <c r="G43" s="140" t="s">
        <v>231</v>
      </c>
      <c r="H43" s="141"/>
      <c r="I43" s="141"/>
      <c r="J43" s="141"/>
      <c r="K43" s="141"/>
      <c r="M43" s="51"/>
    </row>
    <row r="44" spans="1:13" s="2" customFormat="1" ht="24.75" customHeight="1" thickBot="1" x14ac:dyDescent="0.25">
      <c r="A44" s="31" t="s">
        <v>17</v>
      </c>
      <c r="B44" s="12" t="s">
        <v>133</v>
      </c>
      <c r="C44" s="12" t="s">
        <v>25</v>
      </c>
      <c r="D44" s="21">
        <v>40000000</v>
      </c>
      <c r="E44" s="12" t="s">
        <v>118</v>
      </c>
      <c r="F44" s="12" t="s">
        <v>48</v>
      </c>
      <c r="G44" s="38">
        <v>40000000</v>
      </c>
      <c r="H44" s="38">
        <v>40000000</v>
      </c>
      <c r="I44" s="38">
        <f t="shared" ref="I44:I47" si="23">G44-H44</f>
        <v>0</v>
      </c>
      <c r="J44" s="38">
        <f t="shared" ref="J44:J47" si="24">D44-H44</f>
        <v>0</v>
      </c>
      <c r="K44" s="39">
        <f t="shared" ref="K44:K47" si="25">H44/D44</f>
        <v>1</v>
      </c>
      <c r="M44" s="40">
        <f t="shared" ref="M44:M47" si="26">D44-G44</f>
        <v>0</v>
      </c>
    </row>
    <row r="45" spans="1:13" s="2" customFormat="1" ht="33" customHeight="1" thickBot="1" x14ac:dyDescent="0.25">
      <c r="A45" s="31" t="s">
        <v>87</v>
      </c>
      <c r="B45" s="12" t="s">
        <v>146</v>
      </c>
      <c r="C45" s="12" t="s">
        <v>25</v>
      </c>
      <c r="D45" s="21">
        <f>75684000+5000000+5000000</f>
        <v>85684000</v>
      </c>
      <c r="E45" s="12" t="s">
        <v>117</v>
      </c>
      <c r="F45" s="12" t="s">
        <v>45</v>
      </c>
      <c r="G45" s="38">
        <f>25000000+2000000+3176000</f>
        <v>30176000</v>
      </c>
      <c r="H45" s="38">
        <f>3176000+2000000</f>
        <v>5176000</v>
      </c>
      <c r="I45" s="38">
        <f t="shared" si="23"/>
        <v>25000000</v>
      </c>
      <c r="J45" s="38">
        <f t="shared" si="24"/>
        <v>80508000</v>
      </c>
      <c r="K45" s="39">
        <f t="shared" si="25"/>
        <v>6.0408010830493443E-2</v>
      </c>
      <c r="M45" s="40">
        <f t="shared" si="26"/>
        <v>55508000</v>
      </c>
    </row>
    <row r="46" spans="1:13" s="2" customFormat="1" ht="35.25" customHeight="1" thickBot="1" x14ac:dyDescent="0.25">
      <c r="A46" s="31" t="s">
        <v>22</v>
      </c>
      <c r="B46" s="12" t="s">
        <v>146</v>
      </c>
      <c r="C46" s="12" t="s">
        <v>25</v>
      </c>
      <c r="D46" s="21">
        <v>5000000</v>
      </c>
      <c r="E46" s="12" t="s">
        <v>116</v>
      </c>
      <c r="F46" s="12" t="s">
        <v>43</v>
      </c>
      <c r="G46" s="38">
        <v>0</v>
      </c>
      <c r="H46" s="38">
        <v>0</v>
      </c>
      <c r="I46" s="38">
        <f t="shared" si="23"/>
        <v>0</v>
      </c>
      <c r="J46" s="38">
        <f t="shared" si="24"/>
        <v>5000000</v>
      </c>
      <c r="K46" s="39">
        <f t="shared" si="25"/>
        <v>0</v>
      </c>
      <c r="M46" s="40">
        <f t="shared" si="26"/>
        <v>5000000</v>
      </c>
    </row>
    <row r="47" spans="1:13" s="2" customFormat="1" ht="33" customHeight="1" thickBot="1" x14ac:dyDescent="0.25">
      <c r="A47" s="31" t="s">
        <v>93</v>
      </c>
      <c r="B47" s="12" t="s">
        <v>147</v>
      </c>
      <c r="C47" s="12" t="s">
        <v>25</v>
      </c>
      <c r="D47" s="21">
        <v>30000000</v>
      </c>
      <c r="E47" s="12" t="s">
        <v>115</v>
      </c>
      <c r="F47" s="12" t="s">
        <v>94</v>
      </c>
      <c r="G47" s="38">
        <v>30000000</v>
      </c>
      <c r="H47" s="38">
        <v>29988000</v>
      </c>
      <c r="I47" s="38">
        <f t="shared" si="23"/>
        <v>12000</v>
      </c>
      <c r="J47" s="38">
        <f t="shared" si="24"/>
        <v>12000</v>
      </c>
      <c r="K47" s="39">
        <f t="shared" si="25"/>
        <v>0.99960000000000004</v>
      </c>
      <c r="M47" s="40">
        <f t="shared" si="26"/>
        <v>0</v>
      </c>
    </row>
    <row r="48" spans="1:13" s="2" customFormat="1" ht="19.5" customHeight="1" thickBot="1" x14ac:dyDescent="0.25">
      <c r="A48" s="99" t="s">
        <v>18</v>
      </c>
      <c r="B48" s="100"/>
      <c r="C48" s="101"/>
      <c r="D48" s="62">
        <f>SUM(D44:D47)</f>
        <v>160684000</v>
      </c>
      <c r="E48" s="128"/>
      <c r="F48" s="130"/>
      <c r="G48" s="46">
        <f>SUM(G44:G47)</f>
        <v>100176000</v>
      </c>
      <c r="H48" s="46">
        <f>SUM(H44:H47)</f>
        <v>75164000</v>
      </c>
      <c r="I48" s="46">
        <f>G48-H48</f>
        <v>25012000</v>
      </c>
      <c r="J48" s="46">
        <f>D48-H48</f>
        <v>85520000</v>
      </c>
      <c r="K48" s="48">
        <f>H48/D48</f>
        <v>0.46777526076024994</v>
      </c>
      <c r="L48" s="50"/>
      <c r="M48" s="46">
        <f>D48-G48</f>
        <v>60508000</v>
      </c>
    </row>
    <row r="49" spans="1:13" ht="18.75" customHeight="1" thickBot="1" x14ac:dyDescent="0.25">
      <c r="A49" s="140" t="s">
        <v>37</v>
      </c>
      <c r="B49" s="141"/>
      <c r="C49" s="141"/>
      <c r="D49" s="141"/>
      <c r="E49" s="141"/>
      <c r="F49" s="142"/>
      <c r="G49" s="152" t="s">
        <v>232</v>
      </c>
      <c r="H49" s="153"/>
      <c r="I49" s="153"/>
      <c r="J49" s="153"/>
      <c r="K49" s="154"/>
      <c r="M49" s="52"/>
    </row>
    <row r="50" spans="1:13" ht="43.5" customHeight="1" thickBot="1" x14ac:dyDescent="0.25">
      <c r="A50" s="31" t="s">
        <v>9</v>
      </c>
      <c r="B50" s="12" t="s">
        <v>129</v>
      </c>
      <c r="C50" s="12" t="s">
        <v>27</v>
      </c>
      <c r="D50" s="21">
        <v>3150576621</v>
      </c>
      <c r="E50" s="12" t="s">
        <v>100</v>
      </c>
      <c r="F50" s="12" t="s">
        <v>132</v>
      </c>
      <c r="G50" s="38">
        <f>228427067+380711779+2450672195</f>
        <v>3059811041</v>
      </c>
      <c r="H50" s="38">
        <f>228427067+380711779+2057314589</f>
        <v>2666453435</v>
      </c>
      <c r="I50" s="38">
        <f t="shared" ref="I50:I60" si="27">G50-H50</f>
        <v>393357606</v>
      </c>
      <c r="J50" s="38">
        <f t="shared" ref="J50:J60" si="28">D50-H50</f>
        <v>484123186</v>
      </c>
      <c r="K50" s="39">
        <f t="shared" ref="K50:K60" si="29">H50/D50</f>
        <v>0.84633822812843118</v>
      </c>
      <c r="L50" s="2"/>
      <c r="M50" s="40">
        <f t="shared" ref="M50:M59" si="30">D50-G50</f>
        <v>90765580</v>
      </c>
    </row>
    <row r="51" spans="1:13" ht="49.5" customHeight="1" thickBot="1" x14ac:dyDescent="0.25">
      <c r="A51" s="31" t="s">
        <v>194</v>
      </c>
      <c r="B51" s="12" t="s">
        <v>129</v>
      </c>
      <c r="C51" s="12" t="s">
        <v>47</v>
      </c>
      <c r="D51" s="21">
        <f>1318189261+50000000+15000000-18189261</f>
        <v>1365000000</v>
      </c>
      <c r="E51" s="12" t="s">
        <v>214</v>
      </c>
      <c r="F51" s="12" t="s">
        <v>141</v>
      </c>
      <c r="G51" s="38">
        <f>40000000+5000000+20800000+10000000+90000000+19793997+20800000+4500000+20800000-90000000+20000000+15000000+40000000+64400000+82000000+62400000+88000000+43000000+475000000+52000000+12000000+20000000+20800000+40000000+5200000+59000000+164000000</f>
        <v>1404493997</v>
      </c>
      <c r="H51" s="38">
        <f>20800000+10000000+4500000+40000000+5000000+20068000+20000000+40000000+19696001+64400000+81780000+40573743+40890000+52000000+10080000+17874324+40000000+5200000+55236600</f>
        <v>588098668</v>
      </c>
      <c r="I51" s="38">
        <f t="shared" si="27"/>
        <v>816395329</v>
      </c>
      <c r="J51" s="38">
        <f>D51-H51</f>
        <v>776901332</v>
      </c>
      <c r="K51" s="39">
        <f t="shared" si="29"/>
        <v>0.43084151501831502</v>
      </c>
      <c r="L51" s="2"/>
      <c r="M51" s="40">
        <f t="shared" si="30"/>
        <v>-39493997</v>
      </c>
    </row>
    <row r="52" spans="1:13" ht="36.75" customHeight="1" thickBot="1" x14ac:dyDescent="0.25">
      <c r="A52" s="31" t="s">
        <v>13</v>
      </c>
      <c r="B52" s="12" t="s">
        <v>129</v>
      </c>
      <c r="C52" s="12" t="s">
        <v>27</v>
      </c>
      <c r="D52" s="21">
        <v>5262234118</v>
      </c>
      <c r="E52" s="12" t="s">
        <v>101</v>
      </c>
      <c r="F52" s="12" t="s">
        <v>134</v>
      </c>
      <c r="G52" s="38">
        <f>728595138+4528580472</f>
        <v>5257175610</v>
      </c>
      <c r="H52" s="38">
        <f>728595138+49906887+4432863177</f>
        <v>5211365202</v>
      </c>
      <c r="I52" s="38">
        <f t="shared" si="27"/>
        <v>45810408</v>
      </c>
      <c r="J52" s="38">
        <f t="shared" si="28"/>
        <v>50868916</v>
      </c>
      <c r="K52" s="39">
        <f t="shared" si="29"/>
        <v>0.99033320926828439</v>
      </c>
      <c r="L52" s="2"/>
      <c r="M52" s="40">
        <f t="shared" si="30"/>
        <v>5058508</v>
      </c>
    </row>
    <row r="53" spans="1:13" ht="54.75" customHeight="1" thickBot="1" x14ac:dyDescent="0.25">
      <c r="A53" s="31" t="s">
        <v>10</v>
      </c>
      <c r="B53" s="12" t="s">
        <v>3</v>
      </c>
      <c r="C53" s="12" t="s">
        <v>213</v>
      </c>
      <c r="D53" s="21">
        <f>300000000+18189261</f>
        <v>318189261</v>
      </c>
      <c r="E53" s="12" t="s">
        <v>214</v>
      </c>
      <c r="F53" s="22" t="s">
        <v>124</v>
      </c>
      <c r="G53" s="38">
        <f>4582000+8038800+10917860+7899600+14958200+31204000+23712000+6004718+23200000+9002072+1392000+3480000+3712000+5220000+7951313+14070526+6516794+15445400+406000+17400000+7000000+9983500+22850482+8973870+1527720+2517200+864200+5131376+1925600+7099200+5000006+4002000</f>
        <v>291988437</v>
      </c>
      <c r="H53" s="38">
        <f>10917860+23200000+406000+6979720+9983500+2866766+8038800+7899600+14958200+31204000+9002072+3712000+6362600+1392000+1392000+2320000+7098643+17400000+22850482+1925600+4612718+5000006+19760000+2495046+8973870+1583400+4002000+1624000+348000+226200+1207073+5793040+951200+4202522+3505404+14639200</f>
        <v>268833522</v>
      </c>
      <c r="I53" s="38">
        <f t="shared" si="27"/>
        <v>23154915</v>
      </c>
      <c r="J53" s="38">
        <f t="shared" si="28"/>
        <v>49355739</v>
      </c>
      <c r="K53" s="39">
        <f t="shared" si="29"/>
        <v>0.8448855915347816</v>
      </c>
      <c r="L53" s="2"/>
      <c r="M53" s="40">
        <f>D53-G53</f>
        <v>26200824</v>
      </c>
    </row>
    <row r="54" spans="1:13" ht="36" customHeight="1" thickBot="1" x14ac:dyDescent="0.25">
      <c r="A54" s="31" t="s">
        <v>33</v>
      </c>
      <c r="B54" s="12" t="s">
        <v>8</v>
      </c>
      <c r="C54" s="12" t="s">
        <v>47</v>
      </c>
      <c r="D54" s="21">
        <f>45000000-15000000</f>
        <v>30000000</v>
      </c>
      <c r="E54" s="12" t="s">
        <v>112</v>
      </c>
      <c r="F54" s="12" t="s">
        <v>125</v>
      </c>
      <c r="G54" s="38">
        <v>30000000</v>
      </c>
      <c r="H54" s="38">
        <v>0</v>
      </c>
      <c r="I54" s="38">
        <f t="shared" si="27"/>
        <v>30000000</v>
      </c>
      <c r="J54" s="38">
        <f t="shared" si="28"/>
        <v>30000000</v>
      </c>
      <c r="K54" s="39">
        <f t="shared" si="29"/>
        <v>0</v>
      </c>
      <c r="L54" s="2"/>
      <c r="M54" s="40">
        <f t="shared" si="30"/>
        <v>0</v>
      </c>
    </row>
    <row r="55" spans="1:13" ht="44.25" customHeight="1" thickBot="1" x14ac:dyDescent="0.25">
      <c r="A55" s="31" t="s">
        <v>82</v>
      </c>
      <c r="B55" s="12" t="s">
        <v>8</v>
      </c>
      <c r="C55" s="12" t="s">
        <v>47</v>
      </c>
      <c r="D55" s="21">
        <v>35000000</v>
      </c>
      <c r="E55" s="12" t="s">
        <v>110</v>
      </c>
      <c r="F55" s="12" t="s">
        <v>125</v>
      </c>
      <c r="G55" s="38">
        <v>0</v>
      </c>
      <c r="H55" s="38">
        <v>0</v>
      </c>
      <c r="I55" s="38">
        <f t="shared" si="27"/>
        <v>0</v>
      </c>
      <c r="J55" s="38">
        <f t="shared" si="28"/>
        <v>35000000</v>
      </c>
      <c r="K55" s="39">
        <f t="shared" si="29"/>
        <v>0</v>
      </c>
      <c r="L55" s="2"/>
      <c r="M55" s="40">
        <f t="shared" si="30"/>
        <v>35000000</v>
      </c>
    </row>
    <row r="56" spans="1:13" ht="29.25" customHeight="1" thickBot="1" x14ac:dyDescent="0.25">
      <c r="A56" s="31" t="s">
        <v>195</v>
      </c>
      <c r="B56" s="12" t="s">
        <v>8</v>
      </c>
      <c r="C56" s="12" t="s">
        <v>27</v>
      </c>
      <c r="D56" s="21">
        <v>90000000</v>
      </c>
      <c r="E56" s="12" t="s">
        <v>110</v>
      </c>
      <c r="F56" s="12" t="s">
        <v>143</v>
      </c>
      <c r="G56" s="38">
        <v>0</v>
      </c>
      <c r="H56" s="38">
        <v>0</v>
      </c>
      <c r="I56" s="38">
        <f t="shared" si="27"/>
        <v>0</v>
      </c>
      <c r="J56" s="38">
        <f t="shared" si="28"/>
        <v>90000000</v>
      </c>
      <c r="K56" s="39">
        <f t="shared" si="29"/>
        <v>0</v>
      </c>
      <c r="L56" s="2"/>
      <c r="M56" s="40">
        <f t="shared" si="30"/>
        <v>90000000</v>
      </c>
    </row>
    <row r="57" spans="1:13" ht="29.25" customHeight="1" thickBot="1" x14ac:dyDescent="0.25">
      <c r="A57" s="31" t="s">
        <v>83</v>
      </c>
      <c r="B57" s="12" t="s">
        <v>8</v>
      </c>
      <c r="C57" s="12" t="s">
        <v>119</v>
      </c>
      <c r="D57" s="21">
        <v>30000000</v>
      </c>
      <c r="E57" s="12" t="s">
        <v>108</v>
      </c>
      <c r="F57" s="12" t="s">
        <v>120</v>
      </c>
      <c r="G57" s="38">
        <v>26100000</v>
      </c>
      <c r="H57" s="38">
        <v>26080131</v>
      </c>
      <c r="I57" s="38">
        <f t="shared" si="27"/>
        <v>19869</v>
      </c>
      <c r="J57" s="38">
        <f t="shared" si="28"/>
        <v>3919869</v>
      </c>
      <c r="K57" s="39">
        <f t="shared" si="29"/>
        <v>0.86933769999999999</v>
      </c>
      <c r="L57" s="2"/>
      <c r="M57" s="40">
        <f t="shared" si="30"/>
        <v>3900000</v>
      </c>
    </row>
    <row r="58" spans="1:13" ht="33.75" customHeight="1" thickBot="1" x14ac:dyDescent="0.25">
      <c r="A58" s="31" t="s">
        <v>109</v>
      </c>
      <c r="B58" s="12" t="s">
        <v>8</v>
      </c>
      <c r="C58" s="12" t="s">
        <v>27</v>
      </c>
      <c r="D58" s="21">
        <v>150000000</v>
      </c>
      <c r="E58" s="12" t="s">
        <v>154</v>
      </c>
      <c r="F58" s="12" t="s">
        <v>144</v>
      </c>
      <c r="G58" s="38">
        <v>0</v>
      </c>
      <c r="H58" s="38">
        <v>0</v>
      </c>
      <c r="I58" s="38">
        <f t="shared" si="27"/>
        <v>0</v>
      </c>
      <c r="J58" s="38">
        <f t="shared" si="28"/>
        <v>150000000</v>
      </c>
      <c r="K58" s="39">
        <f t="shared" si="29"/>
        <v>0</v>
      </c>
      <c r="L58" s="2"/>
      <c r="M58" s="40">
        <f t="shared" si="30"/>
        <v>150000000</v>
      </c>
    </row>
    <row r="59" spans="1:13" ht="34.5" customHeight="1" thickBot="1" x14ac:dyDescent="0.25">
      <c r="A59" s="31" t="s">
        <v>96</v>
      </c>
      <c r="B59" s="12" t="s">
        <v>126</v>
      </c>
      <c r="C59" s="12" t="s">
        <v>26</v>
      </c>
      <c r="D59" s="21">
        <v>100000000</v>
      </c>
      <c r="E59" s="12" t="s">
        <v>113</v>
      </c>
      <c r="F59" s="12" t="s">
        <v>142</v>
      </c>
      <c r="G59" s="38">
        <v>0</v>
      </c>
      <c r="H59" s="38">
        <v>0</v>
      </c>
      <c r="I59" s="38">
        <f t="shared" si="27"/>
        <v>0</v>
      </c>
      <c r="J59" s="38">
        <f t="shared" si="28"/>
        <v>100000000</v>
      </c>
      <c r="K59" s="39">
        <f t="shared" si="29"/>
        <v>0</v>
      </c>
      <c r="L59" s="2"/>
      <c r="M59" s="40">
        <f t="shared" si="30"/>
        <v>100000000</v>
      </c>
    </row>
    <row r="60" spans="1:13" ht="43.5" customHeight="1" thickBot="1" x14ac:dyDescent="0.25">
      <c r="A60" s="31" t="s">
        <v>95</v>
      </c>
      <c r="B60" s="12" t="s">
        <v>8</v>
      </c>
      <c r="C60" s="12" t="s">
        <v>26</v>
      </c>
      <c r="D60" s="21">
        <v>200000000</v>
      </c>
      <c r="E60" s="12" t="s">
        <v>111</v>
      </c>
      <c r="F60" s="12" t="s">
        <v>145</v>
      </c>
      <c r="G60" s="38">
        <v>200000000</v>
      </c>
      <c r="H60" s="38">
        <v>0</v>
      </c>
      <c r="I60" s="38">
        <f t="shared" si="27"/>
        <v>200000000</v>
      </c>
      <c r="J60" s="38">
        <f t="shared" si="28"/>
        <v>200000000</v>
      </c>
      <c r="K60" s="39">
        <f t="shared" si="29"/>
        <v>0</v>
      </c>
      <c r="L60" s="2"/>
      <c r="M60" s="40">
        <f>D60-G60</f>
        <v>0</v>
      </c>
    </row>
    <row r="61" spans="1:13" ht="19.5" customHeight="1" thickBot="1" x14ac:dyDescent="0.25">
      <c r="A61" s="99" t="s">
        <v>18</v>
      </c>
      <c r="B61" s="100"/>
      <c r="C61" s="101"/>
      <c r="D61" s="63">
        <f>SUM(D50:D60)</f>
        <v>10731000000</v>
      </c>
      <c r="E61" s="99"/>
      <c r="F61" s="102"/>
      <c r="G61" s="46">
        <f>SUM(G50:G60)</f>
        <v>10269569085</v>
      </c>
      <c r="H61" s="46">
        <f>SUM(H50:H60)</f>
        <v>8760830958</v>
      </c>
      <c r="I61" s="46">
        <f>G61-H61</f>
        <v>1508738127</v>
      </c>
      <c r="J61" s="47">
        <f>D61-H61</f>
        <v>1970169042</v>
      </c>
      <c r="K61" s="48">
        <f>H61/D61</f>
        <v>0.81640396589320663</v>
      </c>
      <c r="L61" s="53"/>
      <c r="M61" s="47">
        <f>D61-G61</f>
        <v>461430915</v>
      </c>
    </row>
    <row r="62" spans="1:13" s="2" customFormat="1" ht="18" customHeight="1" thickBot="1" x14ac:dyDescent="0.25">
      <c r="A62" s="140" t="s">
        <v>12</v>
      </c>
      <c r="B62" s="141"/>
      <c r="C62" s="141"/>
      <c r="D62" s="141"/>
      <c r="E62" s="141"/>
      <c r="F62" s="142"/>
      <c r="G62" s="146" t="s">
        <v>233</v>
      </c>
      <c r="H62" s="147"/>
      <c r="I62" s="147"/>
      <c r="J62" s="147"/>
      <c r="K62" s="148"/>
      <c r="M62" s="52"/>
    </row>
    <row r="63" spans="1:13" s="2" customFormat="1" ht="32.25" thickBot="1" x14ac:dyDescent="0.25">
      <c r="A63" s="31" t="s">
        <v>149</v>
      </c>
      <c r="B63" s="12" t="s">
        <v>133</v>
      </c>
      <c r="C63" s="20" t="s">
        <v>27</v>
      </c>
      <c r="D63" s="21">
        <v>996000000</v>
      </c>
      <c r="E63" s="12" t="s">
        <v>148</v>
      </c>
      <c r="F63" s="12" t="s">
        <v>134</v>
      </c>
      <c r="G63" s="38">
        <f>1747650+74380211+854813989</f>
        <v>930941850</v>
      </c>
      <c r="H63" s="38">
        <f>1747650+854759560</f>
        <v>856507210</v>
      </c>
      <c r="I63" s="38">
        <f t="shared" ref="I63:I64" si="31">G63-H63</f>
        <v>74434640</v>
      </c>
      <c r="J63" s="38">
        <f t="shared" ref="J63:J64" si="32">D63-H63</f>
        <v>139492790</v>
      </c>
      <c r="K63" s="39">
        <f t="shared" ref="K63:K64" si="33">H63/D63</f>
        <v>0.85994699799196783</v>
      </c>
      <c r="M63" s="40">
        <f>D63-G63</f>
        <v>65058150</v>
      </c>
    </row>
    <row r="64" spans="1:13" s="2" customFormat="1" ht="72.75" customHeight="1" thickBot="1" x14ac:dyDescent="0.25">
      <c r="A64" s="31" t="s">
        <v>150</v>
      </c>
      <c r="B64" s="12" t="s">
        <v>151</v>
      </c>
      <c r="C64" s="20" t="s">
        <v>25</v>
      </c>
      <c r="D64" s="21">
        <v>0</v>
      </c>
      <c r="E64" s="12" t="s">
        <v>152</v>
      </c>
      <c r="F64" s="12" t="s">
        <v>153</v>
      </c>
      <c r="G64" s="38">
        <v>0</v>
      </c>
      <c r="H64" s="38">
        <v>0</v>
      </c>
      <c r="I64" s="38">
        <f t="shared" si="31"/>
        <v>0</v>
      </c>
      <c r="J64" s="38">
        <f t="shared" si="32"/>
        <v>0</v>
      </c>
      <c r="K64" s="39" t="e">
        <f t="shared" si="33"/>
        <v>#DIV/0!</v>
      </c>
      <c r="M64" s="40">
        <f t="shared" ref="M64" si="34">D64-G64</f>
        <v>0</v>
      </c>
    </row>
    <row r="65" spans="1:13" s="2" customFormat="1" ht="19.5" customHeight="1" thickBot="1" x14ac:dyDescent="0.25">
      <c r="A65" s="99" t="s">
        <v>18</v>
      </c>
      <c r="B65" s="100"/>
      <c r="C65" s="101"/>
      <c r="D65" s="64">
        <f>SUM(D63:D64)</f>
        <v>996000000</v>
      </c>
      <c r="E65" s="99"/>
      <c r="F65" s="102"/>
      <c r="G65" s="46">
        <f>SUM(G63:G64)</f>
        <v>930941850</v>
      </c>
      <c r="H65" s="46">
        <f>SUM(H63:H64)</f>
        <v>856507210</v>
      </c>
      <c r="I65" s="46">
        <f>G65-H65</f>
        <v>74434640</v>
      </c>
      <c r="J65" s="65">
        <f>D65-H65</f>
        <v>139492790</v>
      </c>
      <c r="K65" s="48">
        <f>H63/D63</f>
        <v>0.85994699799196783</v>
      </c>
      <c r="L65" s="50"/>
      <c r="M65" s="47">
        <f>D65-G65</f>
        <v>65058150</v>
      </c>
    </row>
    <row r="66" spans="1:13" s="2" customFormat="1" ht="19.5" customHeight="1" thickBot="1" x14ac:dyDescent="0.25">
      <c r="A66" s="140" t="s">
        <v>174</v>
      </c>
      <c r="B66" s="141"/>
      <c r="C66" s="141"/>
      <c r="D66" s="141"/>
      <c r="E66" s="141"/>
      <c r="F66" s="142"/>
      <c r="G66" s="146" t="s">
        <v>234</v>
      </c>
      <c r="H66" s="147"/>
      <c r="I66" s="147"/>
      <c r="J66" s="147"/>
      <c r="K66" s="148"/>
      <c r="M66" s="52"/>
    </row>
    <row r="67" spans="1:13" s="2" customFormat="1" ht="34.5" customHeight="1" thickBot="1" x14ac:dyDescent="0.25">
      <c r="A67" s="31" t="s">
        <v>175</v>
      </c>
      <c r="B67" s="12" t="s">
        <v>171</v>
      </c>
      <c r="C67" s="20" t="s">
        <v>27</v>
      </c>
      <c r="D67" s="21">
        <v>1649248000</v>
      </c>
      <c r="E67" s="12" t="s">
        <v>172</v>
      </c>
      <c r="F67" s="12" t="s">
        <v>173</v>
      </c>
      <c r="G67" s="38">
        <v>1649248000</v>
      </c>
      <c r="H67" s="38">
        <v>1632375000</v>
      </c>
      <c r="I67" s="38">
        <f t="shared" ref="I67" si="35">G67-H67</f>
        <v>16873000</v>
      </c>
      <c r="J67" s="38">
        <f t="shared" ref="J67" si="36">D67-H67</f>
        <v>16873000</v>
      </c>
      <c r="K67" s="39">
        <f t="shared" ref="K67" si="37">H67/D67</f>
        <v>0.98976927666427361</v>
      </c>
      <c r="M67" s="38">
        <f>D67-G67</f>
        <v>0</v>
      </c>
    </row>
    <row r="68" spans="1:13" s="2" customFormat="1" ht="19.5" customHeight="1" thickBot="1" x14ac:dyDescent="0.25">
      <c r="A68" s="99" t="s">
        <v>18</v>
      </c>
      <c r="B68" s="100"/>
      <c r="C68" s="101"/>
      <c r="D68" s="64">
        <f>SUM(D67:D67)</f>
        <v>1649248000</v>
      </c>
      <c r="E68" s="99"/>
      <c r="F68" s="102"/>
      <c r="G68" s="46">
        <f>G67</f>
        <v>1649248000</v>
      </c>
      <c r="H68" s="46">
        <f>H67</f>
        <v>1632375000</v>
      </c>
      <c r="I68" s="46">
        <f>G68-H68</f>
        <v>16873000</v>
      </c>
      <c r="J68" s="47">
        <f>D68-H68</f>
        <v>16873000</v>
      </c>
      <c r="K68" s="48">
        <f>H68/D68</f>
        <v>0.98976927666427361</v>
      </c>
      <c r="L68" s="50"/>
      <c r="M68" s="47">
        <f>M67</f>
        <v>0</v>
      </c>
    </row>
    <row r="69" spans="1:13" ht="16.5" customHeight="1" thickBot="1" x14ac:dyDescent="0.25">
      <c r="A69" s="140" t="s">
        <v>19</v>
      </c>
      <c r="B69" s="141"/>
      <c r="C69" s="141"/>
      <c r="D69" s="141"/>
      <c r="E69" s="141"/>
      <c r="F69" s="142"/>
      <c r="G69" s="146" t="s">
        <v>241</v>
      </c>
      <c r="H69" s="147"/>
      <c r="I69" s="147"/>
      <c r="J69" s="147"/>
      <c r="K69" s="148"/>
      <c r="M69" s="52"/>
    </row>
    <row r="70" spans="1:13" ht="24.75" customHeight="1" thickBot="1" x14ac:dyDescent="0.25">
      <c r="A70" s="31" t="s">
        <v>28</v>
      </c>
      <c r="B70" s="12" t="s">
        <v>133</v>
      </c>
      <c r="C70" s="20" t="s">
        <v>25</v>
      </c>
      <c r="D70" s="21">
        <v>1151001000</v>
      </c>
      <c r="E70" s="12" t="s">
        <v>85</v>
      </c>
      <c r="F70" s="12" t="s">
        <v>129</v>
      </c>
      <c r="G70" s="38">
        <v>741545250</v>
      </c>
      <c r="H70" s="38">
        <v>741545250</v>
      </c>
      <c r="I70" s="38">
        <f t="shared" ref="I70:I76" si="38">G70-H70</f>
        <v>0</v>
      </c>
      <c r="J70" s="38">
        <f t="shared" ref="J70:J76" si="39">D70-H70</f>
        <v>409455750</v>
      </c>
      <c r="K70" s="39">
        <f t="shared" ref="K70:K76" si="40">H70/D70</f>
        <v>0.64426116919099119</v>
      </c>
      <c r="L70" s="2"/>
      <c r="M70" s="40">
        <f t="shared" ref="M70:M76" si="41">D70-G70</f>
        <v>409455750</v>
      </c>
    </row>
    <row r="71" spans="1:13" ht="24.75" hidden="1" customHeight="1" thickBot="1" x14ac:dyDescent="0.25">
      <c r="A71" s="31" t="s">
        <v>29</v>
      </c>
      <c r="B71" s="12" t="s">
        <v>133</v>
      </c>
      <c r="C71" s="20" t="s">
        <v>25</v>
      </c>
      <c r="D71" s="21"/>
      <c r="E71" s="12" t="s">
        <v>85</v>
      </c>
      <c r="F71" s="12" t="s">
        <v>129</v>
      </c>
      <c r="G71" s="38">
        <v>0</v>
      </c>
      <c r="H71" s="38">
        <v>0</v>
      </c>
      <c r="I71" s="38">
        <f t="shared" si="38"/>
        <v>0</v>
      </c>
      <c r="J71" s="38">
        <f t="shared" si="39"/>
        <v>0</v>
      </c>
      <c r="K71" s="39" t="e">
        <f t="shared" si="40"/>
        <v>#DIV/0!</v>
      </c>
      <c r="L71" s="2"/>
      <c r="M71" s="40">
        <f t="shared" si="41"/>
        <v>0</v>
      </c>
    </row>
    <row r="72" spans="1:13" ht="24.75" customHeight="1" thickBot="1" x14ac:dyDescent="0.25">
      <c r="A72" s="31" t="s">
        <v>46</v>
      </c>
      <c r="B72" s="12" t="s">
        <v>133</v>
      </c>
      <c r="C72" s="20" t="s">
        <v>25</v>
      </c>
      <c r="D72" s="21">
        <v>401871000</v>
      </c>
      <c r="E72" s="12" t="s">
        <v>85</v>
      </c>
      <c r="F72" s="12" t="s">
        <v>129</v>
      </c>
      <c r="G72" s="38">
        <v>189089786</v>
      </c>
      <c r="H72" s="38">
        <v>189089786</v>
      </c>
      <c r="I72" s="38">
        <f t="shared" si="38"/>
        <v>0</v>
      </c>
      <c r="J72" s="38">
        <f t="shared" si="39"/>
        <v>212781214</v>
      </c>
      <c r="K72" s="39">
        <f t="shared" si="40"/>
        <v>0.47052359090354867</v>
      </c>
      <c r="L72" s="2"/>
      <c r="M72" s="40">
        <f t="shared" si="41"/>
        <v>212781214</v>
      </c>
    </row>
    <row r="73" spans="1:13" ht="24.75" hidden="1" customHeight="1" thickBot="1" x14ac:dyDescent="0.25">
      <c r="A73" s="31" t="s">
        <v>30</v>
      </c>
      <c r="B73" s="12" t="s">
        <v>133</v>
      </c>
      <c r="C73" s="20" t="s">
        <v>25</v>
      </c>
      <c r="D73" s="21"/>
      <c r="E73" s="12" t="s">
        <v>85</v>
      </c>
      <c r="F73" s="12" t="s">
        <v>129</v>
      </c>
      <c r="G73" s="38">
        <v>0</v>
      </c>
      <c r="H73" s="38">
        <v>0</v>
      </c>
      <c r="I73" s="38">
        <f t="shared" si="38"/>
        <v>0</v>
      </c>
      <c r="J73" s="38">
        <f t="shared" si="39"/>
        <v>0</v>
      </c>
      <c r="K73" s="39" t="e">
        <f t="shared" si="40"/>
        <v>#DIV/0!</v>
      </c>
      <c r="L73" s="2"/>
      <c r="M73" s="40">
        <f t="shared" si="41"/>
        <v>0</v>
      </c>
    </row>
    <row r="74" spans="1:13" ht="24.75" customHeight="1" thickBot="1" x14ac:dyDescent="0.25">
      <c r="A74" s="31" t="s">
        <v>73</v>
      </c>
      <c r="B74" s="12" t="s">
        <v>133</v>
      </c>
      <c r="C74" s="20" t="s">
        <v>25</v>
      </c>
      <c r="D74" s="21">
        <v>133394000</v>
      </c>
      <c r="E74" s="12" t="s">
        <v>85</v>
      </c>
      <c r="F74" s="12" t="s">
        <v>129</v>
      </c>
      <c r="G74" s="38">
        <v>654680</v>
      </c>
      <c r="H74" s="38">
        <v>654680</v>
      </c>
      <c r="I74" s="38">
        <f t="shared" si="38"/>
        <v>0</v>
      </c>
      <c r="J74" s="38">
        <f t="shared" si="39"/>
        <v>132739320</v>
      </c>
      <c r="K74" s="39">
        <f t="shared" si="40"/>
        <v>4.9078669205511495E-3</v>
      </c>
      <c r="L74" s="2"/>
      <c r="M74" s="40">
        <f t="shared" si="41"/>
        <v>132739320</v>
      </c>
    </row>
    <row r="75" spans="1:13" ht="24.75" customHeight="1" thickBot="1" x14ac:dyDescent="0.25">
      <c r="A75" s="31" t="s">
        <v>31</v>
      </c>
      <c r="B75" s="12" t="s">
        <v>133</v>
      </c>
      <c r="C75" s="20" t="s">
        <v>25</v>
      </c>
      <c r="D75" s="21">
        <v>396713000</v>
      </c>
      <c r="E75" s="12" t="s">
        <v>85</v>
      </c>
      <c r="F75" s="12" t="s">
        <v>129</v>
      </c>
      <c r="G75" s="38">
        <v>265685717</v>
      </c>
      <c r="H75" s="38">
        <v>265685717</v>
      </c>
      <c r="I75" s="38">
        <f t="shared" si="38"/>
        <v>0</v>
      </c>
      <c r="J75" s="38">
        <f t="shared" si="39"/>
        <v>131027283</v>
      </c>
      <c r="K75" s="39">
        <f t="shared" si="40"/>
        <v>0.66971769768069112</v>
      </c>
      <c r="L75" s="2"/>
      <c r="M75" s="40">
        <f>D75-G75</f>
        <v>131027283</v>
      </c>
    </row>
    <row r="76" spans="1:13" ht="24.75" customHeight="1" thickBot="1" x14ac:dyDescent="0.25">
      <c r="A76" s="31" t="s">
        <v>32</v>
      </c>
      <c r="B76" s="12" t="s">
        <v>133</v>
      </c>
      <c r="C76" s="20" t="s">
        <v>25</v>
      </c>
      <c r="D76" s="21">
        <v>1261000</v>
      </c>
      <c r="E76" s="12" t="s">
        <v>85</v>
      </c>
      <c r="F76" s="12" t="s">
        <v>129</v>
      </c>
      <c r="G76" s="38">
        <v>117600</v>
      </c>
      <c r="H76" s="38">
        <v>117600</v>
      </c>
      <c r="I76" s="38">
        <f t="shared" si="38"/>
        <v>0</v>
      </c>
      <c r="J76" s="38">
        <f t="shared" si="39"/>
        <v>1143400</v>
      </c>
      <c r="K76" s="39">
        <f t="shared" si="40"/>
        <v>9.3259318001586045E-2</v>
      </c>
      <c r="L76" s="2"/>
      <c r="M76" s="40">
        <f t="shared" si="41"/>
        <v>1143400</v>
      </c>
    </row>
    <row r="77" spans="1:13" ht="20.25" customHeight="1" thickBot="1" x14ac:dyDescent="0.25">
      <c r="A77" s="99" t="s">
        <v>18</v>
      </c>
      <c r="B77" s="100"/>
      <c r="C77" s="101"/>
      <c r="D77" s="62">
        <f>SUM(D70:D76)</f>
        <v>2084240000</v>
      </c>
      <c r="E77" s="99"/>
      <c r="F77" s="102"/>
      <c r="G77" s="46">
        <f>SUM(G70:G76)</f>
        <v>1197093033</v>
      </c>
      <c r="H77" s="46">
        <f>SUM(H70:H76)</f>
        <v>1197093033</v>
      </c>
      <c r="I77" s="46">
        <f>G77-H77</f>
        <v>0</v>
      </c>
      <c r="J77" s="47">
        <f>D77-H77</f>
        <v>887146967</v>
      </c>
      <c r="K77" s="48">
        <f>H77/D77</f>
        <v>0.57435469667600658</v>
      </c>
      <c r="L77" s="53"/>
      <c r="M77" s="47">
        <f>D77-G77</f>
        <v>887146967</v>
      </c>
    </row>
    <row r="78" spans="1:13" ht="24.75" customHeight="1" thickBot="1" x14ac:dyDescent="0.25">
      <c r="A78" s="149" t="s">
        <v>196</v>
      </c>
      <c r="B78" s="150"/>
      <c r="C78" s="151"/>
      <c r="D78" s="76">
        <f>+D7+D14+D17+D26+D29+D38+D42+D48+D61+D65+D77+D68</f>
        <v>19649877000</v>
      </c>
      <c r="E78" s="106"/>
      <c r="F78" s="107"/>
      <c r="G78" s="54">
        <f>G7+G14+G17+G26+G29+G38+G42+G48+G61+G65+G68+G77</f>
        <v>16404943552</v>
      </c>
      <c r="H78" s="54">
        <f>H7+H14+H17+H26+H29+H38+H42+H48+H61+H65+H68+H77</f>
        <v>14061785623</v>
      </c>
      <c r="I78" s="54">
        <f>G78-H78</f>
        <v>2343157929</v>
      </c>
      <c r="J78" s="54">
        <f>D78-H78</f>
        <v>5588091377</v>
      </c>
      <c r="K78" s="56">
        <f>H78/D78</f>
        <v>0.71561697933274593</v>
      </c>
      <c r="M78" s="55">
        <f>D78-G78</f>
        <v>3244933448</v>
      </c>
    </row>
    <row r="79" spans="1:13" ht="12" thickBot="1" x14ac:dyDescent="0.25">
      <c r="A79" s="6"/>
      <c r="B79" s="10"/>
      <c r="C79" s="10"/>
      <c r="D79" s="3"/>
      <c r="E79" s="10"/>
      <c r="F79" s="7"/>
    </row>
    <row r="80" spans="1:13" ht="24.75" customHeight="1" thickBot="1" x14ac:dyDescent="0.25">
      <c r="A80" s="131" t="s">
        <v>38</v>
      </c>
      <c r="B80" s="132"/>
      <c r="C80" s="132"/>
      <c r="D80" s="132"/>
      <c r="E80" s="132"/>
      <c r="F80" s="133"/>
      <c r="G80" s="134" t="s">
        <v>223</v>
      </c>
      <c r="H80" s="135"/>
      <c r="I80" s="135"/>
      <c r="J80" s="135"/>
      <c r="K80" s="136"/>
      <c r="M80" s="57"/>
    </row>
    <row r="81" spans="1:13" ht="49.5" customHeight="1" thickBot="1" x14ac:dyDescent="0.25">
      <c r="A81" s="5" t="s">
        <v>39</v>
      </c>
      <c r="B81" s="5" t="s">
        <v>50</v>
      </c>
      <c r="C81" s="5" t="s">
        <v>24</v>
      </c>
      <c r="D81" s="5" t="s">
        <v>86</v>
      </c>
      <c r="E81" s="5" t="s">
        <v>157</v>
      </c>
      <c r="F81" s="5" t="s">
        <v>49</v>
      </c>
      <c r="G81" s="5" t="s">
        <v>242</v>
      </c>
      <c r="H81" s="5" t="s">
        <v>217</v>
      </c>
      <c r="I81" s="5" t="s">
        <v>218</v>
      </c>
      <c r="J81" s="5" t="s">
        <v>219</v>
      </c>
      <c r="K81" s="5" t="s">
        <v>220</v>
      </c>
      <c r="L81" s="2"/>
      <c r="M81" s="5" t="s">
        <v>221</v>
      </c>
    </row>
    <row r="82" spans="1:13" ht="10.5" customHeight="1" thickBot="1" x14ac:dyDescent="0.25">
      <c r="A82" s="137"/>
      <c r="B82" s="138"/>
      <c r="C82" s="138"/>
      <c r="D82" s="138"/>
      <c r="E82" s="138"/>
      <c r="F82" s="139"/>
    </row>
    <row r="83" spans="1:13" ht="19.5" hidden="1" customHeight="1" thickBot="1" x14ac:dyDescent="0.25">
      <c r="A83" s="140" t="s">
        <v>55</v>
      </c>
      <c r="B83" s="141"/>
      <c r="C83" s="141"/>
      <c r="D83" s="141"/>
      <c r="E83" s="141"/>
      <c r="F83" s="142"/>
      <c r="G83" s="96" t="s">
        <v>235</v>
      </c>
      <c r="H83" s="97"/>
      <c r="I83" s="97"/>
      <c r="J83" s="97"/>
      <c r="K83" s="98"/>
      <c r="M83" s="52"/>
    </row>
    <row r="84" spans="1:13" ht="36.75" hidden="1" customHeight="1" thickBot="1" x14ac:dyDescent="0.25">
      <c r="A84" s="31" t="s">
        <v>56</v>
      </c>
      <c r="B84" s="78" t="s">
        <v>63</v>
      </c>
      <c r="C84" s="35" t="s">
        <v>26</v>
      </c>
      <c r="D84" s="21">
        <v>214000000</v>
      </c>
      <c r="E84" s="78">
        <v>2015</v>
      </c>
      <c r="F84" s="12" t="s">
        <v>132</v>
      </c>
      <c r="G84" s="38">
        <v>0</v>
      </c>
      <c r="H84" s="38">
        <v>0</v>
      </c>
      <c r="I84" s="38">
        <f t="shared" ref="I84:I98" si="42">G84-H84</f>
        <v>0</v>
      </c>
      <c r="J84" s="38">
        <f t="shared" ref="J84:J98" si="43">D84-H84</f>
        <v>214000000</v>
      </c>
      <c r="K84" s="39">
        <f t="shared" ref="K84:K98" si="44">H84/D84</f>
        <v>0</v>
      </c>
      <c r="L84" s="2"/>
      <c r="M84" s="40">
        <f t="shared" ref="M84:M98" si="45">D84-G84</f>
        <v>214000000</v>
      </c>
    </row>
    <row r="85" spans="1:13" ht="36.75" hidden="1" customHeight="1" thickBot="1" x14ac:dyDescent="0.25">
      <c r="A85" s="31" t="s">
        <v>181</v>
      </c>
      <c r="B85" s="78" t="s">
        <v>63</v>
      </c>
      <c r="C85" s="35" t="s">
        <v>26</v>
      </c>
      <c r="D85" s="21">
        <v>146000000</v>
      </c>
      <c r="E85" s="78">
        <v>2015</v>
      </c>
      <c r="F85" s="12" t="s">
        <v>132</v>
      </c>
      <c r="G85" s="38">
        <v>0</v>
      </c>
      <c r="H85" s="38">
        <v>0</v>
      </c>
      <c r="I85" s="38">
        <f t="shared" si="42"/>
        <v>0</v>
      </c>
      <c r="J85" s="38">
        <f t="shared" si="43"/>
        <v>146000000</v>
      </c>
      <c r="K85" s="39">
        <f t="shared" si="44"/>
        <v>0</v>
      </c>
      <c r="L85" s="2"/>
      <c r="M85" s="40">
        <f t="shared" si="45"/>
        <v>146000000</v>
      </c>
    </row>
    <row r="86" spans="1:13" ht="36.75" hidden="1" customHeight="1" thickBot="1" x14ac:dyDescent="0.25">
      <c r="A86" s="68" t="s">
        <v>57</v>
      </c>
      <c r="B86" s="69" t="s">
        <v>63</v>
      </c>
      <c r="C86" s="70" t="s">
        <v>27</v>
      </c>
      <c r="D86" s="71">
        <v>650000000</v>
      </c>
      <c r="E86" s="69">
        <v>2015</v>
      </c>
      <c r="F86" s="72" t="s">
        <v>132</v>
      </c>
      <c r="G86" s="73"/>
      <c r="H86" s="73"/>
      <c r="I86" s="73">
        <f t="shared" si="42"/>
        <v>0</v>
      </c>
      <c r="J86" s="73">
        <f t="shared" si="43"/>
        <v>650000000</v>
      </c>
      <c r="K86" s="74">
        <f t="shared" si="44"/>
        <v>0</v>
      </c>
      <c r="L86" s="2"/>
      <c r="M86" s="75">
        <f t="shared" si="45"/>
        <v>650000000</v>
      </c>
    </row>
    <row r="87" spans="1:13" ht="36.75" hidden="1" customHeight="1" thickBot="1" x14ac:dyDescent="0.25">
      <c r="A87" s="31" t="s">
        <v>182</v>
      </c>
      <c r="B87" s="78" t="s">
        <v>63</v>
      </c>
      <c r="C87" s="36" t="s">
        <v>27</v>
      </c>
      <c r="D87" s="21">
        <v>859000000</v>
      </c>
      <c r="E87" s="78">
        <v>2015</v>
      </c>
      <c r="F87" s="12" t="s">
        <v>132</v>
      </c>
      <c r="G87" s="38">
        <v>0</v>
      </c>
      <c r="H87" s="38">
        <v>0</v>
      </c>
      <c r="I87" s="38">
        <f t="shared" si="42"/>
        <v>0</v>
      </c>
      <c r="J87" s="38">
        <f t="shared" si="43"/>
        <v>859000000</v>
      </c>
      <c r="K87" s="39">
        <f t="shared" si="44"/>
        <v>0</v>
      </c>
      <c r="L87" s="2"/>
      <c r="M87" s="40">
        <f t="shared" si="45"/>
        <v>859000000</v>
      </c>
    </row>
    <row r="88" spans="1:13" ht="36.75" hidden="1" customHeight="1" thickBot="1" x14ac:dyDescent="0.25">
      <c r="A88" s="34" t="s">
        <v>215</v>
      </c>
      <c r="B88" s="78" t="s">
        <v>63</v>
      </c>
      <c r="C88" s="36" t="s">
        <v>27</v>
      </c>
      <c r="D88" s="21">
        <v>590000000</v>
      </c>
      <c r="E88" s="78">
        <v>2015</v>
      </c>
      <c r="F88" s="12" t="s">
        <v>132</v>
      </c>
      <c r="G88" s="38">
        <v>0</v>
      </c>
      <c r="H88" s="38">
        <v>0</v>
      </c>
      <c r="I88" s="38">
        <f t="shared" si="42"/>
        <v>0</v>
      </c>
      <c r="J88" s="38">
        <f t="shared" si="43"/>
        <v>590000000</v>
      </c>
      <c r="K88" s="39">
        <f t="shared" si="44"/>
        <v>0</v>
      </c>
      <c r="L88" s="2"/>
      <c r="M88" s="40">
        <f t="shared" si="45"/>
        <v>590000000</v>
      </c>
    </row>
    <row r="89" spans="1:13" ht="36.75" hidden="1" customHeight="1" thickBot="1" x14ac:dyDescent="0.25">
      <c r="A89" s="31" t="s">
        <v>183</v>
      </c>
      <c r="B89" s="78" t="s">
        <v>63</v>
      </c>
      <c r="C89" s="36" t="s">
        <v>26</v>
      </c>
      <c r="D89" s="21">
        <v>250000000</v>
      </c>
      <c r="E89" s="78">
        <v>2015</v>
      </c>
      <c r="F89" s="12" t="s">
        <v>132</v>
      </c>
      <c r="G89" s="38">
        <v>0</v>
      </c>
      <c r="H89" s="38">
        <v>0</v>
      </c>
      <c r="I89" s="38">
        <f t="shared" si="42"/>
        <v>0</v>
      </c>
      <c r="J89" s="38">
        <f t="shared" si="43"/>
        <v>250000000</v>
      </c>
      <c r="K89" s="39">
        <f t="shared" si="44"/>
        <v>0</v>
      </c>
      <c r="L89" s="2"/>
      <c r="M89" s="40">
        <f t="shared" si="45"/>
        <v>250000000</v>
      </c>
    </row>
    <row r="90" spans="1:13" ht="36.75" hidden="1" customHeight="1" thickBot="1" x14ac:dyDescent="0.25">
      <c r="A90" s="31" t="s">
        <v>58</v>
      </c>
      <c r="B90" s="78" t="s">
        <v>63</v>
      </c>
      <c r="C90" s="36" t="s">
        <v>26</v>
      </c>
      <c r="D90" s="21">
        <v>280000000</v>
      </c>
      <c r="E90" s="78">
        <v>2015</v>
      </c>
      <c r="F90" s="12" t="s">
        <v>132</v>
      </c>
      <c r="G90" s="38">
        <v>0</v>
      </c>
      <c r="H90" s="38">
        <v>0</v>
      </c>
      <c r="I90" s="38">
        <f t="shared" si="42"/>
        <v>0</v>
      </c>
      <c r="J90" s="38">
        <f t="shared" si="43"/>
        <v>280000000</v>
      </c>
      <c r="K90" s="39">
        <f t="shared" si="44"/>
        <v>0</v>
      </c>
      <c r="L90" s="2"/>
      <c r="M90" s="40">
        <f t="shared" si="45"/>
        <v>280000000</v>
      </c>
    </row>
    <row r="91" spans="1:13" ht="36.75" hidden="1" customHeight="1" thickBot="1" x14ac:dyDescent="0.25">
      <c r="A91" s="31" t="s">
        <v>184</v>
      </c>
      <c r="B91" s="78" t="s">
        <v>63</v>
      </c>
      <c r="C91" s="36" t="s">
        <v>26</v>
      </c>
      <c r="D91" s="21">
        <v>70000000</v>
      </c>
      <c r="E91" s="78">
        <v>2015</v>
      </c>
      <c r="F91" s="12" t="s">
        <v>132</v>
      </c>
      <c r="G91" s="38">
        <v>0</v>
      </c>
      <c r="H91" s="38">
        <v>0</v>
      </c>
      <c r="I91" s="38">
        <f t="shared" si="42"/>
        <v>0</v>
      </c>
      <c r="J91" s="38">
        <f t="shared" si="43"/>
        <v>70000000</v>
      </c>
      <c r="K91" s="39">
        <f t="shared" si="44"/>
        <v>0</v>
      </c>
      <c r="L91" s="2"/>
      <c r="M91" s="40">
        <f t="shared" si="45"/>
        <v>70000000</v>
      </c>
    </row>
    <row r="92" spans="1:13" ht="36.75" hidden="1" customHeight="1" thickBot="1" x14ac:dyDescent="0.25">
      <c r="A92" s="31" t="s">
        <v>185</v>
      </c>
      <c r="B92" s="78" t="s">
        <v>63</v>
      </c>
      <c r="C92" s="36" t="s">
        <v>27</v>
      </c>
      <c r="D92" s="21">
        <v>365000000</v>
      </c>
      <c r="E92" s="78">
        <v>2015</v>
      </c>
      <c r="F92" s="12" t="s">
        <v>132</v>
      </c>
      <c r="G92" s="38">
        <v>0</v>
      </c>
      <c r="H92" s="38">
        <v>0</v>
      </c>
      <c r="I92" s="38">
        <f t="shared" si="42"/>
        <v>0</v>
      </c>
      <c r="J92" s="38">
        <f t="shared" si="43"/>
        <v>365000000</v>
      </c>
      <c r="K92" s="39">
        <f t="shared" si="44"/>
        <v>0</v>
      </c>
      <c r="L92" s="2"/>
      <c r="M92" s="40">
        <f t="shared" si="45"/>
        <v>365000000</v>
      </c>
    </row>
    <row r="93" spans="1:13" ht="36.75" hidden="1" customHeight="1" thickBot="1" x14ac:dyDescent="0.25">
      <c r="A93" s="31" t="s">
        <v>186</v>
      </c>
      <c r="B93" s="78" t="s">
        <v>63</v>
      </c>
      <c r="C93" s="36" t="s">
        <v>26</v>
      </c>
      <c r="D93" s="21">
        <v>100000000</v>
      </c>
      <c r="E93" s="78">
        <v>2015</v>
      </c>
      <c r="F93" s="12" t="s">
        <v>132</v>
      </c>
      <c r="G93" s="38">
        <v>0</v>
      </c>
      <c r="H93" s="38">
        <v>0</v>
      </c>
      <c r="I93" s="38">
        <f t="shared" si="42"/>
        <v>0</v>
      </c>
      <c r="J93" s="38">
        <f t="shared" si="43"/>
        <v>100000000</v>
      </c>
      <c r="K93" s="39">
        <f t="shared" si="44"/>
        <v>0</v>
      </c>
      <c r="L93" s="2"/>
      <c r="M93" s="40">
        <f t="shared" si="45"/>
        <v>100000000</v>
      </c>
    </row>
    <row r="94" spans="1:13" ht="36.75" hidden="1" customHeight="1" thickBot="1" x14ac:dyDescent="0.25">
      <c r="A94" s="31" t="s">
        <v>187</v>
      </c>
      <c r="B94" s="78" t="s">
        <v>63</v>
      </c>
      <c r="C94" s="36" t="s">
        <v>27</v>
      </c>
      <c r="D94" s="21">
        <v>750000000</v>
      </c>
      <c r="E94" s="78">
        <v>2015</v>
      </c>
      <c r="F94" s="12" t="s">
        <v>132</v>
      </c>
      <c r="G94" s="38">
        <v>0</v>
      </c>
      <c r="H94" s="38">
        <v>0</v>
      </c>
      <c r="I94" s="38">
        <f t="shared" si="42"/>
        <v>0</v>
      </c>
      <c r="J94" s="38">
        <f t="shared" si="43"/>
        <v>750000000</v>
      </c>
      <c r="K94" s="39">
        <f t="shared" si="44"/>
        <v>0</v>
      </c>
      <c r="L94" s="2"/>
      <c r="M94" s="40">
        <f t="shared" si="45"/>
        <v>750000000</v>
      </c>
    </row>
    <row r="95" spans="1:13" ht="36.75" hidden="1" customHeight="1" thickBot="1" x14ac:dyDescent="0.25">
      <c r="A95" s="31" t="s">
        <v>188</v>
      </c>
      <c r="B95" s="78" t="s">
        <v>63</v>
      </c>
      <c r="C95" s="36" t="s">
        <v>26</v>
      </c>
      <c r="D95" s="21">
        <v>100000000</v>
      </c>
      <c r="E95" s="78">
        <v>2015</v>
      </c>
      <c r="F95" s="12" t="s">
        <v>132</v>
      </c>
      <c r="G95" s="38">
        <v>0</v>
      </c>
      <c r="H95" s="38">
        <v>0</v>
      </c>
      <c r="I95" s="38">
        <f t="shared" si="42"/>
        <v>0</v>
      </c>
      <c r="J95" s="38">
        <f t="shared" si="43"/>
        <v>100000000</v>
      </c>
      <c r="K95" s="39">
        <f t="shared" si="44"/>
        <v>0</v>
      </c>
      <c r="L95" s="2"/>
      <c r="M95" s="40">
        <f t="shared" si="45"/>
        <v>100000000</v>
      </c>
    </row>
    <row r="96" spans="1:13" ht="36.75" hidden="1" customHeight="1" thickBot="1" x14ac:dyDescent="0.25">
      <c r="A96" s="31" t="s">
        <v>189</v>
      </c>
      <c r="B96" s="78" t="s">
        <v>63</v>
      </c>
      <c r="C96" s="36" t="s">
        <v>26</v>
      </c>
      <c r="D96" s="21">
        <v>170000000</v>
      </c>
      <c r="E96" s="78">
        <v>2015</v>
      </c>
      <c r="F96" s="12" t="s">
        <v>132</v>
      </c>
      <c r="G96" s="38">
        <v>0</v>
      </c>
      <c r="H96" s="38">
        <v>0</v>
      </c>
      <c r="I96" s="38">
        <f t="shared" si="42"/>
        <v>0</v>
      </c>
      <c r="J96" s="38">
        <f t="shared" si="43"/>
        <v>170000000</v>
      </c>
      <c r="K96" s="39">
        <f t="shared" si="44"/>
        <v>0</v>
      </c>
      <c r="L96" s="2"/>
      <c r="M96" s="40">
        <f t="shared" si="45"/>
        <v>170000000</v>
      </c>
    </row>
    <row r="97" spans="1:13" ht="36.75" hidden="1" customHeight="1" thickBot="1" x14ac:dyDescent="0.25">
      <c r="A97" s="31" t="s">
        <v>190</v>
      </c>
      <c r="B97" s="78" t="s">
        <v>63</v>
      </c>
      <c r="C97" s="36" t="s">
        <v>26</v>
      </c>
      <c r="D97" s="21">
        <v>100000000</v>
      </c>
      <c r="E97" s="78">
        <v>2015</v>
      </c>
      <c r="F97" s="12" t="s">
        <v>132</v>
      </c>
      <c r="G97" s="38">
        <v>0</v>
      </c>
      <c r="H97" s="38">
        <v>0</v>
      </c>
      <c r="I97" s="38">
        <f t="shared" si="42"/>
        <v>0</v>
      </c>
      <c r="J97" s="38">
        <f t="shared" si="43"/>
        <v>100000000</v>
      </c>
      <c r="K97" s="39">
        <f t="shared" si="44"/>
        <v>0</v>
      </c>
      <c r="L97" s="2"/>
      <c r="M97" s="40">
        <f t="shared" si="45"/>
        <v>100000000</v>
      </c>
    </row>
    <row r="98" spans="1:13" ht="36.75" hidden="1" customHeight="1" thickBot="1" x14ac:dyDescent="0.25">
      <c r="A98" s="31" t="s">
        <v>216</v>
      </c>
      <c r="B98" s="12" t="s">
        <v>63</v>
      </c>
      <c r="C98" s="36" t="s">
        <v>26</v>
      </c>
      <c r="D98" s="21">
        <v>150000000</v>
      </c>
      <c r="E98" s="12">
        <v>2015</v>
      </c>
      <c r="F98" s="12" t="s">
        <v>132</v>
      </c>
      <c r="G98" s="38">
        <v>0</v>
      </c>
      <c r="H98" s="38">
        <v>0</v>
      </c>
      <c r="I98" s="38">
        <f t="shared" si="42"/>
        <v>0</v>
      </c>
      <c r="J98" s="38">
        <f t="shared" si="43"/>
        <v>150000000</v>
      </c>
      <c r="K98" s="39">
        <f t="shared" si="44"/>
        <v>0</v>
      </c>
      <c r="L98" s="2"/>
      <c r="M98" s="40">
        <f t="shared" si="45"/>
        <v>150000000</v>
      </c>
    </row>
    <row r="99" spans="1:13" ht="28.5" hidden="1" customHeight="1" thickBot="1" x14ac:dyDescent="0.25">
      <c r="A99" s="99" t="s">
        <v>64</v>
      </c>
      <c r="B99" s="100"/>
      <c r="C99" s="101"/>
      <c r="D99" s="83">
        <f>SUM(D84:D98)</f>
        <v>4794000000</v>
      </c>
      <c r="E99" s="99"/>
      <c r="F99" s="102"/>
      <c r="G99" s="46">
        <v>1543084913</v>
      </c>
      <c r="H99" s="46">
        <v>1066522899</v>
      </c>
      <c r="I99" s="46">
        <f>G99-H99</f>
        <v>476562014</v>
      </c>
      <c r="J99" s="47">
        <f>D99-H99</f>
        <v>3727477101</v>
      </c>
      <c r="K99" s="48">
        <f>H99/D99</f>
        <v>0.22247035857321651</v>
      </c>
      <c r="L99" s="53"/>
      <c r="M99" s="47">
        <f>D99-G99</f>
        <v>3250915087</v>
      </c>
    </row>
    <row r="100" spans="1:13" ht="14.25" hidden="1" customHeight="1" thickBot="1" x14ac:dyDescent="0.25">
      <c r="A100" s="143" t="s">
        <v>74</v>
      </c>
      <c r="B100" s="144"/>
      <c r="C100" s="144"/>
      <c r="D100" s="144"/>
      <c r="E100" s="144"/>
      <c r="F100" s="145"/>
    </row>
    <row r="101" spans="1:13" ht="18.75" hidden="1" customHeight="1" thickBot="1" x14ac:dyDescent="0.25">
      <c r="A101" s="93" t="s">
        <v>53</v>
      </c>
      <c r="B101" s="94"/>
      <c r="C101" s="94"/>
      <c r="D101" s="94"/>
      <c r="E101" s="94"/>
      <c r="F101" s="95"/>
      <c r="G101" s="96" t="s">
        <v>236</v>
      </c>
      <c r="H101" s="97"/>
      <c r="I101" s="97"/>
      <c r="J101" s="97"/>
      <c r="K101" s="98"/>
      <c r="M101" s="52"/>
    </row>
    <row r="102" spans="1:13" ht="43.5" hidden="1" customHeight="1" thickBot="1" x14ac:dyDescent="0.25">
      <c r="A102" s="31" t="s">
        <v>54</v>
      </c>
      <c r="B102" s="12" t="s">
        <v>3</v>
      </c>
      <c r="C102" s="12" t="s">
        <v>211</v>
      </c>
      <c r="D102" s="21">
        <v>4950000000</v>
      </c>
      <c r="E102" s="12" t="s">
        <v>85</v>
      </c>
      <c r="F102" s="12" t="s">
        <v>132</v>
      </c>
      <c r="G102" s="38">
        <v>2094481900</v>
      </c>
      <c r="H102" s="38">
        <v>0</v>
      </c>
      <c r="I102" s="38">
        <f t="shared" ref="I102:I106" si="46">G102-H102</f>
        <v>2094481900</v>
      </c>
      <c r="J102" s="38">
        <f t="shared" ref="J102:J106" si="47">D102-H102</f>
        <v>4950000000</v>
      </c>
      <c r="K102" s="39">
        <f t="shared" ref="K102:K106" si="48">H102/D102</f>
        <v>0</v>
      </c>
      <c r="L102" s="2"/>
      <c r="M102" s="40">
        <f t="shared" ref="M102:M106" si="49">D102-G102</f>
        <v>2855518100</v>
      </c>
    </row>
    <row r="103" spans="1:13" ht="48" hidden="1" customHeight="1" thickBot="1" x14ac:dyDescent="0.25">
      <c r="A103" s="31" t="s">
        <v>77</v>
      </c>
      <c r="B103" s="12" t="s">
        <v>3</v>
      </c>
      <c r="C103" s="12" t="s">
        <v>211</v>
      </c>
      <c r="D103" s="21">
        <v>333750000</v>
      </c>
      <c r="E103" s="12" t="s">
        <v>85</v>
      </c>
      <c r="F103" s="12" t="s">
        <v>132</v>
      </c>
      <c r="G103" s="38">
        <v>0</v>
      </c>
      <c r="H103" s="38">
        <v>0</v>
      </c>
      <c r="I103" s="38">
        <f t="shared" si="46"/>
        <v>0</v>
      </c>
      <c r="J103" s="38">
        <f t="shared" si="47"/>
        <v>333750000</v>
      </c>
      <c r="K103" s="39">
        <f t="shared" si="48"/>
        <v>0</v>
      </c>
      <c r="L103" s="2"/>
      <c r="M103" s="40">
        <f t="shared" si="49"/>
        <v>333750000</v>
      </c>
    </row>
    <row r="104" spans="1:13" ht="47.25" hidden="1" customHeight="1" thickBot="1" x14ac:dyDescent="0.25">
      <c r="A104" s="31" t="s">
        <v>78</v>
      </c>
      <c r="B104" s="25" t="s">
        <v>3</v>
      </c>
      <c r="C104" s="12" t="s">
        <v>211</v>
      </c>
      <c r="D104" s="21">
        <v>600000000</v>
      </c>
      <c r="E104" s="12" t="s">
        <v>85</v>
      </c>
      <c r="F104" s="22" t="s">
        <v>132</v>
      </c>
      <c r="G104" s="38">
        <v>0</v>
      </c>
      <c r="H104" s="38">
        <v>0</v>
      </c>
      <c r="I104" s="38">
        <f t="shared" si="46"/>
        <v>0</v>
      </c>
      <c r="J104" s="38">
        <f t="shared" si="47"/>
        <v>600000000</v>
      </c>
      <c r="K104" s="39">
        <f t="shared" si="48"/>
        <v>0</v>
      </c>
      <c r="L104" s="2"/>
      <c r="M104" s="40">
        <f t="shared" si="49"/>
        <v>600000000</v>
      </c>
    </row>
    <row r="105" spans="1:13" ht="45" hidden="1" customHeight="1" thickBot="1" x14ac:dyDescent="0.25">
      <c r="A105" s="31" t="s">
        <v>197</v>
      </c>
      <c r="B105" s="12" t="s">
        <v>3</v>
      </c>
      <c r="C105" s="12" t="s">
        <v>211</v>
      </c>
      <c r="D105" s="21">
        <v>400000000</v>
      </c>
      <c r="E105" s="12" t="s">
        <v>85</v>
      </c>
      <c r="F105" s="12" t="s">
        <v>132</v>
      </c>
      <c r="G105" s="38">
        <v>0</v>
      </c>
      <c r="H105" s="38">
        <v>0</v>
      </c>
      <c r="I105" s="38">
        <f t="shared" si="46"/>
        <v>0</v>
      </c>
      <c r="J105" s="38">
        <f t="shared" si="47"/>
        <v>400000000</v>
      </c>
      <c r="K105" s="39">
        <f t="shared" si="48"/>
        <v>0</v>
      </c>
      <c r="L105" s="2"/>
      <c r="M105" s="40">
        <f t="shared" si="49"/>
        <v>400000000</v>
      </c>
    </row>
    <row r="106" spans="1:13" ht="47.25" hidden="1" customHeight="1" thickBot="1" x14ac:dyDescent="0.25">
      <c r="A106" s="31" t="s">
        <v>156</v>
      </c>
      <c r="B106" s="12" t="s">
        <v>3</v>
      </c>
      <c r="C106" s="12" t="s">
        <v>211</v>
      </c>
      <c r="D106" s="21">
        <v>1150000000</v>
      </c>
      <c r="E106" s="28" t="s">
        <v>85</v>
      </c>
      <c r="F106" s="12" t="s">
        <v>132</v>
      </c>
      <c r="G106" s="38">
        <v>0</v>
      </c>
      <c r="H106" s="38">
        <v>0</v>
      </c>
      <c r="I106" s="38">
        <f t="shared" si="46"/>
        <v>0</v>
      </c>
      <c r="J106" s="38">
        <f t="shared" si="47"/>
        <v>1150000000</v>
      </c>
      <c r="K106" s="39">
        <f t="shared" si="48"/>
        <v>0</v>
      </c>
      <c r="L106" s="2"/>
      <c r="M106" s="40">
        <f t="shared" si="49"/>
        <v>1150000000</v>
      </c>
    </row>
    <row r="107" spans="1:13" ht="20.100000000000001" hidden="1" customHeight="1" thickBot="1" x14ac:dyDescent="0.25">
      <c r="A107" s="99" t="s">
        <v>65</v>
      </c>
      <c r="B107" s="100"/>
      <c r="C107" s="101"/>
      <c r="D107" s="59">
        <f>SUM(D102:D106)</f>
        <v>7433750000</v>
      </c>
      <c r="E107" s="99"/>
      <c r="F107" s="102"/>
      <c r="G107" s="46">
        <f>SUM(G102:G106)</f>
        <v>2094481900</v>
      </c>
      <c r="H107" s="46">
        <f>SUM(H102:H106)</f>
        <v>0</v>
      </c>
      <c r="I107" s="46">
        <f>G107-H107</f>
        <v>2094481900</v>
      </c>
      <c r="J107" s="47">
        <f>D107-H107</f>
        <v>7433750000</v>
      </c>
      <c r="K107" s="48">
        <f>H107/D107</f>
        <v>0</v>
      </c>
      <c r="M107" s="47">
        <f>D107-G107</f>
        <v>5339268100</v>
      </c>
    </row>
    <row r="108" spans="1:13" ht="10.5" hidden="1" customHeight="1" thickBot="1" x14ac:dyDescent="0.25">
      <c r="A108" s="128"/>
      <c r="B108" s="129"/>
      <c r="C108" s="129"/>
      <c r="D108" s="129"/>
      <c r="E108" s="129"/>
      <c r="F108" s="130"/>
    </row>
    <row r="109" spans="1:13" ht="20.100000000000001" hidden="1" customHeight="1" thickBot="1" x14ac:dyDescent="0.25">
      <c r="A109" s="93" t="s">
        <v>158</v>
      </c>
      <c r="B109" s="94"/>
      <c r="C109" s="94"/>
      <c r="D109" s="94"/>
      <c r="E109" s="94"/>
      <c r="F109" s="95"/>
      <c r="G109" s="96" t="s">
        <v>237</v>
      </c>
      <c r="H109" s="97"/>
      <c r="I109" s="97"/>
      <c r="J109" s="97"/>
      <c r="K109" s="98"/>
      <c r="M109" s="52"/>
    </row>
    <row r="110" spans="1:13" ht="20.100000000000001" hidden="1" customHeight="1" thickBot="1" x14ac:dyDescent="0.25">
      <c r="A110" s="118"/>
      <c r="B110" s="119"/>
      <c r="C110" s="120"/>
      <c r="D110" s="120"/>
      <c r="E110" s="119"/>
      <c r="F110" s="121"/>
    </row>
    <row r="111" spans="1:13" ht="41.25" hidden="1" customHeight="1" thickBot="1" x14ac:dyDescent="0.25">
      <c r="A111" s="31" t="s">
        <v>159</v>
      </c>
      <c r="B111" s="12" t="s">
        <v>68</v>
      </c>
      <c r="C111" s="12" t="s">
        <v>211</v>
      </c>
      <c r="D111" s="21">
        <v>80000000</v>
      </c>
      <c r="E111" s="12" t="s">
        <v>85</v>
      </c>
      <c r="F111" s="12" t="s">
        <v>132</v>
      </c>
      <c r="G111" s="38">
        <v>0</v>
      </c>
      <c r="H111" s="38">
        <v>0</v>
      </c>
      <c r="I111" s="38">
        <f t="shared" ref="I111:I113" si="50">G111-H111</f>
        <v>0</v>
      </c>
      <c r="J111" s="38">
        <f t="shared" ref="J111:J113" si="51">D111-H111</f>
        <v>80000000</v>
      </c>
      <c r="K111" s="39">
        <f t="shared" ref="K111:K113" si="52">H111/D111</f>
        <v>0</v>
      </c>
      <c r="L111" s="2"/>
      <c r="M111" s="40">
        <f t="shared" ref="M111:M113" si="53">D111-G111</f>
        <v>80000000</v>
      </c>
    </row>
    <row r="112" spans="1:13" ht="44.25" hidden="1" customHeight="1" thickBot="1" x14ac:dyDescent="0.25">
      <c r="A112" s="31" t="s">
        <v>160</v>
      </c>
      <c r="B112" s="12" t="s">
        <v>68</v>
      </c>
      <c r="C112" s="12" t="s">
        <v>211</v>
      </c>
      <c r="D112" s="21">
        <v>2060000000</v>
      </c>
      <c r="E112" s="12" t="s">
        <v>85</v>
      </c>
      <c r="F112" s="12" t="s">
        <v>132</v>
      </c>
      <c r="G112" s="38">
        <v>0</v>
      </c>
      <c r="H112" s="38">
        <v>0</v>
      </c>
      <c r="I112" s="38">
        <f t="shared" si="50"/>
        <v>0</v>
      </c>
      <c r="J112" s="38">
        <f t="shared" si="51"/>
        <v>2060000000</v>
      </c>
      <c r="K112" s="39">
        <f t="shared" si="52"/>
        <v>0</v>
      </c>
      <c r="L112" s="2"/>
      <c r="M112" s="40">
        <f t="shared" si="53"/>
        <v>2060000000</v>
      </c>
    </row>
    <row r="113" spans="1:14" ht="44.25" hidden="1" customHeight="1" thickBot="1" x14ac:dyDescent="0.25">
      <c r="A113" s="31" t="s">
        <v>161</v>
      </c>
      <c r="B113" s="12" t="s">
        <v>68</v>
      </c>
      <c r="C113" s="12" t="s">
        <v>211</v>
      </c>
      <c r="D113" s="21">
        <v>1990000000</v>
      </c>
      <c r="E113" s="12" t="s">
        <v>85</v>
      </c>
      <c r="F113" s="22" t="s">
        <v>132</v>
      </c>
      <c r="G113" s="38">
        <f>261642000+10450000+8000000+7470000+25000000+34000000+99770240</f>
        <v>446332240</v>
      </c>
      <c r="H113" s="38">
        <f>285862540+59000000</f>
        <v>344862540</v>
      </c>
      <c r="I113" s="38">
        <f t="shared" si="50"/>
        <v>101469700</v>
      </c>
      <c r="J113" s="38">
        <f t="shared" si="51"/>
        <v>1645137460</v>
      </c>
      <c r="K113" s="39">
        <f t="shared" si="52"/>
        <v>0.17329775879396986</v>
      </c>
      <c r="L113" s="2"/>
      <c r="M113" s="40">
        <f t="shared" si="53"/>
        <v>1543667760</v>
      </c>
    </row>
    <row r="114" spans="1:14" ht="27" hidden="1" customHeight="1" thickBot="1" x14ac:dyDescent="0.25">
      <c r="A114" s="99" t="s">
        <v>67</v>
      </c>
      <c r="B114" s="100"/>
      <c r="C114" s="101"/>
      <c r="D114" s="59">
        <f>SUM(D111:D113)</f>
        <v>4130000000</v>
      </c>
      <c r="E114" s="99"/>
      <c r="F114" s="102"/>
      <c r="G114" s="46">
        <v>446332240</v>
      </c>
      <c r="H114" s="46">
        <v>344862540</v>
      </c>
      <c r="I114" s="46">
        <f>G114-H114</f>
        <v>101469700</v>
      </c>
      <c r="J114" s="47">
        <f>D114-H114</f>
        <v>3785137460</v>
      </c>
      <c r="K114" s="48">
        <f>H114/D114</f>
        <v>8.3501825665859564E-2</v>
      </c>
      <c r="L114" s="53"/>
      <c r="M114" s="47">
        <f>D114-G114</f>
        <v>3683667760</v>
      </c>
      <c r="N114" s="77">
        <f>+H114-H113</f>
        <v>0</v>
      </c>
    </row>
    <row r="115" spans="1:14" ht="10.5" hidden="1" customHeight="1" thickBot="1" x14ac:dyDescent="0.25">
      <c r="A115" s="13"/>
      <c r="B115" s="14"/>
      <c r="C115" s="14"/>
      <c r="D115" s="15"/>
      <c r="E115" s="80"/>
      <c r="F115" s="81"/>
    </row>
    <row r="116" spans="1:14" ht="20.100000000000001" customHeight="1" thickBot="1" x14ac:dyDescent="0.25">
      <c r="A116" s="122" t="s">
        <v>62</v>
      </c>
      <c r="B116" s="123"/>
      <c r="C116" s="123"/>
      <c r="D116" s="123"/>
      <c r="E116" s="123"/>
      <c r="F116" s="124"/>
      <c r="G116" s="96" t="s">
        <v>238</v>
      </c>
      <c r="H116" s="97"/>
      <c r="I116" s="97"/>
      <c r="J116" s="97"/>
      <c r="K116" s="98"/>
      <c r="M116" s="52"/>
    </row>
    <row r="117" spans="1:14" ht="32.25" hidden="1" thickBot="1" x14ac:dyDescent="0.25">
      <c r="A117" s="31" t="s">
        <v>162</v>
      </c>
      <c r="B117" s="23" t="s">
        <v>167</v>
      </c>
      <c r="C117" s="125" t="s">
        <v>166</v>
      </c>
      <c r="D117" s="21">
        <v>1400000000</v>
      </c>
      <c r="E117" s="12" t="s">
        <v>85</v>
      </c>
      <c r="F117" s="12" t="s">
        <v>132</v>
      </c>
      <c r="G117" s="38">
        <v>0</v>
      </c>
      <c r="H117" s="38">
        <v>0</v>
      </c>
      <c r="I117" s="38">
        <f t="shared" ref="I117:I120" si="54">G117-H117</f>
        <v>0</v>
      </c>
      <c r="J117" s="38">
        <f t="shared" ref="J117:J120" si="55">D117-H117</f>
        <v>1400000000</v>
      </c>
      <c r="K117" s="39">
        <f t="shared" ref="K117:K120" si="56">H117/D117</f>
        <v>0</v>
      </c>
      <c r="L117" s="2"/>
      <c r="M117" s="40">
        <f t="shared" ref="M117:M120" si="57">D117-G117</f>
        <v>1400000000</v>
      </c>
    </row>
    <row r="118" spans="1:14" ht="32.25" hidden="1" thickBot="1" x14ac:dyDescent="0.25">
      <c r="A118" s="31" t="s">
        <v>163</v>
      </c>
      <c r="B118" s="28" t="s">
        <v>126</v>
      </c>
      <c r="C118" s="126"/>
      <c r="D118" s="21">
        <v>960000000</v>
      </c>
      <c r="E118" s="12" t="s">
        <v>85</v>
      </c>
      <c r="F118" s="12" t="s">
        <v>132</v>
      </c>
      <c r="G118" s="38"/>
      <c r="H118" s="38"/>
      <c r="I118" s="38">
        <f t="shared" si="54"/>
        <v>0</v>
      </c>
      <c r="J118" s="38">
        <f t="shared" si="55"/>
        <v>960000000</v>
      </c>
      <c r="K118" s="39">
        <f t="shared" si="56"/>
        <v>0</v>
      </c>
      <c r="L118" s="2"/>
      <c r="M118" s="40">
        <f t="shared" si="57"/>
        <v>960000000</v>
      </c>
    </row>
    <row r="119" spans="1:14" ht="32.25" hidden="1" thickBot="1" x14ac:dyDescent="0.25">
      <c r="A119" s="31" t="s">
        <v>164</v>
      </c>
      <c r="B119" s="23" t="s">
        <v>168</v>
      </c>
      <c r="C119" s="126"/>
      <c r="D119" s="21">
        <v>510000000</v>
      </c>
      <c r="E119" s="12" t="s">
        <v>85</v>
      </c>
      <c r="F119" s="12" t="s">
        <v>132</v>
      </c>
      <c r="G119" s="38"/>
      <c r="H119" s="38"/>
      <c r="I119" s="38">
        <f t="shared" si="54"/>
        <v>0</v>
      </c>
      <c r="J119" s="38">
        <f t="shared" si="55"/>
        <v>510000000</v>
      </c>
      <c r="K119" s="39">
        <f t="shared" si="56"/>
        <v>0</v>
      </c>
      <c r="L119" s="2"/>
      <c r="M119" s="40">
        <f t="shared" si="57"/>
        <v>510000000</v>
      </c>
    </row>
    <row r="120" spans="1:14" ht="39" hidden="1" customHeight="1" thickBot="1" x14ac:dyDescent="0.25">
      <c r="A120" s="31" t="s">
        <v>165</v>
      </c>
      <c r="B120" s="23" t="s">
        <v>176</v>
      </c>
      <c r="C120" s="127"/>
      <c r="D120" s="21">
        <v>750000000</v>
      </c>
      <c r="E120" s="12" t="s">
        <v>85</v>
      </c>
      <c r="F120" s="12" t="s">
        <v>132</v>
      </c>
      <c r="G120" s="38"/>
      <c r="H120" s="38"/>
      <c r="I120" s="38">
        <f t="shared" si="54"/>
        <v>0</v>
      </c>
      <c r="J120" s="38">
        <f t="shared" si="55"/>
        <v>750000000</v>
      </c>
      <c r="K120" s="39">
        <f t="shared" si="56"/>
        <v>0</v>
      </c>
      <c r="L120" s="2"/>
      <c r="M120" s="40">
        <f t="shared" si="57"/>
        <v>750000000</v>
      </c>
    </row>
    <row r="121" spans="1:14" ht="18" customHeight="1" thickBot="1" x14ac:dyDescent="0.25">
      <c r="A121" s="99" t="s">
        <v>72</v>
      </c>
      <c r="B121" s="100"/>
      <c r="C121" s="101"/>
      <c r="D121" s="66">
        <f>SUM(D117:D120)</f>
        <v>3620000000</v>
      </c>
      <c r="E121" s="99"/>
      <c r="F121" s="102"/>
      <c r="G121" s="46">
        <v>1828281383</v>
      </c>
      <c r="H121" s="46">
        <v>919300535</v>
      </c>
      <c r="I121" s="46">
        <f>G121-H121</f>
        <v>908980848</v>
      </c>
      <c r="J121" s="47">
        <f>D121-H121</f>
        <v>2700699465</v>
      </c>
      <c r="K121" s="48">
        <f>H121/D121</f>
        <v>0.25395042403314916</v>
      </c>
      <c r="L121" s="53"/>
      <c r="M121" s="47">
        <f>D121-G121</f>
        <v>1791718617</v>
      </c>
    </row>
    <row r="122" spans="1:14" s="2" customFormat="1" ht="10.5" customHeight="1" thickBot="1" x14ac:dyDescent="0.25">
      <c r="A122" s="13"/>
      <c r="B122" s="14"/>
      <c r="C122" s="14"/>
      <c r="D122" s="19"/>
      <c r="E122" s="80"/>
      <c r="F122" s="81"/>
    </row>
    <row r="123" spans="1:14" ht="20.100000000000001" customHeight="1" thickBot="1" x14ac:dyDescent="0.25">
      <c r="A123" s="122" t="s">
        <v>52</v>
      </c>
      <c r="B123" s="123"/>
      <c r="C123" s="123"/>
      <c r="D123" s="123"/>
      <c r="E123" s="123"/>
      <c r="F123" s="124"/>
      <c r="G123" s="96" t="s">
        <v>239</v>
      </c>
      <c r="H123" s="97"/>
      <c r="I123" s="97"/>
      <c r="J123" s="97"/>
      <c r="K123" s="98"/>
      <c r="M123" s="52"/>
    </row>
    <row r="124" spans="1:14" ht="69" customHeight="1" thickBot="1" x14ac:dyDescent="0.25">
      <c r="A124" s="31" t="s">
        <v>179</v>
      </c>
      <c r="B124" s="12" t="s">
        <v>170</v>
      </c>
      <c r="C124" s="20" t="s">
        <v>27</v>
      </c>
      <c r="D124" s="32">
        <v>7815802050</v>
      </c>
      <c r="E124" s="12" t="s">
        <v>85</v>
      </c>
      <c r="F124" s="12" t="s">
        <v>132</v>
      </c>
      <c r="G124" s="38">
        <v>0</v>
      </c>
      <c r="H124" s="38">
        <v>0</v>
      </c>
      <c r="I124" s="38">
        <f t="shared" ref="I124:I128" si="58">G124-H124</f>
        <v>0</v>
      </c>
      <c r="J124" s="38">
        <f t="shared" ref="J124:J128" si="59">D124-H124</f>
        <v>7815802050</v>
      </c>
      <c r="K124" s="39">
        <f t="shared" ref="K124:K128" si="60">H124/D124</f>
        <v>0</v>
      </c>
      <c r="L124" s="2"/>
      <c r="M124" s="40">
        <f t="shared" ref="M124:M128" si="61">D124-G124</f>
        <v>7815802050</v>
      </c>
    </row>
    <row r="125" spans="1:14" ht="34.5" customHeight="1" thickBot="1" x14ac:dyDescent="0.25">
      <c r="A125" s="34" t="s">
        <v>198</v>
      </c>
      <c r="B125" s="12" t="s">
        <v>170</v>
      </c>
      <c r="C125" s="20" t="s">
        <v>25</v>
      </c>
      <c r="D125" s="32">
        <v>76447950</v>
      </c>
      <c r="E125" s="12" t="s">
        <v>85</v>
      </c>
      <c r="F125" s="12" t="s">
        <v>132</v>
      </c>
      <c r="G125" s="38">
        <v>0</v>
      </c>
      <c r="H125" s="38">
        <v>0</v>
      </c>
      <c r="I125" s="38">
        <f t="shared" si="58"/>
        <v>0</v>
      </c>
      <c r="J125" s="38">
        <f t="shared" si="59"/>
        <v>76447950</v>
      </c>
      <c r="K125" s="39">
        <f t="shared" si="60"/>
        <v>0</v>
      </c>
      <c r="L125" s="2"/>
      <c r="M125" s="40">
        <f t="shared" si="61"/>
        <v>76447950</v>
      </c>
    </row>
    <row r="126" spans="1:14" ht="36.75" customHeight="1" thickBot="1" x14ac:dyDescent="0.25">
      <c r="A126" s="31" t="s">
        <v>177</v>
      </c>
      <c r="B126" s="12" t="s">
        <v>170</v>
      </c>
      <c r="C126" s="20" t="s">
        <v>27</v>
      </c>
      <c r="D126" s="32">
        <v>4000000000</v>
      </c>
      <c r="E126" s="12" t="s">
        <v>85</v>
      </c>
      <c r="F126" s="22" t="s">
        <v>132</v>
      </c>
      <c r="G126" s="38">
        <v>0</v>
      </c>
      <c r="H126" s="38">
        <v>0</v>
      </c>
      <c r="I126" s="38">
        <f t="shared" si="58"/>
        <v>0</v>
      </c>
      <c r="J126" s="38">
        <f t="shared" si="59"/>
        <v>4000000000</v>
      </c>
      <c r="K126" s="39">
        <f t="shared" si="60"/>
        <v>0</v>
      </c>
      <c r="L126" s="2"/>
      <c r="M126" s="40">
        <f t="shared" si="61"/>
        <v>4000000000</v>
      </c>
    </row>
    <row r="127" spans="1:14" ht="35.25" customHeight="1" thickBot="1" x14ac:dyDescent="0.25">
      <c r="A127" s="31" t="s">
        <v>178</v>
      </c>
      <c r="B127" s="12" t="s">
        <v>170</v>
      </c>
      <c r="C127" s="20" t="s">
        <v>26</v>
      </c>
      <c r="D127" s="32">
        <v>180000000</v>
      </c>
      <c r="E127" s="12" t="s">
        <v>85</v>
      </c>
      <c r="F127" s="22" t="s">
        <v>132</v>
      </c>
      <c r="G127" s="38">
        <f>11069298+15464400+60000000+63600000+75600000+15000000+15000000+15500000-35533698</f>
        <v>235700000</v>
      </c>
      <c r="H127" s="38">
        <f>26533698+60000000+63600000+50400000+15000000-35533698</f>
        <v>180000000</v>
      </c>
      <c r="I127" s="38">
        <f t="shared" si="58"/>
        <v>55700000</v>
      </c>
      <c r="J127" s="38">
        <f>D127-H127</f>
        <v>0</v>
      </c>
      <c r="K127" s="39">
        <f t="shared" si="60"/>
        <v>1</v>
      </c>
      <c r="L127" s="2"/>
      <c r="M127" s="40">
        <f t="shared" si="61"/>
        <v>-55700000</v>
      </c>
    </row>
    <row r="128" spans="1:14" ht="39.75" customHeight="1" thickBot="1" x14ac:dyDescent="0.25">
      <c r="A128" s="31" t="s">
        <v>180</v>
      </c>
      <c r="B128" s="12" t="s">
        <v>170</v>
      </c>
      <c r="C128" s="20" t="s">
        <v>26</v>
      </c>
      <c r="D128" s="32">
        <v>150000000</v>
      </c>
      <c r="E128" s="12" t="s">
        <v>85</v>
      </c>
      <c r="F128" s="22" t="s">
        <v>132</v>
      </c>
      <c r="G128" s="38">
        <f>35533698+8300000</f>
        <v>43833698</v>
      </c>
      <c r="H128" s="38">
        <f>35533698+7500000</f>
        <v>43033698</v>
      </c>
      <c r="I128" s="38">
        <f t="shared" si="58"/>
        <v>800000</v>
      </c>
      <c r="J128" s="38">
        <f t="shared" si="59"/>
        <v>106966302</v>
      </c>
      <c r="K128" s="39">
        <f t="shared" si="60"/>
        <v>0.28689132000000001</v>
      </c>
      <c r="L128" s="2"/>
      <c r="M128" s="40">
        <f t="shared" si="61"/>
        <v>106166302</v>
      </c>
    </row>
    <row r="129" spans="1:14" ht="29.25" customHeight="1" thickBot="1" x14ac:dyDescent="0.25">
      <c r="A129" s="99" t="s">
        <v>71</v>
      </c>
      <c r="B129" s="117"/>
      <c r="C129" s="102"/>
      <c r="D129" s="60">
        <f>SUM(D124:D128)</f>
        <v>12222250000</v>
      </c>
      <c r="E129" s="99"/>
      <c r="F129" s="102"/>
      <c r="G129" s="46">
        <f>SUM(G124:G128)</f>
        <v>279533698</v>
      </c>
      <c r="H129" s="46">
        <f>SUM(H124:H128)</f>
        <v>223033698</v>
      </c>
      <c r="I129" s="46">
        <f>G129-H129</f>
        <v>56500000</v>
      </c>
      <c r="J129" s="49">
        <f>D129-H129</f>
        <v>11999216302</v>
      </c>
      <c r="K129" s="48">
        <f>H129/D129</f>
        <v>1.8248170181431406E-2</v>
      </c>
      <c r="L129" s="53"/>
      <c r="M129" s="47">
        <f>D129-G129</f>
        <v>11942716302</v>
      </c>
      <c r="N129" s="40"/>
    </row>
    <row r="130" spans="1:14" s="2" customFormat="1" ht="13.5" customHeight="1" thickBot="1" x14ac:dyDescent="0.25">
      <c r="A130" s="108"/>
      <c r="B130" s="109"/>
      <c r="C130" s="109"/>
      <c r="D130" s="109"/>
      <c r="E130" s="109"/>
      <c r="F130" s="110"/>
    </row>
    <row r="131" spans="1:14" ht="20.100000000000001" customHeight="1" thickBot="1" x14ac:dyDescent="0.25">
      <c r="A131" s="111" t="s">
        <v>199</v>
      </c>
      <c r="B131" s="112"/>
      <c r="C131" s="112"/>
      <c r="D131" s="112"/>
      <c r="E131" s="112"/>
      <c r="F131" s="113"/>
      <c r="G131" s="96" t="s">
        <v>240</v>
      </c>
      <c r="H131" s="97"/>
      <c r="I131" s="97"/>
      <c r="J131" s="97"/>
      <c r="K131" s="98"/>
      <c r="M131" s="52"/>
    </row>
    <row r="132" spans="1:14" ht="20.100000000000001" hidden="1" customHeight="1" thickBot="1" x14ac:dyDescent="0.25">
      <c r="A132" s="31" t="s">
        <v>59</v>
      </c>
      <c r="B132" s="23" t="s">
        <v>70</v>
      </c>
      <c r="C132" s="114" t="s">
        <v>166</v>
      </c>
      <c r="D132" s="21">
        <v>620000000</v>
      </c>
      <c r="E132" s="12" t="s">
        <v>85</v>
      </c>
      <c r="F132" s="12" t="s">
        <v>70</v>
      </c>
      <c r="G132" s="38"/>
      <c r="H132" s="38"/>
      <c r="I132" s="38">
        <f t="shared" ref="I132:I134" si="62">G132-H132</f>
        <v>0</v>
      </c>
      <c r="J132" s="38">
        <f t="shared" ref="J132:J134" si="63">D132-H132</f>
        <v>620000000</v>
      </c>
      <c r="K132" s="39">
        <f t="shared" ref="K132:K134" si="64">H132/D132</f>
        <v>0</v>
      </c>
      <c r="L132" s="2"/>
      <c r="M132" s="40"/>
    </row>
    <row r="133" spans="1:14" ht="33.75" hidden="1" customHeight="1" thickBot="1" x14ac:dyDescent="0.25">
      <c r="A133" s="31" t="s">
        <v>60</v>
      </c>
      <c r="B133" s="12" t="s">
        <v>70</v>
      </c>
      <c r="C133" s="115"/>
      <c r="D133" s="21">
        <v>1460000000</v>
      </c>
      <c r="E133" s="12" t="s">
        <v>85</v>
      </c>
      <c r="F133" s="12" t="s">
        <v>70</v>
      </c>
      <c r="G133" s="38"/>
      <c r="H133" s="38"/>
      <c r="I133" s="38">
        <f t="shared" si="62"/>
        <v>0</v>
      </c>
      <c r="J133" s="38">
        <f t="shared" si="63"/>
        <v>1460000000</v>
      </c>
      <c r="K133" s="39">
        <f t="shared" si="64"/>
        <v>0</v>
      </c>
      <c r="L133" s="2"/>
      <c r="M133" s="40"/>
    </row>
    <row r="134" spans="1:14" ht="20.100000000000001" hidden="1" customHeight="1" thickBot="1" x14ac:dyDescent="0.25">
      <c r="A134" s="31" t="s">
        <v>61</v>
      </c>
      <c r="B134" s="12" t="s">
        <v>70</v>
      </c>
      <c r="C134" s="116"/>
      <c r="D134" s="21">
        <v>420000000</v>
      </c>
      <c r="E134" s="12" t="s">
        <v>85</v>
      </c>
      <c r="F134" s="12" t="s">
        <v>70</v>
      </c>
      <c r="G134" s="38">
        <v>0</v>
      </c>
      <c r="H134" s="38"/>
      <c r="I134" s="38">
        <f t="shared" si="62"/>
        <v>0</v>
      </c>
      <c r="J134" s="38">
        <f t="shared" si="63"/>
        <v>420000000</v>
      </c>
      <c r="K134" s="39">
        <f t="shared" si="64"/>
        <v>0</v>
      </c>
      <c r="L134" s="2"/>
      <c r="M134" s="40"/>
    </row>
    <row r="135" spans="1:14" ht="25.5" customHeight="1" thickBot="1" x14ac:dyDescent="0.25">
      <c r="A135" s="99" t="s">
        <v>200</v>
      </c>
      <c r="B135" s="100"/>
      <c r="C135" s="101"/>
      <c r="D135" s="60">
        <f>SUM(D132:D134)</f>
        <v>2500000000</v>
      </c>
      <c r="E135" s="99"/>
      <c r="F135" s="102"/>
      <c r="G135" s="46">
        <v>1707091571</v>
      </c>
      <c r="H135" s="46">
        <v>1293073333</v>
      </c>
      <c r="I135" s="46">
        <f>G135-H135</f>
        <v>414018238</v>
      </c>
      <c r="J135" s="47">
        <f>D135-H135</f>
        <v>1206926667</v>
      </c>
      <c r="K135" s="48">
        <f>H135/D135</f>
        <v>0.51722933319999997</v>
      </c>
      <c r="L135" s="53"/>
      <c r="M135" s="47">
        <f>D135-G135</f>
        <v>792908429</v>
      </c>
    </row>
    <row r="136" spans="1:14" s="2" customFormat="1" ht="10.5" customHeight="1" thickBot="1" x14ac:dyDescent="0.25">
      <c r="A136" s="16"/>
      <c r="B136" s="17"/>
      <c r="C136" s="17"/>
      <c r="D136" s="17"/>
      <c r="E136" s="17"/>
      <c r="F136" s="18"/>
    </row>
    <row r="137" spans="1:14" ht="20.100000000000001" customHeight="1" thickBot="1" x14ac:dyDescent="0.25">
      <c r="A137" s="93" t="s">
        <v>51</v>
      </c>
      <c r="B137" s="94"/>
      <c r="C137" s="94"/>
      <c r="D137" s="94"/>
      <c r="E137" s="94"/>
      <c r="F137" s="95"/>
      <c r="G137" s="96" t="s">
        <v>51</v>
      </c>
      <c r="H137" s="97"/>
      <c r="I137" s="97"/>
      <c r="J137" s="97"/>
      <c r="K137" s="98"/>
      <c r="M137" s="52"/>
    </row>
    <row r="138" spans="1:14" ht="52.5" customHeight="1" thickBot="1" x14ac:dyDescent="0.25">
      <c r="A138" s="31" t="s">
        <v>169</v>
      </c>
      <c r="B138" s="33" t="s">
        <v>170</v>
      </c>
      <c r="C138" s="29" t="s">
        <v>66</v>
      </c>
      <c r="D138" s="30">
        <v>10000000000</v>
      </c>
      <c r="E138" s="12" t="s">
        <v>85</v>
      </c>
      <c r="F138" s="12" t="s">
        <v>132</v>
      </c>
      <c r="G138" s="38">
        <v>6404979160</v>
      </c>
      <c r="H138" s="38">
        <v>0</v>
      </c>
      <c r="I138" s="38">
        <f t="shared" ref="I138" si="65">G138-H138</f>
        <v>6404979160</v>
      </c>
      <c r="J138" s="38">
        <f t="shared" ref="J138" si="66">D138-H138</f>
        <v>10000000000</v>
      </c>
      <c r="K138" s="39">
        <f t="shared" ref="K138" si="67">H138/D138</f>
        <v>0</v>
      </c>
      <c r="L138" s="2"/>
      <c r="M138" s="40">
        <f t="shared" ref="M138" si="68">D138-G138</f>
        <v>3595020840</v>
      </c>
    </row>
    <row r="139" spans="1:14" ht="26.25" customHeight="1" thickBot="1" x14ac:dyDescent="0.25">
      <c r="A139" s="99" t="s">
        <v>69</v>
      </c>
      <c r="B139" s="100"/>
      <c r="C139" s="101"/>
      <c r="D139" s="60">
        <f>D138</f>
        <v>10000000000</v>
      </c>
      <c r="E139" s="99"/>
      <c r="F139" s="102"/>
      <c r="G139" s="46">
        <f>G138</f>
        <v>6404979160</v>
      </c>
      <c r="H139" s="46">
        <f>H138</f>
        <v>0</v>
      </c>
      <c r="I139" s="46">
        <f>G139-H139</f>
        <v>6404979160</v>
      </c>
      <c r="J139" s="47">
        <f>D139-H139</f>
        <v>10000000000</v>
      </c>
      <c r="K139" s="48">
        <f>H139/D139</f>
        <v>0</v>
      </c>
      <c r="L139" s="50"/>
      <c r="M139" s="46">
        <f>G139-H139</f>
        <v>6404979160</v>
      </c>
    </row>
    <row r="140" spans="1:14" ht="10.5" customHeight="1" thickBot="1" x14ac:dyDescent="0.25">
      <c r="A140" s="103"/>
      <c r="B140" s="104"/>
      <c r="C140" s="104"/>
      <c r="D140" s="104"/>
      <c r="E140" s="104"/>
      <c r="F140" s="105"/>
    </row>
    <row r="141" spans="1:14" ht="20.100000000000001" customHeight="1" thickBot="1" x14ac:dyDescent="0.25">
      <c r="A141" s="87" t="s">
        <v>201</v>
      </c>
      <c r="B141" s="88"/>
      <c r="C141" s="89"/>
      <c r="D141" s="61">
        <f>D99+D107+D114+D121+D129+D135+D139</f>
        <v>44700000000</v>
      </c>
      <c r="E141" s="106"/>
      <c r="F141" s="107"/>
      <c r="G141" s="54">
        <f>G99+G107+G114+G121+G129+G135+G139</f>
        <v>14303784865</v>
      </c>
      <c r="H141" s="54">
        <f>H99+H107+H114+H121+H129+H135+H139</f>
        <v>3846793005</v>
      </c>
      <c r="I141" s="54">
        <f>G141-H141</f>
        <v>10456991860</v>
      </c>
      <c r="J141" s="55">
        <f>D141-H141</f>
        <v>40853206995</v>
      </c>
      <c r="K141" s="56">
        <f>H141/D141</f>
        <v>8.6058009060402688E-2</v>
      </c>
      <c r="L141" s="50"/>
      <c r="M141" s="55">
        <f>D141-G141</f>
        <v>30396215135</v>
      </c>
    </row>
    <row r="142" spans="1:14" ht="10.5" customHeight="1" thickBot="1" x14ac:dyDescent="0.25">
      <c r="A142" s="84"/>
      <c r="B142" s="85"/>
      <c r="C142" s="85"/>
      <c r="D142" s="85"/>
      <c r="E142" s="85"/>
      <c r="F142" s="86"/>
    </row>
    <row r="143" spans="1:14" ht="20.100000000000001" customHeight="1" thickBot="1" x14ac:dyDescent="0.25">
      <c r="A143" s="87" t="s">
        <v>76</v>
      </c>
      <c r="B143" s="88"/>
      <c r="C143" s="89"/>
      <c r="D143" s="61">
        <f>+D78+D141</f>
        <v>64349877000</v>
      </c>
      <c r="E143" s="90"/>
      <c r="F143" s="91"/>
      <c r="G143" s="54">
        <f>G78+G141</f>
        <v>30708728417</v>
      </c>
      <c r="H143" s="54">
        <f>H78+H141</f>
        <v>17908578628</v>
      </c>
      <c r="I143" s="54">
        <f>G143-H143</f>
        <v>12800149789</v>
      </c>
      <c r="J143" s="55">
        <f>D143-H143</f>
        <v>46441298372</v>
      </c>
      <c r="K143" s="56">
        <f>H143/D143</f>
        <v>0.27830012212766159</v>
      </c>
      <c r="L143" s="50"/>
      <c r="M143" s="55">
        <f>D143-G143</f>
        <v>33641148583</v>
      </c>
    </row>
    <row r="144" spans="1:14" ht="20.100000000000001" customHeight="1" x14ac:dyDescent="0.2">
      <c r="A144" s="82"/>
      <c r="B144" s="82"/>
      <c r="C144" s="82"/>
      <c r="D144" s="4"/>
      <c r="E144" s="10"/>
      <c r="F144" s="10"/>
    </row>
    <row r="145" spans="1:8" ht="44.25" customHeight="1" x14ac:dyDescent="0.2">
      <c r="A145" s="92"/>
      <c r="B145" s="92"/>
      <c r="C145" s="92"/>
      <c r="D145" s="92"/>
      <c r="E145" s="92"/>
      <c r="F145" s="92"/>
      <c r="G145" s="77"/>
      <c r="H145" s="77"/>
    </row>
    <row r="146" spans="1:8" ht="24.75" customHeight="1" x14ac:dyDescent="0.2">
      <c r="H146" s="67"/>
    </row>
    <row r="147" spans="1:8" ht="30" customHeight="1" x14ac:dyDescent="0.2">
      <c r="G147" s="77"/>
      <c r="H147" s="77"/>
    </row>
  </sheetData>
  <mergeCells count="98">
    <mergeCell ref="A1:M1"/>
    <mergeCell ref="A2:M2"/>
    <mergeCell ref="A3:F3"/>
    <mergeCell ref="G3:K3"/>
    <mergeCell ref="A5:F5"/>
    <mergeCell ref="G5:K5"/>
    <mergeCell ref="A7:C7"/>
    <mergeCell ref="E7:F7"/>
    <mergeCell ref="A8:F8"/>
    <mergeCell ref="G8:K8"/>
    <mergeCell ref="A14:C14"/>
    <mergeCell ref="E14:F14"/>
    <mergeCell ref="A15:F15"/>
    <mergeCell ref="G15:K15"/>
    <mergeCell ref="A17:C17"/>
    <mergeCell ref="E17:F17"/>
    <mergeCell ref="A18:F18"/>
    <mergeCell ref="G18:K18"/>
    <mergeCell ref="A26:C26"/>
    <mergeCell ref="E26:F26"/>
    <mergeCell ref="A27:F27"/>
    <mergeCell ref="G27:K27"/>
    <mergeCell ref="A29:C29"/>
    <mergeCell ref="E29:F29"/>
    <mergeCell ref="A30:F30"/>
    <mergeCell ref="G30:K30"/>
    <mergeCell ref="A38:C38"/>
    <mergeCell ref="E38:F38"/>
    <mergeCell ref="A39:F39"/>
    <mergeCell ref="G39:K39"/>
    <mergeCell ref="A42:C42"/>
    <mergeCell ref="E42:F42"/>
    <mergeCell ref="A43:F43"/>
    <mergeCell ref="G43:K43"/>
    <mergeCell ref="A48:C48"/>
    <mergeCell ref="E48:F48"/>
    <mergeCell ref="A49:F49"/>
    <mergeCell ref="G49:K49"/>
    <mergeCell ref="A61:C61"/>
    <mergeCell ref="E61:F61"/>
    <mergeCell ref="A62:F62"/>
    <mergeCell ref="G62:K62"/>
    <mergeCell ref="A65:C65"/>
    <mergeCell ref="E65:F65"/>
    <mergeCell ref="A66:F66"/>
    <mergeCell ref="G66:K66"/>
    <mergeCell ref="A68:C68"/>
    <mergeCell ref="E68:F68"/>
    <mergeCell ref="A69:F69"/>
    <mergeCell ref="G69:K69"/>
    <mergeCell ref="A77:C77"/>
    <mergeCell ref="E77:F77"/>
    <mergeCell ref="A78:C78"/>
    <mergeCell ref="E78:F78"/>
    <mergeCell ref="A108:F108"/>
    <mergeCell ref="A80:F80"/>
    <mergeCell ref="G80:K80"/>
    <mergeCell ref="A82:F82"/>
    <mergeCell ref="A83:F83"/>
    <mergeCell ref="G83:K83"/>
    <mergeCell ref="A99:C99"/>
    <mergeCell ref="E99:F99"/>
    <mergeCell ref="A100:F100"/>
    <mergeCell ref="A101:F101"/>
    <mergeCell ref="G101:K101"/>
    <mergeCell ref="A107:C107"/>
    <mergeCell ref="E107:F107"/>
    <mergeCell ref="A129:C129"/>
    <mergeCell ref="E129:F129"/>
    <mergeCell ref="A109:F109"/>
    <mergeCell ref="G109:K109"/>
    <mergeCell ref="A110:F110"/>
    <mergeCell ref="A114:C114"/>
    <mergeCell ref="E114:F114"/>
    <mergeCell ref="A116:F116"/>
    <mergeCell ref="G116:K116"/>
    <mergeCell ref="C117:C120"/>
    <mergeCell ref="A121:C121"/>
    <mergeCell ref="E121:F121"/>
    <mergeCell ref="A123:F123"/>
    <mergeCell ref="G123:K123"/>
    <mergeCell ref="A130:F130"/>
    <mergeCell ref="A131:F131"/>
    <mergeCell ref="G131:K131"/>
    <mergeCell ref="C132:C134"/>
    <mergeCell ref="A135:C135"/>
    <mergeCell ref="E135:F135"/>
    <mergeCell ref="G137:K137"/>
    <mergeCell ref="A139:C139"/>
    <mergeCell ref="E139:F139"/>
    <mergeCell ref="A140:F140"/>
    <mergeCell ref="A141:C141"/>
    <mergeCell ref="E141:F141"/>
    <mergeCell ref="A142:F142"/>
    <mergeCell ref="A143:C143"/>
    <mergeCell ref="E143:F143"/>
    <mergeCell ref="A145:F145"/>
    <mergeCell ref="A137:F137"/>
  </mergeCells>
  <printOptions horizontalCentered="1" verticalCentered="1"/>
  <pageMargins left="0.31496062992125984" right="0.31496062992125984" top="0.35433070866141736" bottom="0.19685039370078741" header="0.31496062992125984" footer="0.31496062992125984"/>
  <pageSetup scale="80" fitToWidth="15" fitToHeight="15" orientation="landscape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31 - 2015</vt:lpstr>
      <vt:lpstr>'JULIO 31 - 2015'!Títulos_a_imprimir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srodriguezp</dc:creator>
  <cp:lastModifiedBy>df</cp:lastModifiedBy>
  <cp:lastPrinted>2015-07-30T11:10:35Z</cp:lastPrinted>
  <dcterms:created xsi:type="dcterms:W3CDTF">2005-12-12T22:06:56Z</dcterms:created>
  <dcterms:modified xsi:type="dcterms:W3CDTF">2015-09-14T15:26:10Z</dcterms:modified>
</cp:coreProperties>
</file>